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5.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6"/>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
    </mc:Choice>
  </mc:AlternateContent>
  <xr:revisionPtr revIDLastSave="0" documentId="13_ncr:1_{F6099FC0-B878-4CD0-B517-2A3D12835D8C}" xr6:coauthVersionLast="36" xr6:coauthVersionMax="36" xr10:uidLastSave="{00000000-0000-0000-0000-000000000000}"/>
  <bookViews>
    <workbookView xWindow="0" yWindow="0" windowWidth="19200" windowHeight="6640" firstSheet="1" activeTab="8" xr2:uid="{5373AB19-D84C-490D-97DC-C516D358024A}"/>
  </bookViews>
  <sheets>
    <sheet name="ReadMe-Directions" sheetId="6" r:id="rId1"/>
    <sheet name="Versions" sheetId="31" r:id="rId2"/>
    <sheet name="Master" sheetId="46" r:id="rId3"/>
    <sheet name="Master-Today" sheetId="47" r:id="rId4"/>
    <sheet name="8.1-Trade" sheetId="33" r:id="rId5"/>
    <sheet name="8.1-LawOfRiver" sheetId="48" r:id="rId6"/>
    <sheet name="8.1-Plots" sheetId="19" r:id="rId7"/>
    <sheet name="MillenniumRecover-LawOfRiver" sheetId="49" r:id="rId8"/>
    <sheet name="MillenniumRecover-Trade" sheetId="50" r:id="rId9"/>
    <sheet name="Millennium-Plots" sheetId="28" r:id="rId10"/>
    <sheet name="MillenniumRecover-Delta" sheetId="51" r:id="rId11"/>
    <sheet name="LowerBasinCuts" sheetId="41" r:id="rId12"/>
    <sheet name="HydrologicScenarios" sheetId="7" r:id="rId13"/>
    <sheet name="PowellReleaseTemperature" sheetId="43" r:id="rId14"/>
    <sheet name="Powell-Elevation-Area" sheetId="2" r:id="rId15"/>
    <sheet name="Mead-Elevation-Area" sheetId="10" r:id="rId16"/>
    <sheet name="11.0-LawOfRiverShort" sheetId="16" r:id="rId1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90" i="51" l="1"/>
  <c r="K89" i="51"/>
  <c r="H90" i="51"/>
  <c r="H89" i="51"/>
  <c r="M89" i="51" s="1"/>
  <c r="E90" i="51"/>
  <c r="E89" i="51"/>
  <c r="C48" i="51"/>
  <c r="C49" i="51"/>
  <c r="C50" i="51"/>
  <c r="C51" i="51"/>
  <c r="D52" i="51"/>
  <c r="E52" i="51"/>
  <c r="F52" i="51"/>
  <c r="G52" i="51"/>
  <c r="H52" i="51"/>
  <c r="I52" i="51"/>
  <c r="J52" i="51"/>
  <c r="K52" i="51"/>
  <c r="L52" i="51"/>
  <c r="C52" i="51"/>
  <c r="B52" i="51"/>
  <c r="C33" i="51"/>
  <c r="D34" i="51"/>
  <c r="E34" i="51"/>
  <c r="F34" i="51"/>
  <c r="G34" i="51"/>
  <c r="H34" i="51"/>
  <c r="I34" i="51"/>
  <c r="J34" i="51"/>
  <c r="K34" i="51"/>
  <c r="L34" i="51"/>
  <c r="C34" i="51"/>
  <c r="L139" i="51"/>
  <c r="K139" i="51"/>
  <c r="J139" i="51"/>
  <c r="I139" i="51"/>
  <c r="H139" i="51"/>
  <c r="G139" i="51"/>
  <c r="F139" i="51"/>
  <c r="E139" i="51"/>
  <c r="D139" i="51"/>
  <c r="C139" i="51"/>
  <c r="K126" i="51"/>
  <c r="I126" i="51"/>
  <c r="H126" i="51"/>
  <c r="C126" i="51"/>
  <c r="A126" i="51"/>
  <c r="J126" i="51" s="1"/>
  <c r="A125" i="51"/>
  <c r="A124" i="51"/>
  <c r="A123" i="51"/>
  <c r="A122" i="51"/>
  <c r="A121" i="51"/>
  <c r="L119" i="51"/>
  <c r="J119" i="51"/>
  <c r="D119" i="51"/>
  <c r="C119" i="51"/>
  <c r="A119" i="51"/>
  <c r="A118" i="51"/>
  <c r="J118" i="51" s="1"/>
  <c r="K117" i="51"/>
  <c r="I117" i="51"/>
  <c r="E117" i="51"/>
  <c r="A117" i="51"/>
  <c r="J117" i="51" s="1"/>
  <c r="A116" i="51"/>
  <c r="A115" i="51"/>
  <c r="A114" i="51"/>
  <c r="M111" i="51"/>
  <c r="K111" i="51"/>
  <c r="J111" i="51"/>
  <c r="I111" i="51"/>
  <c r="H111" i="51"/>
  <c r="E111" i="51"/>
  <c r="C111" i="51"/>
  <c r="A111" i="51"/>
  <c r="G110" i="51"/>
  <c r="A110" i="51"/>
  <c r="E110" i="51" s="1"/>
  <c r="D109" i="51"/>
  <c r="A109" i="51"/>
  <c r="L109" i="51" s="1"/>
  <c r="L108" i="51"/>
  <c r="J108" i="51"/>
  <c r="I108" i="51"/>
  <c r="H108" i="51"/>
  <c r="G108" i="51"/>
  <c r="D108" i="51"/>
  <c r="A108" i="51"/>
  <c r="G107" i="51"/>
  <c r="F107" i="51"/>
  <c r="E107" i="51"/>
  <c r="D107" i="51"/>
  <c r="A107" i="51"/>
  <c r="L106" i="51"/>
  <c r="K106" i="51"/>
  <c r="J106" i="51"/>
  <c r="I106" i="51"/>
  <c r="F106" i="51"/>
  <c r="C106" i="51"/>
  <c r="A106" i="51"/>
  <c r="M98" i="51"/>
  <c r="M97" i="51"/>
  <c r="A96" i="51"/>
  <c r="A97" i="51" s="1"/>
  <c r="A90" i="51"/>
  <c r="A91" i="51" s="1"/>
  <c r="A88" i="51"/>
  <c r="A89" i="51" s="1"/>
  <c r="N89" i="51" s="1"/>
  <c r="M82" i="51"/>
  <c r="A82" i="51"/>
  <c r="A83" i="51" s="1"/>
  <c r="M81" i="51"/>
  <c r="A81" i="51"/>
  <c r="A80" i="51"/>
  <c r="M74" i="51"/>
  <c r="M73" i="51"/>
  <c r="A73" i="51"/>
  <c r="A74" i="51" s="1"/>
  <c r="A72" i="51"/>
  <c r="A68" i="51"/>
  <c r="A67" i="51"/>
  <c r="L107" i="51"/>
  <c r="A65" i="51"/>
  <c r="A66" i="51" s="1"/>
  <c r="A64" i="51"/>
  <c r="N58" i="51"/>
  <c r="N66" i="51" s="1"/>
  <c r="N57" i="51"/>
  <c r="N65" i="51" s="1"/>
  <c r="M57" i="51"/>
  <c r="A56" i="51"/>
  <c r="A57" i="51" s="1"/>
  <c r="A58" i="51" s="1"/>
  <c r="A60" i="51" s="1"/>
  <c r="A53" i="51"/>
  <c r="A52" i="51"/>
  <c r="A51" i="51"/>
  <c r="A50" i="51"/>
  <c r="B49" i="51"/>
  <c r="A49" i="51"/>
  <c r="A48" i="51"/>
  <c r="I47" i="51"/>
  <c r="F47" i="51"/>
  <c r="K45" i="51"/>
  <c r="J45" i="51"/>
  <c r="H45" i="51"/>
  <c r="G45" i="51"/>
  <c r="F45" i="51"/>
  <c r="E45" i="51"/>
  <c r="C45" i="51"/>
  <c r="A45" i="51"/>
  <c r="A44" i="51"/>
  <c r="A43" i="51"/>
  <c r="A42" i="51"/>
  <c r="A41" i="51"/>
  <c r="A40" i="51"/>
  <c r="C38" i="51"/>
  <c r="C46" i="51" s="1"/>
  <c r="C37" i="51"/>
  <c r="C39" i="51" s="1"/>
  <c r="A35" i="51"/>
  <c r="I35" i="51" s="1"/>
  <c r="A34" i="51"/>
  <c r="A33" i="51"/>
  <c r="A32" i="51"/>
  <c r="A31" i="51"/>
  <c r="A30" i="51"/>
  <c r="C29" i="51"/>
  <c r="L28" i="51"/>
  <c r="K28" i="51"/>
  <c r="J28" i="51"/>
  <c r="I28" i="51"/>
  <c r="H28" i="51"/>
  <c r="G28" i="51"/>
  <c r="F28" i="51"/>
  <c r="E28" i="51"/>
  <c r="D28" i="51"/>
  <c r="C28" i="51"/>
  <c r="L27" i="51"/>
  <c r="K27" i="51"/>
  <c r="J27" i="51"/>
  <c r="I27" i="51"/>
  <c r="H27" i="51"/>
  <c r="G27" i="51"/>
  <c r="F27" i="51"/>
  <c r="E27" i="51"/>
  <c r="E47" i="51" s="1"/>
  <c r="D27" i="51"/>
  <c r="C27" i="51"/>
  <c r="C23" i="51"/>
  <c r="B31" i="51" s="1"/>
  <c r="B23" i="51"/>
  <c r="B30" i="51" s="1"/>
  <c r="A1" i="51"/>
  <c r="D48" i="46"/>
  <c r="E48" i="46"/>
  <c r="F48" i="46"/>
  <c r="G48" i="46"/>
  <c r="H48" i="46"/>
  <c r="I48" i="46"/>
  <c r="J48" i="46"/>
  <c r="K48" i="46"/>
  <c r="L48" i="46"/>
  <c r="D49" i="46"/>
  <c r="E49" i="46"/>
  <c r="F49" i="46"/>
  <c r="G49" i="46"/>
  <c r="H49" i="46"/>
  <c r="I49" i="46"/>
  <c r="J49" i="46"/>
  <c r="K49" i="46"/>
  <c r="L49" i="46"/>
  <c r="D50" i="46"/>
  <c r="E50" i="46"/>
  <c r="F50" i="46"/>
  <c r="G50" i="46"/>
  <c r="H50" i="46"/>
  <c r="I50" i="46"/>
  <c r="J50" i="46"/>
  <c r="K50" i="46"/>
  <c r="L50" i="46"/>
  <c r="D51" i="46"/>
  <c r="E51" i="46"/>
  <c r="F51" i="46"/>
  <c r="G51" i="46"/>
  <c r="H51" i="46"/>
  <c r="I51" i="46"/>
  <c r="J51" i="46"/>
  <c r="K51" i="46"/>
  <c r="L51" i="46"/>
  <c r="D48" i="47"/>
  <c r="E48" i="47"/>
  <c r="F48" i="47"/>
  <c r="G48" i="47"/>
  <c r="H48" i="47"/>
  <c r="I48" i="47"/>
  <c r="J48" i="47"/>
  <c r="K48" i="47"/>
  <c r="L48" i="47"/>
  <c r="D49" i="47"/>
  <c r="E49" i="47"/>
  <c r="F49" i="47"/>
  <c r="G49" i="47"/>
  <c r="H49" i="47"/>
  <c r="I49" i="47"/>
  <c r="J49" i="47"/>
  <c r="K49" i="47"/>
  <c r="L49" i="47"/>
  <c r="D50" i="47"/>
  <c r="E50" i="47"/>
  <c r="F50" i="47"/>
  <c r="G50" i="47"/>
  <c r="H50" i="47"/>
  <c r="I50" i="47"/>
  <c r="J50" i="47"/>
  <c r="K50" i="47"/>
  <c r="L50" i="47"/>
  <c r="D51" i="47"/>
  <c r="E51" i="47"/>
  <c r="F51" i="47"/>
  <c r="G51" i="47"/>
  <c r="H51" i="47"/>
  <c r="I51" i="47"/>
  <c r="J51" i="47"/>
  <c r="K51" i="47"/>
  <c r="L51" i="47"/>
  <c r="H48" i="33"/>
  <c r="I48" i="33"/>
  <c r="J48" i="33"/>
  <c r="K48" i="33"/>
  <c r="L48" i="33"/>
  <c r="H49" i="33"/>
  <c r="I49" i="33"/>
  <c r="J49" i="33"/>
  <c r="K49" i="33"/>
  <c r="L49" i="33"/>
  <c r="H50" i="33"/>
  <c r="I50" i="33"/>
  <c r="J50" i="33"/>
  <c r="K50" i="33"/>
  <c r="L50" i="33"/>
  <c r="H51" i="33"/>
  <c r="I51" i="33"/>
  <c r="J51" i="33"/>
  <c r="K51" i="33"/>
  <c r="L51" i="33"/>
  <c r="H48" i="48"/>
  <c r="I48" i="48"/>
  <c r="J48" i="48"/>
  <c r="K48" i="48"/>
  <c r="L48" i="48"/>
  <c r="H49" i="48"/>
  <c r="I49" i="48"/>
  <c r="J49" i="48"/>
  <c r="K49" i="48"/>
  <c r="L49" i="48"/>
  <c r="H50" i="48"/>
  <c r="I50" i="48"/>
  <c r="J50" i="48"/>
  <c r="K50" i="48"/>
  <c r="L50" i="48"/>
  <c r="H51" i="48"/>
  <c r="I51" i="48"/>
  <c r="J51" i="48"/>
  <c r="K51" i="48"/>
  <c r="L51" i="48"/>
  <c r="J65" i="50"/>
  <c r="K65" i="50"/>
  <c r="L65" i="50"/>
  <c r="J66" i="50"/>
  <c r="K66" i="50"/>
  <c r="L66" i="50"/>
  <c r="I66" i="50"/>
  <c r="I65" i="50"/>
  <c r="J58" i="50"/>
  <c r="K58" i="50"/>
  <c r="L58" i="50"/>
  <c r="I58" i="50"/>
  <c r="L139" i="50"/>
  <c r="K139" i="50"/>
  <c r="J139" i="50"/>
  <c r="I139" i="50"/>
  <c r="H139" i="50"/>
  <c r="G139" i="50"/>
  <c r="F139" i="50"/>
  <c r="E139" i="50"/>
  <c r="D139" i="50"/>
  <c r="C139" i="50"/>
  <c r="F126" i="50"/>
  <c r="E126" i="50"/>
  <c r="A126" i="50"/>
  <c r="J126" i="50" s="1"/>
  <c r="I125" i="50"/>
  <c r="H125" i="50"/>
  <c r="E125" i="50"/>
  <c r="A125" i="50"/>
  <c r="L125" i="50" s="1"/>
  <c r="A124" i="50"/>
  <c r="A123" i="50"/>
  <c r="A122" i="50"/>
  <c r="A121" i="50"/>
  <c r="L119" i="50"/>
  <c r="K119" i="50"/>
  <c r="I119" i="50"/>
  <c r="H119" i="50"/>
  <c r="G119" i="50"/>
  <c r="F119" i="50"/>
  <c r="E119" i="50"/>
  <c r="D119" i="50"/>
  <c r="C119" i="50"/>
  <c r="A119" i="50"/>
  <c r="J119" i="50" s="1"/>
  <c r="A118" i="50"/>
  <c r="C118" i="50" s="1"/>
  <c r="F117" i="50"/>
  <c r="E117" i="50"/>
  <c r="A117" i="50"/>
  <c r="J117" i="50" s="1"/>
  <c r="A116" i="50"/>
  <c r="A115" i="50"/>
  <c r="A114" i="50"/>
  <c r="N111" i="50"/>
  <c r="M111" i="50"/>
  <c r="F111" i="50"/>
  <c r="E111" i="50"/>
  <c r="A111" i="50"/>
  <c r="J111" i="50" s="1"/>
  <c r="K110" i="50"/>
  <c r="J110" i="50"/>
  <c r="C110" i="50"/>
  <c r="A110" i="50"/>
  <c r="L109" i="50"/>
  <c r="K109" i="50"/>
  <c r="I109" i="50"/>
  <c r="H109" i="50"/>
  <c r="G109" i="50"/>
  <c r="F109" i="50"/>
  <c r="D109" i="50"/>
  <c r="C109" i="50"/>
  <c r="A109" i="50"/>
  <c r="J109" i="50" s="1"/>
  <c r="L108" i="50"/>
  <c r="K108" i="50"/>
  <c r="I108" i="50"/>
  <c r="H108" i="50"/>
  <c r="F108" i="50"/>
  <c r="E108" i="50"/>
  <c r="D108" i="50"/>
  <c r="C108" i="50"/>
  <c r="A108" i="50"/>
  <c r="G108" i="50" s="1"/>
  <c r="N107" i="50"/>
  <c r="J107" i="50"/>
  <c r="I107" i="50"/>
  <c r="F107" i="50"/>
  <c r="A107" i="50"/>
  <c r="K106" i="50"/>
  <c r="H106" i="50"/>
  <c r="G106" i="50"/>
  <c r="F106" i="50"/>
  <c r="C106" i="50"/>
  <c r="A106" i="50"/>
  <c r="J106" i="50" s="1"/>
  <c r="N100" i="50"/>
  <c r="J100" i="50"/>
  <c r="A100" i="50"/>
  <c r="M98" i="50"/>
  <c r="A98" i="50"/>
  <c r="N98" i="50" s="1"/>
  <c r="N97" i="50"/>
  <c r="M97" i="50"/>
  <c r="A97" i="50"/>
  <c r="A96" i="50"/>
  <c r="M90" i="50"/>
  <c r="M89" i="50"/>
  <c r="A88" i="50"/>
  <c r="A89" i="50" s="1"/>
  <c r="M82" i="50"/>
  <c r="N109" i="50" s="1"/>
  <c r="A82" i="50"/>
  <c r="A84" i="50" s="1"/>
  <c r="M81" i="50"/>
  <c r="A80" i="50"/>
  <c r="A81" i="50" s="1"/>
  <c r="M74" i="50"/>
  <c r="N108" i="50" s="1"/>
  <c r="M73" i="50"/>
  <c r="A72" i="50"/>
  <c r="A73" i="50" s="1"/>
  <c r="A74" i="50" s="1"/>
  <c r="M66" i="50"/>
  <c r="M65" i="50"/>
  <c r="A64" i="50"/>
  <c r="A65" i="50" s="1"/>
  <c r="A66" i="50" s="1"/>
  <c r="M57" i="50"/>
  <c r="A56" i="50"/>
  <c r="A57" i="50" s="1"/>
  <c r="A58" i="50" s="1"/>
  <c r="A53" i="50"/>
  <c r="A52" i="50"/>
  <c r="A51" i="50"/>
  <c r="A50" i="50"/>
  <c r="B49" i="50"/>
  <c r="A49" i="50"/>
  <c r="A48" i="50"/>
  <c r="J47" i="50"/>
  <c r="L45" i="50"/>
  <c r="J45" i="50"/>
  <c r="H45" i="50"/>
  <c r="G45" i="50"/>
  <c r="F45" i="50"/>
  <c r="C45" i="50"/>
  <c r="A45" i="50"/>
  <c r="I45" i="50" s="1"/>
  <c r="J44" i="50"/>
  <c r="I44" i="50"/>
  <c r="H44" i="50"/>
  <c r="E44" i="50"/>
  <c r="A44" i="50"/>
  <c r="A43" i="50"/>
  <c r="A42" i="50"/>
  <c r="A41" i="50"/>
  <c r="A40" i="50"/>
  <c r="C38" i="50"/>
  <c r="C46" i="50" s="1"/>
  <c r="C37" i="50"/>
  <c r="C39" i="50" s="1"/>
  <c r="L35" i="50"/>
  <c r="I35" i="50"/>
  <c r="H35" i="50"/>
  <c r="G35" i="50"/>
  <c r="F35" i="50"/>
  <c r="E35" i="50"/>
  <c r="D35" i="50"/>
  <c r="A35" i="50"/>
  <c r="K35" i="50" s="1"/>
  <c r="L34" i="50"/>
  <c r="I34" i="50"/>
  <c r="H34" i="50"/>
  <c r="G34" i="50"/>
  <c r="D34" i="50"/>
  <c r="A34" i="50"/>
  <c r="F34" i="50" s="1"/>
  <c r="B33" i="50"/>
  <c r="C33" i="50" s="1"/>
  <c r="A33" i="50"/>
  <c r="C32" i="50"/>
  <c r="A32" i="50"/>
  <c r="B31" i="50"/>
  <c r="A31" i="50"/>
  <c r="B30" i="50"/>
  <c r="A30" i="50"/>
  <c r="C29" i="50"/>
  <c r="L28" i="50"/>
  <c r="K28" i="50"/>
  <c r="J28" i="50"/>
  <c r="I28" i="50"/>
  <c r="H28" i="50"/>
  <c r="G28" i="50"/>
  <c r="F28" i="50"/>
  <c r="E28" i="50"/>
  <c r="D28" i="50"/>
  <c r="D47" i="50" s="1"/>
  <c r="C28" i="50"/>
  <c r="L27" i="50"/>
  <c r="K27" i="50"/>
  <c r="J27" i="50"/>
  <c r="I27" i="50"/>
  <c r="H27" i="50"/>
  <c r="G27" i="50"/>
  <c r="F27" i="50"/>
  <c r="E27" i="50"/>
  <c r="D27" i="50"/>
  <c r="C27" i="50"/>
  <c r="C23" i="50"/>
  <c r="B23" i="50"/>
  <c r="A1" i="50"/>
  <c r="C77" i="49"/>
  <c r="C61" i="49"/>
  <c r="C69" i="49"/>
  <c r="H37" i="48"/>
  <c r="I37" i="48"/>
  <c r="J37" i="48"/>
  <c r="K37" i="48"/>
  <c r="L37" i="48"/>
  <c r="H38" i="48"/>
  <c r="I38" i="48"/>
  <c r="J38" i="48"/>
  <c r="K38" i="48"/>
  <c r="L38" i="48"/>
  <c r="H37" i="33"/>
  <c r="I37" i="33"/>
  <c r="J37" i="33"/>
  <c r="K37" i="33"/>
  <c r="L37" i="33"/>
  <c r="H38" i="33"/>
  <c r="I38" i="33"/>
  <c r="J38" i="33"/>
  <c r="K38" i="33"/>
  <c r="L38" i="33"/>
  <c r="H37" i="47"/>
  <c r="I37" i="47"/>
  <c r="J37" i="47"/>
  <c r="K37" i="47"/>
  <c r="L37" i="47"/>
  <c r="H38" i="47"/>
  <c r="I38" i="47"/>
  <c r="J38" i="47"/>
  <c r="K38" i="47"/>
  <c r="L38" i="47"/>
  <c r="H37" i="46"/>
  <c r="I37" i="46"/>
  <c r="J37" i="46"/>
  <c r="K37" i="46"/>
  <c r="L37" i="46"/>
  <c r="H38" i="46"/>
  <c r="I38" i="46"/>
  <c r="J38" i="46"/>
  <c r="K38" i="46"/>
  <c r="L38" i="46"/>
  <c r="L139" i="49"/>
  <c r="K139" i="49"/>
  <c r="J139" i="49"/>
  <c r="I139" i="49"/>
  <c r="H139" i="49"/>
  <c r="G139" i="49"/>
  <c r="F139" i="49"/>
  <c r="E139" i="49"/>
  <c r="D139" i="49"/>
  <c r="C139" i="49"/>
  <c r="K126" i="49"/>
  <c r="C126" i="49"/>
  <c r="A126" i="49"/>
  <c r="J126" i="49" s="1"/>
  <c r="F125" i="49"/>
  <c r="A125" i="49"/>
  <c r="E125" i="49" s="1"/>
  <c r="A124" i="49"/>
  <c r="A123" i="49"/>
  <c r="A122" i="49"/>
  <c r="A121" i="49"/>
  <c r="K119" i="49"/>
  <c r="H119" i="49"/>
  <c r="F119" i="49"/>
  <c r="E119" i="49"/>
  <c r="C119" i="49"/>
  <c r="A119" i="49"/>
  <c r="L119" i="49" s="1"/>
  <c r="K118" i="49"/>
  <c r="I118" i="49"/>
  <c r="H118" i="49"/>
  <c r="F118" i="49"/>
  <c r="C118" i="49"/>
  <c r="A118" i="49"/>
  <c r="G118" i="49" s="1"/>
  <c r="L117" i="49"/>
  <c r="K117" i="49"/>
  <c r="I117" i="49"/>
  <c r="F117" i="49"/>
  <c r="D117" i="49"/>
  <c r="C117" i="49"/>
  <c r="A117" i="49"/>
  <c r="J117" i="49" s="1"/>
  <c r="A116" i="49"/>
  <c r="A115" i="49"/>
  <c r="A114" i="49"/>
  <c r="N111" i="49"/>
  <c r="L111" i="49"/>
  <c r="K111" i="49"/>
  <c r="I111" i="49"/>
  <c r="F111" i="49"/>
  <c r="D111" i="49"/>
  <c r="C111" i="49"/>
  <c r="A111" i="49"/>
  <c r="J111" i="49" s="1"/>
  <c r="N110" i="49"/>
  <c r="L110" i="49"/>
  <c r="K110" i="49"/>
  <c r="I110" i="49"/>
  <c r="H110" i="49"/>
  <c r="G110" i="49"/>
  <c r="F110" i="49"/>
  <c r="D110" i="49"/>
  <c r="C110" i="49"/>
  <c r="A110" i="49"/>
  <c r="M110" i="49" s="1"/>
  <c r="L109" i="49"/>
  <c r="K109" i="49"/>
  <c r="I109" i="49"/>
  <c r="H109" i="49"/>
  <c r="F109" i="49"/>
  <c r="E109" i="49"/>
  <c r="D109" i="49"/>
  <c r="C109" i="49"/>
  <c r="A109" i="49"/>
  <c r="J109" i="49" s="1"/>
  <c r="A108" i="49"/>
  <c r="I108" i="49" s="1"/>
  <c r="H107" i="49"/>
  <c r="G107" i="49"/>
  <c r="E107" i="49"/>
  <c r="A107" i="49"/>
  <c r="N107" i="49" s="1"/>
  <c r="L106" i="49"/>
  <c r="D106" i="49"/>
  <c r="A106" i="49"/>
  <c r="K106" i="49" s="1"/>
  <c r="M98" i="49"/>
  <c r="M97" i="49"/>
  <c r="A96" i="49"/>
  <c r="A97" i="49" s="1"/>
  <c r="N90" i="49"/>
  <c r="M90" i="49"/>
  <c r="A90" i="49"/>
  <c r="A92" i="49" s="1"/>
  <c r="M89" i="49"/>
  <c r="A89" i="49"/>
  <c r="N89" i="49" s="1"/>
  <c r="A88" i="49"/>
  <c r="M82" i="49"/>
  <c r="N109" i="49" s="1"/>
  <c r="M81" i="49"/>
  <c r="A80" i="49"/>
  <c r="A81" i="49" s="1"/>
  <c r="M74" i="49"/>
  <c r="M73" i="49"/>
  <c r="A72" i="49"/>
  <c r="A73" i="49" s="1"/>
  <c r="M66" i="49"/>
  <c r="M65" i="49"/>
  <c r="A64" i="49"/>
  <c r="A65" i="49" s="1"/>
  <c r="M58" i="49"/>
  <c r="M57" i="49"/>
  <c r="A56" i="49"/>
  <c r="A57" i="49" s="1"/>
  <c r="A53" i="49"/>
  <c r="A52" i="49"/>
  <c r="A51" i="49"/>
  <c r="A50" i="49"/>
  <c r="B49" i="49"/>
  <c r="A49" i="49"/>
  <c r="A48" i="49"/>
  <c r="L47" i="49"/>
  <c r="C47" i="49"/>
  <c r="L45" i="49"/>
  <c r="H45" i="49"/>
  <c r="F45" i="49"/>
  <c r="D45" i="49"/>
  <c r="A45" i="49"/>
  <c r="E45" i="49" s="1"/>
  <c r="K44" i="49"/>
  <c r="I44" i="49"/>
  <c r="G44" i="49"/>
  <c r="E44" i="49"/>
  <c r="C44" i="49"/>
  <c r="A44" i="49"/>
  <c r="H44" i="49" s="1"/>
  <c r="A43" i="49"/>
  <c r="A42" i="49"/>
  <c r="A41" i="49"/>
  <c r="A40" i="49"/>
  <c r="C38" i="49"/>
  <c r="C46" i="49" s="1"/>
  <c r="C37" i="49"/>
  <c r="C39" i="49" s="1"/>
  <c r="L35" i="49"/>
  <c r="H35" i="49"/>
  <c r="F35" i="49"/>
  <c r="D35" i="49"/>
  <c r="A35" i="49"/>
  <c r="E35" i="49" s="1"/>
  <c r="K34" i="49"/>
  <c r="I34" i="49"/>
  <c r="G34" i="49"/>
  <c r="E34" i="49"/>
  <c r="C34" i="49"/>
  <c r="A34" i="49"/>
  <c r="H34" i="49" s="1"/>
  <c r="A33" i="49"/>
  <c r="A32" i="49"/>
  <c r="C31" i="49"/>
  <c r="A31" i="49"/>
  <c r="A30" i="49"/>
  <c r="C29" i="49"/>
  <c r="L28" i="49"/>
  <c r="K28" i="49"/>
  <c r="J28" i="49"/>
  <c r="I28" i="49"/>
  <c r="I47" i="49" s="1"/>
  <c r="H28" i="49"/>
  <c r="H47" i="49" s="1"/>
  <c r="G28" i="49"/>
  <c r="F28" i="49"/>
  <c r="E28" i="49"/>
  <c r="D28" i="49"/>
  <c r="C28" i="49"/>
  <c r="L27" i="49"/>
  <c r="K27" i="49"/>
  <c r="J27" i="49"/>
  <c r="J47" i="49" s="1"/>
  <c r="I27" i="49"/>
  <c r="H27" i="49"/>
  <c r="G27" i="49"/>
  <c r="G47" i="49" s="1"/>
  <c r="F27" i="49"/>
  <c r="E27" i="49"/>
  <c r="D27" i="49"/>
  <c r="C27" i="49"/>
  <c r="C23" i="49"/>
  <c r="B31" i="49" s="1"/>
  <c r="B23" i="49"/>
  <c r="B33" i="49" s="1"/>
  <c r="A1" i="49"/>
  <c r="C77" i="48"/>
  <c r="C69" i="48"/>
  <c r="C61" i="48"/>
  <c r="L140" i="48"/>
  <c r="K140" i="48"/>
  <c r="J140" i="48"/>
  <c r="I140" i="48"/>
  <c r="H140" i="48"/>
  <c r="L139" i="48"/>
  <c r="K139" i="48"/>
  <c r="J139" i="48"/>
  <c r="I139" i="48"/>
  <c r="H139" i="48"/>
  <c r="G139" i="48"/>
  <c r="F139" i="48"/>
  <c r="E139" i="48"/>
  <c r="D139" i="48"/>
  <c r="C139" i="48"/>
  <c r="L137" i="48"/>
  <c r="K137" i="48"/>
  <c r="J137" i="48"/>
  <c r="I137" i="48"/>
  <c r="H137" i="48"/>
  <c r="L136" i="48"/>
  <c r="K136" i="48"/>
  <c r="J136" i="48"/>
  <c r="I136" i="48"/>
  <c r="H136" i="48"/>
  <c r="L135" i="48"/>
  <c r="K135" i="48"/>
  <c r="J135" i="48"/>
  <c r="I135" i="48"/>
  <c r="H135" i="48"/>
  <c r="L134" i="48"/>
  <c r="K134" i="48"/>
  <c r="J134" i="48"/>
  <c r="I134" i="48"/>
  <c r="H134" i="48"/>
  <c r="L132" i="48"/>
  <c r="K132" i="48"/>
  <c r="J132" i="48"/>
  <c r="I132" i="48"/>
  <c r="H132" i="48"/>
  <c r="L131" i="48"/>
  <c r="K131" i="48"/>
  <c r="J131" i="48"/>
  <c r="I131" i="48"/>
  <c r="H131" i="48"/>
  <c r="L129" i="48"/>
  <c r="K129" i="48"/>
  <c r="J129" i="48"/>
  <c r="I129" i="48"/>
  <c r="H129" i="48"/>
  <c r="L127" i="48"/>
  <c r="K127" i="48"/>
  <c r="J127" i="48"/>
  <c r="I127" i="48"/>
  <c r="H127" i="48"/>
  <c r="K126" i="48"/>
  <c r="C126" i="48"/>
  <c r="A126" i="48"/>
  <c r="J126" i="48" s="1"/>
  <c r="F125" i="48"/>
  <c r="A125" i="48"/>
  <c r="E125" i="48" s="1"/>
  <c r="I124" i="48"/>
  <c r="A124" i="48"/>
  <c r="H124" i="48" s="1"/>
  <c r="L123" i="48"/>
  <c r="A123" i="48"/>
  <c r="K123" i="48" s="1"/>
  <c r="H122" i="48"/>
  <c r="A122" i="48"/>
  <c r="A121" i="48"/>
  <c r="K119" i="48"/>
  <c r="H119" i="48"/>
  <c r="F119" i="48"/>
  <c r="E119" i="48"/>
  <c r="C119" i="48"/>
  <c r="A119" i="48"/>
  <c r="L119" i="48" s="1"/>
  <c r="K118" i="48"/>
  <c r="I118" i="48"/>
  <c r="H118" i="48"/>
  <c r="F118" i="48"/>
  <c r="E118" i="48"/>
  <c r="C118" i="48"/>
  <c r="A118" i="48"/>
  <c r="G118" i="48" s="1"/>
  <c r="L117" i="48"/>
  <c r="K117" i="48"/>
  <c r="I117" i="48"/>
  <c r="H117" i="48"/>
  <c r="F117" i="48"/>
  <c r="D117" i="48"/>
  <c r="C117" i="48"/>
  <c r="A117" i="48"/>
  <c r="J117" i="48" s="1"/>
  <c r="L116" i="48"/>
  <c r="K116" i="48"/>
  <c r="I116" i="48"/>
  <c r="C116" i="48"/>
  <c r="A116" i="48"/>
  <c r="J116" i="48" s="1"/>
  <c r="I115" i="48"/>
  <c r="A115" i="48"/>
  <c r="H115" i="48" s="1"/>
  <c r="L114" i="48"/>
  <c r="A114" i="48"/>
  <c r="K114" i="48" s="1"/>
  <c r="L112" i="48"/>
  <c r="K112" i="48"/>
  <c r="J112" i="48"/>
  <c r="I112" i="48"/>
  <c r="H112" i="48"/>
  <c r="L111" i="48"/>
  <c r="K111" i="48"/>
  <c r="I111" i="48"/>
  <c r="D111" i="48"/>
  <c r="C111" i="48"/>
  <c r="A111" i="48"/>
  <c r="J111" i="48" s="1"/>
  <c r="N110" i="48"/>
  <c r="M110" i="48"/>
  <c r="L110" i="48"/>
  <c r="K110" i="48"/>
  <c r="I110" i="48"/>
  <c r="H110" i="48"/>
  <c r="G110" i="48"/>
  <c r="F110" i="48"/>
  <c r="E110" i="48"/>
  <c r="D110" i="48"/>
  <c r="C110" i="48"/>
  <c r="A110" i="48"/>
  <c r="J110" i="48" s="1"/>
  <c r="K109" i="48"/>
  <c r="F109" i="48"/>
  <c r="E109" i="48"/>
  <c r="C109" i="48"/>
  <c r="A109" i="48"/>
  <c r="L109" i="48" s="1"/>
  <c r="A108" i="48"/>
  <c r="J108" i="48" s="1"/>
  <c r="L107" i="48"/>
  <c r="H107" i="48"/>
  <c r="G107" i="48"/>
  <c r="E107" i="48"/>
  <c r="A107" i="48"/>
  <c r="L106" i="48"/>
  <c r="D106" i="48"/>
  <c r="A106" i="48"/>
  <c r="K106" i="48" s="1"/>
  <c r="M98" i="48"/>
  <c r="M97" i="48"/>
  <c r="A96" i="48"/>
  <c r="A97" i="48" s="1"/>
  <c r="M90" i="48"/>
  <c r="M89" i="48"/>
  <c r="A88" i="48"/>
  <c r="A89" i="48" s="1"/>
  <c r="J84" i="48"/>
  <c r="A84" i="48"/>
  <c r="M82" i="48"/>
  <c r="N109" i="48" s="1"/>
  <c r="A82" i="48"/>
  <c r="M81" i="48"/>
  <c r="A81" i="48"/>
  <c r="A80" i="48"/>
  <c r="F74" i="48"/>
  <c r="E74" i="48"/>
  <c r="M74" i="48" s="1"/>
  <c r="A74" i="48"/>
  <c r="M73" i="48"/>
  <c r="A73" i="48"/>
  <c r="A72" i="48"/>
  <c r="M65" i="48"/>
  <c r="D107" i="48"/>
  <c r="A64" i="48"/>
  <c r="A65" i="48" s="1"/>
  <c r="M58" i="48"/>
  <c r="M57" i="48"/>
  <c r="A56" i="48"/>
  <c r="A57" i="48" s="1"/>
  <c r="A53" i="48"/>
  <c r="A52" i="48"/>
  <c r="A51" i="48"/>
  <c r="A50" i="48"/>
  <c r="B49" i="48"/>
  <c r="A49" i="48"/>
  <c r="A48" i="48"/>
  <c r="L47" i="48"/>
  <c r="K47" i="48"/>
  <c r="J47" i="48"/>
  <c r="I47" i="48"/>
  <c r="H47" i="48"/>
  <c r="L46" i="48"/>
  <c r="K46" i="48"/>
  <c r="J46" i="48"/>
  <c r="I46" i="48"/>
  <c r="H46" i="48"/>
  <c r="A45" i="48"/>
  <c r="E44" i="48"/>
  <c r="A44" i="48"/>
  <c r="L44" i="48" s="1"/>
  <c r="H43" i="48"/>
  <c r="A43" i="48"/>
  <c r="K42" i="48"/>
  <c r="I42" i="48"/>
  <c r="H42" i="48"/>
  <c r="C42" i="48"/>
  <c r="A42" i="48"/>
  <c r="J42" i="48" s="1"/>
  <c r="L41" i="48"/>
  <c r="K41" i="48"/>
  <c r="A41" i="48"/>
  <c r="I40" i="48"/>
  <c r="A40" i="48"/>
  <c r="H40" i="48" s="1"/>
  <c r="L39" i="48"/>
  <c r="K39" i="48"/>
  <c r="J39" i="48"/>
  <c r="I39" i="48"/>
  <c r="H39" i="48"/>
  <c r="C38" i="48"/>
  <c r="C46" i="48" s="1"/>
  <c r="C37" i="48"/>
  <c r="C39" i="48" s="1"/>
  <c r="G35" i="48"/>
  <c r="A35" i="48"/>
  <c r="J35" i="48" s="1"/>
  <c r="A34" i="48"/>
  <c r="K34" i="48" s="1"/>
  <c r="K33" i="48"/>
  <c r="H33" i="48"/>
  <c r="A33" i="48"/>
  <c r="L33" i="48" s="1"/>
  <c r="K32" i="48"/>
  <c r="J32" i="48"/>
  <c r="I32" i="48"/>
  <c r="C32" i="48"/>
  <c r="A32" i="48"/>
  <c r="L31" i="48"/>
  <c r="I31" i="48"/>
  <c r="H31" i="48"/>
  <c r="B31" i="48"/>
  <c r="A31" i="48"/>
  <c r="L30" i="48"/>
  <c r="K30" i="48"/>
  <c r="I30" i="48"/>
  <c r="H30" i="48"/>
  <c r="A30" i="48"/>
  <c r="L29" i="48"/>
  <c r="K29" i="48"/>
  <c r="J29" i="48"/>
  <c r="I29" i="48"/>
  <c r="H29" i="48"/>
  <c r="C29" i="48"/>
  <c r="L28" i="48"/>
  <c r="K28" i="48"/>
  <c r="J28" i="48"/>
  <c r="I28" i="48"/>
  <c r="H28" i="48"/>
  <c r="G28" i="48"/>
  <c r="F28" i="48"/>
  <c r="E28" i="48"/>
  <c r="D28" i="48"/>
  <c r="C28" i="48"/>
  <c r="L27" i="48"/>
  <c r="L130" i="48" s="1"/>
  <c r="K27" i="48"/>
  <c r="K130" i="48" s="1"/>
  <c r="J27" i="48"/>
  <c r="I27" i="48"/>
  <c r="H27" i="48"/>
  <c r="G27" i="48"/>
  <c r="F27" i="48"/>
  <c r="F47" i="48" s="1"/>
  <c r="E27" i="48"/>
  <c r="D27" i="48"/>
  <c r="C27" i="48"/>
  <c r="C23" i="48"/>
  <c r="B23" i="48"/>
  <c r="B33" i="48" s="1"/>
  <c r="C33" i="48" s="1"/>
  <c r="A1" i="48"/>
  <c r="L140" i="47"/>
  <c r="K140" i="47"/>
  <c r="J140" i="47"/>
  <c r="I140" i="47"/>
  <c r="H140" i="47"/>
  <c r="G140" i="47"/>
  <c r="F140" i="47"/>
  <c r="E140" i="47"/>
  <c r="D140" i="47"/>
  <c r="C140" i="47"/>
  <c r="L139" i="47"/>
  <c r="K139" i="47"/>
  <c r="J139" i="47"/>
  <c r="I139" i="47"/>
  <c r="H139" i="47"/>
  <c r="G139" i="47"/>
  <c r="F139" i="47"/>
  <c r="E139" i="47"/>
  <c r="D139" i="47"/>
  <c r="C139" i="47"/>
  <c r="L137" i="47"/>
  <c r="K137" i="47"/>
  <c r="J137" i="47"/>
  <c r="I137" i="47"/>
  <c r="H137" i="47"/>
  <c r="G137" i="47"/>
  <c r="F137" i="47"/>
  <c r="E137" i="47"/>
  <c r="D137" i="47"/>
  <c r="C137" i="47"/>
  <c r="L136" i="47"/>
  <c r="K136" i="47"/>
  <c r="J136" i="47"/>
  <c r="I136" i="47"/>
  <c r="H136" i="47"/>
  <c r="G136" i="47"/>
  <c r="F136" i="47"/>
  <c r="E136" i="47"/>
  <c r="D136" i="47"/>
  <c r="C136" i="47"/>
  <c r="L135" i="47"/>
  <c r="K135" i="47"/>
  <c r="J135" i="47"/>
  <c r="I135" i="47"/>
  <c r="H135" i="47"/>
  <c r="G135" i="47"/>
  <c r="F135" i="47"/>
  <c r="E135" i="47"/>
  <c r="D135" i="47"/>
  <c r="C135" i="47"/>
  <c r="L134" i="47"/>
  <c r="K134" i="47"/>
  <c r="J134" i="47"/>
  <c r="I134" i="47"/>
  <c r="H134" i="47"/>
  <c r="G134" i="47"/>
  <c r="F134" i="47"/>
  <c r="E134" i="47"/>
  <c r="D134" i="47"/>
  <c r="C134" i="47"/>
  <c r="L132" i="47"/>
  <c r="K132" i="47"/>
  <c r="J132" i="47"/>
  <c r="I132" i="47"/>
  <c r="H132" i="47"/>
  <c r="G132" i="47"/>
  <c r="F132" i="47"/>
  <c r="E132" i="47"/>
  <c r="D132" i="47"/>
  <c r="C132" i="47"/>
  <c r="L131" i="47"/>
  <c r="K131" i="47"/>
  <c r="J131" i="47"/>
  <c r="I131" i="47"/>
  <c r="H131" i="47"/>
  <c r="G131" i="47"/>
  <c r="F131" i="47"/>
  <c r="E131" i="47"/>
  <c r="D131" i="47"/>
  <c r="C131" i="47"/>
  <c r="E130" i="47"/>
  <c r="L129" i="47"/>
  <c r="K129" i="47"/>
  <c r="J129" i="47"/>
  <c r="I129" i="47"/>
  <c r="H129" i="47"/>
  <c r="G129" i="47"/>
  <c r="F129" i="47"/>
  <c r="E129" i="47"/>
  <c r="D129" i="47"/>
  <c r="C129" i="47"/>
  <c r="L127" i="47"/>
  <c r="K127" i="47"/>
  <c r="J127" i="47"/>
  <c r="I127" i="47"/>
  <c r="H127" i="47"/>
  <c r="G127" i="47"/>
  <c r="F127" i="47"/>
  <c r="E127" i="47"/>
  <c r="D127" i="47"/>
  <c r="C127" i="47"/>
  <c r="K126" i="47"/>
  <c r="I126" i="47"/>
  <c r="F126" i="47"/>
  <c r="E126" i="47"/>
  <c r="C126" i="47"/>
  <c r="A126" i="47"/>
  <c r="J126" i="47" s="1"/>
  <c r="L125" i="47"/>
  <c r="I125" i="47"/>
  <c r="H125" i="47"/>
  <c r="F125" i="47"/>
  <c r="E125" i="47"/>
  <c r="D125" i="47"/>
  <c r="A125" i="47"/>
  <c r="K125" i="47" s="1"/>
  <c r="L124" i="47"/>
  <c r="K124" i="47"/>
  <c r="I124" i="47"/>
  <c r="H124" i="47"/>
  <c r="G124" i="47"/>
  <c r="D124" i="47"/>
  <c r="C124" i="47"/>
  <c r="A124" i="47"/>
  <c r="F124" i="47" s="1"/>
  <c r="L123" i="47"/>
  <c r="D123" i="47"/>
  <c r="A123" i="47"/>
  <c r="K123" i="47" s="1"/>
  <c r="I122" i="47"/>
  <c r="G122" i="47"/>
  <c r="E122" i="47"/>
  <c r="A122" i="47"/>
  <c r="F122" i="47" s="1"/>
  <c r="A121" i="47"/>
  <c r="I121" i="47" s="1"/>
  <c r="L119" i="47"/>
  <c r="K119" i="47"/>
  <c r="H119" i="47"/>
  <c r="G119" i="47"/>
  <c r="F119" i="47"/>
  <c r="E119" i="47"/>
  <c r="D119" i="47"/>
  <c r="C119" i="47"/>
  <c r="A119" i="47"/>
  <c r="J119" i="47" s="1"/>
  <c r="H118" i="47"/>
  <c r="F118" i="47"/>
  <c r="A118" i="47"/>
  <c r="G118" i="47" s="1"/>
  <c r="K117" i="47"/>
  <c r="I117" i="47"/>
  <c r="F117" i="47"/>
  <c r="E117" i="47"/>
  <c r="C117" i="47"/>
  <c r="A117" i="47"/>
  <c r="J117" i="47" s="1"/>
  <c r="L116" i="47"/>
  <c r="I116" i="47"/>
  <c r="H116" i="47"/>
  <c r="G116" i="47"/>
  <c r="F116" i="47"/>
  <c r="E116" i="47"/>
  <c r="D116" i="47"/>
  <c r="A116" i="47"/>
  <c r="K116" i="47" s="1"/>
  <c r="L115" i="47"/>
  <c r="K115" i="47"/>
  <c r="I115" i="47"/>
  <c r="H115" i="47"/>
  <c r="G115" i="47"/>
  <c r="D115" i="47"/>
  <c r="C115" i="47"/>
  <c r="A115" i="47"/>
  <c r="F115" i="47" s="1"/>
  <c r="L114" i="47"/>
  <c r="D114" i="47"/>
  <c r="A114" i="47"/>
  <c r="K114" i="47" s="1"/>
  <c r="L112" i="47"/>
  <c r="K112" i="47"/>
  <c r="J112" i="47"/>
  <c r="I112" i="47"/>
  <c r="H112" i="47"/>
  <c r="G112" i="47"/>
  <c r="F112" i="47"/>
  <c r="E112" i="47"/>
  <c r="D112" i="47"/>
  <c r="C112" i="47"/>
  <c r="N111" i="47"/>
  <c r="M111" i="47"/>
  <c r="K111" i="47"/>
  <c r="I111" i="47"/>
  <c r="F111" i="47"/>
  <c r="E111" i="47"/>
  <c r="C111" i="47"/>
  <c r="A111" i="47"/>
  <c r="J111" i="47" s="1"/>
  <c r="N110" i="47"/>
  <c r="H110" i="47"/>
  <c r="F110" i="47"/>
  <c r="A110" i="47"/>
  <c r="G110" i="47" s="1"/>
  <c r="L109" i="47"/>
  <c r="K109" i="47"/>
  <c r="H109" i="47"/>
  <c r="G109" i="47"/>
  <c r="F109" i="47"/>
  <c r="E109" i="47"/>
  <c r="D109" i="47"/>
  <c r="C109" i="47"/>
  <c r="A109" i="47"/>
  <c r="J109" i="47" s="1"/>
  <c r="A108" i="47"/>
  <c r="I108" i="47" s="1"/>
  <c r="I107" i="47"/>
  <c r="G107" i="47"/>
  <c r="E107" i="47"/>
  <c r="A107" i="47"/>
  <c r="N107" i="47" s="1"/>
  <c r="L106" i="47"/>
  <c r="D106" i="47"/>
  <c r="A106" i="47"/>
  <c r="K106" i="47" s="1"/>
  <c r="M98" i="47"/>
  <c r="M97" i="47"/>
  <c r="A96" i="47"/>
  <c r="A97" i="47" s="1"/>
  <c r="M90" i="47"/>
  <c r="M89" i="47"/>
  <c r="A88" i="47"/>
  <c r="A89" i="47" s="1"/>
  <c r="M82" i="47"/>
  <c r="N109" i="47" s="1"/>
  <c r="M81" i="47"/>
  <c r="A80" i="47"/>
  <c r="A81" i="47" s="1"/>
  <c r="M74" i="47"/>
  <c r="M73" i="47"/>
  <c r="A72" i="47"/>
  <c r="A73" i="47" s="1"/>
  <c r="M66" i="47"/>
  <c r="M65" i="47"/>
  <c r="A64" i="47"/>
  <c r="A65" i="47" s="1"/>
  <c r="M58" i="47"/>
  <c r="M57" i="47"/>
  <c r="A56" i="47"/>
  <c r="A57" i="47" s="1"/>
  <c r="A53" i="47"/>
  <c r="A52" i="47"/>
  <c r="C51" i="47"/>
  <c r="A51" i="47"/>
  <c r="A50" i="47"/>
  <c r="C49" i="47"/>
  <c r="B49" i="47"/>
  <c r="A49" i="47"/>
  <c r="A48" i="47"/>
  <c r="L47" i="47"/>
  <c r="K47" i="47"/>
  <c r="J47" i="47"/>
  <c r="I47" i="47"/>
  <c r="H47" i="47"/>
  <c r="G47" i="47"/>
  <c r="F47" i="47"/>
  <c r="E47" i="47"/>
  <c r="D47" i="47"/>
  <c r="C47" i="47"/>
  <c r="L46" i="47"/>
  <c r="K46" i="47"/>
  <c r="J46" i="47"/>
  <c r="I46" i="47"/>
  <c r="H46" i="47"/>
  <c r="G46" i="47"/>
  <c r="F46" i="47"/>
  <c r="E46" i="47"/>
  <c r="D46" i="47"/>
  <c r="C46" i="47"/>
  <c r="L45" i="47"/>
  <c r="I45" i="47"/>
  <c r="H45" i="47"/>
  <c r="F45" i="47"/>
  <c r="E45" i="47"/>
  <c r="D45" i="47"/>
  <c r="A45" i="47"/>
  <c r="K45" i="47" s="1"/>
  <c r="L44" i="47"/>
  <c r="K44" i="47"/>
  <c r="I44" i="47"/>
  <c r="H44" i="47"/>
  <c r="G44" i="47"/>
  <c r="D44" i="47"/>
  <c r="C44" i="47"/>
  <c r="A44" i="47"/>
  <c r="F44" i="47" s="1"/>
  <c r="L43" i="47"/>
  <c r="F43" i="47"/>
  <c r="D43" i="47"/>
  <c r="A43" i="47"/>
  <c r="K43" i="47" s="1"/>
  <c r="I42" i="47"/>
  <c r="G42" i="47"/>
  <c r="E42" i="47"/>
  <c r="A42" i="47"/>
  <c r="F42" i="47" s="1"/>
  <c r="A41" i="47"/>
  <c r="I41" i="47" s="1"/>
  <c r="L40" i="47"/>
  <c r="K40" i="47"/>
  <c r="H40" i="47"/>
  <c r="G40" i="47"/>
  <c r="E40" i="47"/>
  <c r="D40" i="47"/>
  <c r="C40" i="47"/>
  <c r="A40" i="47"/>
  <c r="J40" i="47" s="1"/>
  <c r="L39" i="47"/>
  <c r="K39" i="47"/>
  <c r="J39" i="47"/>
  <c r="I39" i="47"/>
  <c r="H39" i="47"/>
  <c r="G39" i="47"/>
  <c r="F39" i="47"/>
  <c r="E39" i="47"/>
  <c r="D39" i="47"/>
  <c r="C39" i="47"/>
  <c r="G38" i="47"/>
  <c r="F38" i="47"/>
  <c r="E38" i="47"/>
  <c r="D38" i="47"/>
  <c r="C38" i="47"/>
  <c r="G37" i="47"/>
  <c r="F37" i="47"/>
  <c r="E37" i="47"/>
  <c r="D37" i="47"/>
  <c r="C37" i="47"/>
  <c r="L35" i="47"/>
  <c r="I35" i="47"/>
  <c r="H35" i="47"/>
  <c r="F35" i="47"/>
  <c r="E35" i="47"/>
  <c r="D35" i="47"/>
  <c r="A35" i="47"/>
  <c r="K35" i="47" s="1"/>
  <c r="L34" i="47"/>
  <c r="K34" i="47"/>
  <c r="I34" i="47"/>
  <c r="H34" i="47"/>
  <c r="G34" i="47"/>
  <c r="D34" i="47"/>
  <c r="C34" i="47"/>
  <c r="A34" i="47"/>
  <c r="F34" i="47" s="1"/>
  <c r="L33" i="47"/>
  <c r="K33" i="47"/>
  <c r="J33" i="47"/>
  <c r="G33" i="47"/>
  <c r="F33" i="47"/>
  <c r="D33" i="47"/>
  <c r="C33" i="47"/>
  <c r="A33" i="47"/>
  <c r="I33" i="47" s="1"/>
  <c r="H32" i="47"/>
  <c r="A32" i="47"/>
  <c r="G32" i="47" s="1"/>
  <c r="K31" i="47"/>
  <c r="C31" i="47"/>
  <c r="A31" i="47"/>
  <c r="J31" i="47" s="1"/>
  <c r="G30" i="47"/>
  <c r="B30" i="47"/>
  <c r="A30" i="47"/>
  <c r="F30" i="47" s="1"/>
  <c r="L29" i="47"/>
  <c r="K29" i="47"/>
  <c r="J29" i="47"/>
  <c r="I29" i="47"/>
  <c r="H29" i="47"/>
  <c r="G29" i="47"/>
  <c r="F29" i="47"/>
  <c r="E29" i="47"/>
  <c r="D29" i="47"/>
  <c r="C29" i="47"/>
  <c r="L28" i="47"/>
  <c r="K28" i="47"/>
  <c r="J28" i="47"/>
  <c r="I28" i="47"/>
  <c r="H28" i="47"/>
  <c r="G28" i="47"/>
  <c r="F28" i="47"/>
  <c r="E28" i="47"/>
  <c r="D28" i="47"/>
  <c r="C28" i="47"/>
  <c r="L27" i="47"/>
  <c r="L130" i="47" s="1"/>
  <c r="K27" i="47"/>
  <c r="K130" i="47" s="1"/>
  <c r="J27" i="47"/>
  <c r="J130" i="47" s="1"/>
  <c r="I27" i="47"/>
  <c r="I130" i="47" s="1"/>
  <c r="H27" i="47"/>
  <c r="G27" i="47"/>
  <c r="G130" i="47" s="1"/>
  <c r="F27" i="47"/>
  <c r="F130" i="47" s="1"/>
  <c r="E27" i="47"/>
  <c r="D27" i="47"/>
  <c r="D130" i="47" s="1"/>
  <c r="C27" i="47"/>
  <c r="C130" i="47" s="1"/>
  <c r="C23" i="47"/>
  <c r="B31" i="47" s="1"/>
  <c r="B23" i="47"/>
  <c r="A1" i="47"/>
  <c r="L140" i="46"/>
  <c r="K140" i="46"/>
  <c r="J140" i="46"/>
  <c r="I140" i="46"/>
  <c r="H140" i="46"/>
  <c r="L139" i="46"/>
  <c r="K139" i="46"/>
  <c r="J139" i="46"/>
  <c r="I139" i="46"/>
  <c r="H139" i="46"/>
  <c r="G139" i="46"/>
  <c r="F139" i="46"/>
  <c r="E139" i="46"/>
  <c r="D139" i="46"/>
  <c r="C139" i="46"/>
  <c r="L137" i="46"/>
  <c r="K137" i="46"/>
  <c r="J137" i="46"/>
  <c r="I137" i="46"/>
  <c r="H137" i="46"/>
  <c r="L136" i="46"/>
  <c r="K136" i="46"/>
  <c r="J136" i="46"/>
  <c r="I136" i="46"/>
  <c r="H136" i="46"/>
  <c r="L135" i="46"/>
  <c r="K135" i="46"/>
  <c r="J135" i="46"/>
  <c r="I135" i="46"/>
  <c r="H135" i="46"/>
  <c r="L134" i="46"/>
  <c r="K134" i="46"/>
  <c r="J134" i="46"/>
  <c r="I134" i="46"/>
  <c r="H134" i="46"/>
  <c r="L132" i="46"/>
  <c r="K132" i="46"/>
  <c r="J132" i="46"/>
  <c r="I132" i="46"/>
  <c r="H132" i="46"/>
  <c r="L131" i="46"/>
  <c r="K131" i="46"/>
  <c r="J131" i="46"/>
  <c r="I131" i="46"/>
  <c r="H131" i="46"/>
  <c r="L129" i="46"/>
  <c r="K129" i="46"/>
  <c r="J129" i="46"/>
  <c r="I129" i="46"/>
  <c r="H129" i="46"/>
  <c r="L127" i="46"/>
  <c r="K127" i="46"/>
  <c r="J127" i="46"/>
  <c r="I127" i="46"/>
  <c r="H127" i="46"/>
  <c r="F126" i="46"/>
  <c r="E126" i="46"/>
  <c r="A126" i="46"/>
  <c r="J126" i="46" s="1"/>
  <c r="I125" i="46"/>
  <c r="H125" i="46"/>
  <c r="E125" i="46"/>
  <c r="A125" i="46"/>
  <c r="L125" i="46" s="1"/>
  <c r="L124" i="46"/>
  <c r="K124" i="46"/>
  <c r="H124" i="46"/>
  <c r="A124" i="46"/>
  <c r="K123" i="46"/>
  <c r="A123" i="46"/>
  <c r="J123" i="46" s="1"/>
  <c r="I122" i="46"/>
  <c r="A122" i="46"/>
  <c r="L121" i="46"/>
  <c r="K121" i="46"/>
  <c r="I121" i="46"/>
  <c r="H121" i="46"/>
  <c r="A121" i="46"/>
  <c r="L119" i="46"/>
  <c r="K119" i="46"/>
  <c r="H119" i="46"/>
  <c r="G119" i="46"/>
  <c r="F119" i="46"/>
  <c r="E119" i="46"/>
  <c r="D119" i="46"/>
  <c r="C119" i="46"/>
  <c r="A119" i="46"/>
  <c r="J119" i="46" s="1"/>
  <c r="A118" i="46"/>
  <c r="J118" i="46" s="1"/>
  <c r="E117" i="46"/>
  <c r="A117" i="46"/>
  <c r="J117" i="46" s="1"/>
  <c r="L116" i="46"/>
  <c r="I116" i="46"/>
  <c r="H116" i="46"/>
  <c r="G116" i="46"/>
  <c r="F116" i="46"/>
  <c r="E116" i="46"/>
  <c r="D116" i="46"/>
  <c r="A116" i="46"/>
  <c r="K116" i="46" s="1"/>
  <c r="L115" i="46"/>
  <c r="K115" i="46"/>
  <c r="H115" i="46"/>
  <c r="D115" i="46"/>
  <c r="D140" i="46" s="1"/>
  <c r="C115" i="46"/>
  <c r="C140" i="46" s="1"/>
  <c r="A115" i="46"/>
  <c r="G115" i="46" s="1"/>
  <c r="G140" i="46" s="1"/>
  <c r="K114" i="46"/>
  <c r="G114" i="46"/>
  <c r="F114" i="46"/>
  <c r="E114" i="46"/>
  <c r="C114" i="46"/>
  <c r="A114" i="46"/>
  <c r="J114" i="46" s="1"/>
  <c r="L112" i="46"/>
  <c r="K112" i="46"/>
  <c r="J112" i="46"/>
  <c r="I112" i="46"/>
  <c r="H112" i="46"/>
  <c r="M111" i="46"/>
  <c r="E111" i="46"/>
  <c r="A111" i="46"/>
  <c r="J111" i="46" s="1"/>
  <c r="A110" i="46"/>
  <c r="J110" i="46" s="1"/>
  <c r="L109" i="46"/>
  <c r="K109" i="46"/>
  <c r="H109" i="46"/>
  <c r="G109" i="46"/>
  <c r="F109" i="46"/>
  <c r="E109" i="46"/>
  <c r="D109" i="46"/>
  <c r="C109" i="46"/>
  <c r="A109" i="46"/>
  <c r="J109" i="46" s="1"/>
  <c r="L108" i="46"/>
  <c r="K108" i="46"/>
  <c r="I108" i="46"/>
  <c r="H108" i="46"/>
  <c r="E108" i="46"/>
  <c r="D108" i="46"/>
  <c r="C108" i="46"/>
  <c r="A108" i="46"/>
  <c r="G108" i="46" s="1"/>
  <c r="I107" i="46"/>
  <c r="F107" i="46"/>
  <c r="A107" i="46"/>
  <c r="K106" i="46"/>
  <c r="G106" i="46"/>
  <c r="F106" i="46"/>
  <c r="E106" i="46"/>
  <c r="C106" i="46"/>
  <c r="A106" i="46"/>
  <c r="J106" i="46" s="1"/>
  <c r="M98" i="46"/>
  <c r="N97" i="46"/>
  <c r="M97" i="46"/>
  <c r="A97" i="46"/>
  <c r="A98" i="46" s="1"/>
  <c r="A99" i="46" s="1"/>
  <c r="A96" i="46"/>
  <c r="M90" i="46"/>
  <c r="M89" i="46"/>
  <c r="A88" i="46"/>
  <c r="A89" i="46" s="1"/>
  <c r="M82" i="46"/>
  <c r="N109" i="46" s="1"/>
  <c r="M81" i="46"/>
  <c r="A81" i="46"/>
  <c r="A82" i="46" s="1"/>
  <c r="A84" i="46" s="1"/>
  <c r="A80" i="46"/>
  <c r="M74" i="46"/>
  <c r="M73" i="46"/>
  <c r="A73" i="46"/>
  <c r="A74" i="46" s="1"/>
  <c r="A76" i="46" s="1"/>
  <c r="A72" i="46"/>
  <c r="A65" i="46"/>
  <c r="N65" i="46" s="1"/>
  <c r="N73" i="46" s="1"/>
  <c r="N81" i="46" s="1"/>
  <c r="A64" i="46"/>
  <c r="I59" i="46"/>
  <c r="A59" i="46"/>
  <c r="A58" i="46"/>
  <c r="N58" i="46" s="1"/>
  <c r="N57" i="46"/>
  <c r="M57" i="46"/>
  <c r="A57" i="46"/>
  <c r="A56" i="46"/>
  <c r="A53" i="46"/>
  <c r="A52" i="46"/>
  <c r="A51" i="46"/>
  <c r="A50" i="46"/>
  <c r="B49" i="46"/>
  <c r="A49" i="46"/>
  <c r="A48" i="46"/>
  <c r="L47" i="46"/>
  <c r="K47" i="46"/>
  <c r="J47" i="46"/>
  <c r="I47" i="46"/>
  <c r="H47" i="46"/>
  <c r="G47" i="46"/>
  <c r="E47" i="46"/>
  <c r="L46" i="46"/>
  <c r="K46" i="46"/>
  <c r="J46" i="46"/>
  <c r="I46" i="46"/>
  <c r="H46" i="46"/>
  <c r="C46" i="46"/>
  <c r="L45" i="46"/>
  <c r="K45" i="46"/>
  <c r="I45" i="46"/>
  <c r="H45" i="46"/>
  <c r="G45" i="46"/>
  <c r="E45" i="46"/>
  <c r="D45" i="46"/>
  <c r="C45" i="46"/>
  <c r="A45" i="46"/>
  <c r="F45" i="46" s="1"/>
  <c r="F44" i="46"/>
  <c r="A44" i="46"/>
  <c r="K44" i="46" s="1"/>
  <c r="A43" i="46"/>
  <c r="A42" i="46"/>
  <c r="L42" i="46" s="1"/>
  <c r="L41" i="46"/>
  <c r="K41" i="46"/>
  <c r="I41" i="46"/>
  <c r="H41" i="46"/>
  <c r="A41" i="46"/>
  <c r="J41" i="46" s="1"/>
  <c r="J40" i="46"/>
  <c r="H40" i="46"/>
  <c r="A40" i="46"/>
  <c r="K40" i="46" s="1"/>
  <c r="L39" i="46"/>
  <c r="K39" i="46"/>
  <c r="J39" i="46"/>
  <c r="I39" i="46"/>
  <c r="H39" i="46"/>
  <c r="C38" i="46"/>
  <c r="C37" i="46"/>
  <c r="C39" i="46" s="1"/>
  <c r="C41" i="46" s="1"/>
  <c r="L35" i="46"/>
  <c r="K35" i="46"/>
  <c r="I35" i="46"/>
  <c r="H35" i="46"/>
  <c r="G35" i="46"/>
  <c r="E35" i="46"/>
  <c r="D35" i="46"/>
  <c r="C35" i="46"/>
  <c r="A35" i="46"/>
  <c r="F35" i="46" s="1"/>
  <c r="J34" i="46"/>
  <c r="D34" i="46"/>
  <c r="C34" i="46"/>
  <c r="A34" i="46"/>
  <c r="K34" i="46" s="1"/>
  <c r="J33" i="46"/>
  <c r="A33" i="46"/>
  <c r="K32" i="46"/>
  <c r="C32" i="46"/>
  <c r="A32" i="46"/>
  <c r="L31" i="46"/>
  <c r="A31" i="46"/>
  <c r="K31" i="46" s="1"/>
  <c r="J30" i="46"/>
  <c r="B30" i="46"/>
  <c r="A30" i="46"/>
  <c r="L29" i="46"/>
  <c r="K29" i="46"/>
  <c r="J29" i="46"/>
  <c r="I29" i="46"/>
  <c r="H29" i="46"/>
  <c r="C29" i="46"/>
  <c r="L28" i="46"/>
  <c r="K28" i="46"/>
  <c r="J28" i="46"/>
  <c r="I28" i="46"/>
  <c r="H28" i="46"/>
  <c r="G28" i="46"/>
  <c r="F28" i="46"/>
  <c r="E28" i="46"/>
  <c r="D28" i="46"/>
  <c r="C28" i="46"/>
  <c r="L27" i="46"/>
  <c r="L130" i="46" s="1"/>
  <c r="K27" i="46"/>
  <c r="K130" i="46" s="1"/>
  <c r="J27" i="46"/>
  <c r="I27" i="46"/>
  <c r="I130" i="46" s="1"/>
  <c r="H27" i="46"/>
  <c r="H130" i="46" s="1"/>
  <c r="G27" i="46"/>
  <c r="F27" i="46"/>
  <c r="E27" i="46"/>
  <c r="D27" i="46"/>
  <c r="D47" i="46" s="1"/>
  <c r="C27" i="46"/>
  <c r="C23" i="46"/>
  <c r="B31" i="46" s="1"/>
  <c r="C31" i="46" s="1"/>
  <c r="B23" i="46"/>
  <c r="A1" i="46"/>
  <c r="F9" i="43"/>
  <c r="H137" i="33"/>
  <c r="I137" i="33"/>
  <c r="J137" i="33"/>
  <c r="K137" i="33"/>
  <c r="L137" i="33"/>
  <c r="H136" i="33"/>
  <c r="I136" i="33"/>
  <c r="J136" i="33"/>
  <c r="K136" i="33"/>
  <c r="L136" i="33"/>
  <c r="H135" i="33"/>
  <c r="I135" i="33"/>
  <c r="J135" i="33"/>
  <c r="K135" i="33"/>
  <c r="L135" i="33"/>
  <c r="E6" i="43"/>
  <c r="E7" i="43" s="1"/>
  <c r="E11" i="43"/>
  <c r="M90" i="51" l="1"/>
  <c r="N110" i="51" s="1"/>
  <c r="H110" i="51"/>
  <c r="K107" i="51"/>
  <c r="M65" i="51"/>
  <c r="F110" i="51"/>
  <c r="N90" i="51"/>
  <c r="J110" i="51"/>
  <c r="A92" i="51"/>
  <c r="C44" i="51"/>
  <c r="G118" i="51"/>
  <c r="A75" i="51"/>
  <c r="A76" i="51"/>
  <c r="N74" i="51"/>
  <c r="C30" i="51"/>
  <c r="A61" i="51"/>
  <c r="N60" i="51"/>
  <c r="A93" i="51"/>
  <c r="C35" i="51"/>
  <c r="K35" i="51"/>
  <c r="J47" i="51"/>
  <c r="A59" i="51"/>
  <c r="M83" i="51"/>
  <c r="A98" i="51"/>
  <c r="N97" i="51"/>
  <c r="E109" i="51"/>
  <c r="I119" i="51"/>
  <c r="H119" i="51"/>
  <c r="F119" i="51"/>
  <c r="B33" i="51"/>
  <c r="B29" i="51" s="1"/>
  <c r="D35" i="51"/>
  <c r="L35" i="51"/>
  <c r="C40" i="51"/>
  <c r="K47" i="51"/>
  <c r="N73" i="51"/>
  <c r="N81" i="51" s="1"/>
  <c r="N82" i="51"/>
  <c r="G109" i="51"/>
  <c r="J35" i="51"/>
  <c r="C43" i="51"/>
  <c r="E35" i="51"/>
  <c r="L47" i="51"/>
  <c r="M67" i="51"/>
  <c r="A84" i="51"/>
  <c r="I107" i="51"/>
  <c r="J109" i="51"/>
  <c r="L118" i="51"/>
  <c r="D118" i="51"/>
  <c r="K118" i="51"/>
  <c r="C118" i="51"/>
  <c r="I118" i="51"/>
  <c r="N92" i="51"/>
  <c r="H47" i="51"/>
  <c r="C31" i="51"/>
  <c r="C41" i="51" s="1"/>
  <c r="F35" i="51"/>
  <c r="L45" i="51"/>
  <c r="D45" i="51"/>
  <c r="I45" i="51"/>
  <c r="C47" i="51"/>
  <c r="M58" i="51"/>
  <c r="N106" i="51" s="1"/>
  <c r="K109" i="51"/>
  <c r="G117" i="51"/>
  <c r="F117" i="51"/>
  <c r="L117" i="51"/>
  <c r="D117" i="51"/>
  <c r="E118" i="51"/>
  <c r="E119" i="51"/>
  <c r="G35" i="51"/>
  <c r="D47" i="51"/>
  <c r="A69" i="51"/>
  <c r="N68" i="51"/>
  <c r="H106" i="51"/>
  <c r="G106" i="51"/>
  <c r="E106" i="51"/>
  <c r="C117" i="51"/>
  <c r="F118" i="51"/>
  <c r="G119" i="51"/>
  <c r="H35" i="51"/>
  <c r="M66" i="51"/>
  <c r="N107" i="51" s="1"/>
  <c r="M91" i="51"/>
  <c r="I109" i="51"/>
  <c r="H109" i="51"/>
  <c r="N109" i="51"/>
  <c r="F109" i="51"/>
  <c r="C32" i="51"/>
  <c r="C42" i="51" s="1"/>
  <c r="G47" i="51"/>
  <c r="N91" i="51"/>
  <c r="D106" i="51"/>
  <c r="N108" i="51"/>
  <c r="F108" i="51"/>
  <c r="E108" i="51"/>
  <c r="K108" i="51"/>
  <c r="C108" i="51"/>
  <c r="C109" i="51"/>
  <c r="L110" i="51"/>
  <c r="D110" i="51"/>
  <c r="K110" i="51"/>
  <c r="C110" i="51"/>
  <c r="I110" i="51"/>
  <c r="G111" i="51"/>
  <c r="N111" i="51"/>
  <c r="F111" i="51"/>
  <c r="L111" i="51"/>
  <c r="D111" i="51"/>
  <c r="H117" i="51"/>
  <c r="H118" i="51"/>
  <c r="K119" i="51"/>
  <c r="H107" i="51"/>
  <c r="D126" i="51"/>
  <c r="L126" i="51"/>
  <c r="E126" i="51"/>
  <c r="J107" i="51"/>
  <c r="F126" i="51"/>
  <c r="C107" i="51"/>
  <c r="G126" i="51"/>
  <c r="M58" i="50"/>
  <c r="N106" i="50" s="1"/>
  <c r="A90" i="50"/>
  <c r="N89" i="50"/>
  <c r="A76" i="50"/>
  <c r="A75" i="50"/>
  <c r="N58" i="50"/>
  <c r="A59" i="50"/>
  <c r="A60" i="50"/>
  <c r="N66" i="50"/>
  <c r="N74" i="50" s="1"/>
  <c r="N82" i="50" s="1"/>
  <c r="A68" i="50"/>
  <c r="A67" i="50"/>
  <c r="A85" i="50"/>
  <c r="B29" i="50"/>
  <c r="C43" i="50"/>
  <c r="F47" i="50"/>
  <c r="G118" i="50"/>
  <c r="F118" i="50"/>
  <c r="E118" i="50"/>
  <c r="L118" i="50"/>
  <c r="D118" i="50"/>
  <c r="I118" i="50"/>
  <c r="H118" i="50"/>
  <c r="C31" i="50"/>
  <c r="G47" i="50"/>
  <c r="N73" i="50"/>
  <c r="N81" i="50" s="1"/>
  <c r="J118" i="50"/>
  <c r="J34" i="50"/>
  <c r="C41" i="50"/>
  <c r="L44" i="50"/>
  <c r="D44" i="50"/>
  <c r="K44" i="50"/>
  <c r="H47" i="50"/>
  <c r="A83" i="50"/>
  <c r="K118" i="50"/>
  <c r="C34" i="50"/>
  <c r="K34" i="50"/>
  <c r="C44" i="50"/>
  <c r="K45" i="50"/>
  <c r="I47" i="50"/>
  <c r="N57" i="50"/>
  <c r="N65" i="50" s="1"/>
  <c r="L100" i="50"/>
  <c r="D100" i="50"/>
  <c r="K100" i="50"/>
  <c r="C100" i="50"/>
  <c r="G100" i="50"/>
  <c r="A101" i="50"/>
  <c r="F100" i="50"/>
  <c r="A99" i="50"/>
  <c r="E100" i="50"/>
  <c r="C30" i="50"/>
  <c r="C40" i="50" s="1"/>
  <c r="E34" i="50"/>
  <c r="J35" i="50"/>
  <c r="C42" i="50"/>
  <c r="F44" i="50"/>
  <c r="D45" i="50"/>
  <c r="K47" i="50"/>
  <c r="H100" i="50"/>
  <c r="E47" i="50"/>
  <c r="C35" i="50"/>
  <c r="G44" i="50"/>
  <c r="E45" i="50"/>
  <c r="C47" i="50"/>
  <c r="C51" i="50" s="1"/>
  <c r="L47" i="50"/>
  <c r="I100" i="50"/>
  <c r="E107" i="50"/>
  <c r="L107" i="50"/>
  <c r="D107" i="50"/>
  <c r="K107" i="50"/>
  <c r="C107" i="50"/>
  <c r="H107" i="50"/>
  <c r="G107" i="50"/>
  <c r="G110" i="50"/>
  <c r="N110" i="50"/>
  <c r="F110" i="50"/>
  <c r="F112" i="50" s="1"/>
  <c r="M110" i="50"/>
  <c r="E110" i="50"/>
  <c r="L110" i="50"/>
  <c r="D110" i="50"/>
  <c r="I110" i="50"/>
  <c r="H110" i="50"/>
  <c r="D106" i="50"/>
  <c r="L106" i="50"/>
  <c r="J108" i="50"/>
  <c r="M108" i="50" s="1"/>
  <c r="E109" i="50"/>
  <c r="M109" i="50" s="1"/>
  <c r="C111" i="50"/>
  <c r="K111" i="50"/>
  <c r="C117" i="50"/>
  <c r="K117" i="50"/>
  <c r="F125" i="50"/>
  <c r="C126" i="50"/>
  <c r="K126" i="50"/>
  <c r="E106" i="50"/>
  <c r="D111" i="50"/>
  <c r="L111" i="50"/>
  <c r="D117" i="50"/>
  <c r="L117" i="50"/>
  <c r="G125" i="50"/>
  <c r="D126" i="50"/>
  <c r="L126" i="50"/>
  <c r="G111" i="50"/>
  <c r="G117" i="50"/>
  <c r="J125" i="50"/>
  <c r="G126" i="50"/>
  <c r="I106" i="50"/>
  <c r="H111" i="50"/>
  <c r="H117" i="50"/>
  <c r="C125" i="50"/>
  <c r="K125" i="50"/>
  <c r="H126" i="50"/>
  <c r="I111" i="50"/>
  <c r="I117" i="50"/>
  <c r="D125" i="50"/>
  <c r="I126" i="50"/>
  <c r="K47" i="49"/>
  <c r="E47" i="49"/>
  <c r="F47" i="49"/>
  <c r="D47" i="49"/>
  <c r="C40" i="49"/>
  <c r="A74" i="49"/>
  <c r="K92" i="49"/>
  <c r="C92" i="49"/>
  <c r="L92" i="49"/>
  <c r="J92" i="49"/>
  <c r="I92" i="49"/>
  <c r="D92" i="49"/>
  <c r="H92" i="49"/>
  <c r="G92" i="49"/>
  <c r="A93" i="49"/>
  <c r="F92" i="49"/>
  <c r="N92" i="49"/>
  <c r="E92" i="49"/>
  <c r="A58" i="49"/>
  <c r="N57" i="49"/>
  <c r="N65" i="49" s="1"/>
  <c r="N73" i="49" s="1"/>
  <c r="N81" i="49" s="1"/>
  <c r="A82" i="49"/>
  <c r="A98" i="49"/>
  <c r="N97" i="49"/>
  <c r="A66" i="49"/>
  <c r="J34" i="49"/>
  <c r="G35" i="49"/>
  <c r="C41" i="49"/>
  <c r="J44" i="49"/>
  <c r="G45" i="49"/>
  <c r="A91" i="49"/>
  <c r="E106" i="49"/>
  <c r="C108" i="49"/>
  <c r="K108" i="49"/>
  <c r="G125" i="49"/>
  <c r="D126" i="49"/>
  <c r="L126" i="49"/>
  <c r="F106" i="49"/>
  <c r="N106" i="49"/>
  <c r="I107" i="49"/>
  <c r="D108" i="49"/>
  <c r="L108" i="49"/>
  <c r="G109" i="49"/>
  <c r="M109" i="49" s="1"/>
  <c r="J110" i="49"/>
  <c r="E111" i="49"/>
  <c r="M111" i="49"/>
  <c r="C115" i="49"/>
  <c r="C140" i="49" s="1"/>
  <c r="E117" i="49"/>
  <c r="J118" i="49"/>
  <c r="G119" i="49"/>
  <c r="H125" i="49"/>
  <c r="E126" i="49"/>
  <c r="B30" i="49"/>
  <c r="B29" i="49" s="1"/>
  <c r="C32" i="49"/>
  <c r="C42" i="49" s="1"/>
  <c r="D34" i="49"/>
  <c r="L34" i="49"/>
  <c r="I35" i="49"/>
  <c r="D44" i="49"/>
  <c r="L44" i="49"/>
  <c r="I45" i="49"/>
  <c r="G106" i="49"/>
  <c r="J107" i="49"/>
  <c r="E108" i="49"/>
  <c r="I125" i="49"/>
  <c r="F126" i="49"/>
  <c r="C30" i="49"/>
  <c r="J35" i="49"/>
  <c r="J45" i="49"/>
  <c r="H106" i="49"/>
  <c r="C107" i="49"/>
  <c r="K107" i="49"/>
  <c r="F108" i="49"/>
  <c r="N108" i="49"/>
  <c r="G111" i="49"/>
  <c r="G117" i="49"/>
  <c r="D118" i="49"/>
  <c r="L118" i="49"/>
  <c r="I119" i="49"/>
  <c r="J125" i="49"/>
  <c r="G126" i="49"/>
  <c r="F34" i="49"/>
  <c r="C35" i="49"/>
  <c r="K35" i="49"/>
  <c r="F44" i="49"/>
  <c r="C45" i="49"/>
  <c r="K45" i="49"/>
  <c r="I106" i="49"/>
  <c r="D107" i="49"/>
  <c r="L107" i="49"/>
  <c r="G108" i="49"/>
  <c r="E110" i="49"/>
  <c r="H111" i="49"/>
  <c r="C116" i="49"/>
  <c r="H117" i="49"/>
  <c r="E118" i="49"/>
  <c r="J119" i="49"/>
  <c r="C125" i="49"/>
  <c r="K125" i="49"/>
  <c r="H126" i="49"/>
  <c r="J108" i="49"/>
  <c r="J106" i="49"/>
  <c r="H108" i="49"/>
  <c r="D125" i="49"/>
  <c r="L125" i="49"/>
  <c r="I126" i="49"/>
  <c r="C33" i="49"/>
  <c r="C43" i="49" s="1"/>
  <c r="C51" i="49" s="1"/>
  <c r="C106" i="49"/>
  <c r="F107" i="49"/>
  <c r="C114" i="49"/>
  <c r="D119" i="49"/>
  <c r="A66" i="48"/>
  <c r="G47" i="48"/>
  <c r="H32" i="48"/>
  <c r="L32" i="48"/>
  <c r="C34" i="48"/>
  <c r="H35" i="48"/>
  <c r="A83" i="48"/>
  <c r="H130" i="48"/>
  <c r="E34" i="48"/>
  <c r="I130" i="48"/>
  <c r="H34" i="48"/>
  <c r="I121" i="48"/>
  <c r="H121" i="48"/>
  <c r="L121" i="48"/>
  <c r="K121" i="48"/>
  <c r="J130" i="48"/>
  <c r="J30" i="48"/>
  <c r="J34" i="48"/>
  <c r="A58" i="48"/>
  <c r="N57" i="48"/>
  <c r="N65" i="48" s="1"/>
  <c r="N73" i="48" s="1"/>
  <c r="N81" i="48" s="1"/>
  <c r="M66" i="48"/>
  <c r="N107" i="48" s="1"/>
  <c r="I84" i="48"/>
  <c r="H84" i="48"/>
  <c r="A85" i="48"/>
  <c r="L84" i="48"/>
  <c r="K84" i="48"/>
  <c r="J121" i="48"/>
  <c r="A98" i="48"/>
  <c r="N97" i="48"/>
  <c r="C47" i="48"/>
  <c r="B30" i="48"/>
  <c r="L34" i="48"/>
  <c r="D34" i="48"/>
  <c r="I34" i="48"/>
  <c r="G34" i="48"/>
  <c r="F34" i="48"/>
  <c r="I108" i="48"/>
  <c r="H108" i="48"/>
  <c r="G108" i="48"/>
  <c r="N108" i="48"/>
  <c r="F108" i="48"/>
  <c r="E108" i="48"/>
  <c r="L108" i="48"/>
  <c r="D108" i="48"/>
  <c r="K108" i="48"/>
  <c r="C108" i="48"/>
  <c r="D47" i="48"/>
  <c r="I35" i="48"/>
  <c r="F35" i="48"/>
  <c r="L35" i="48"/>
  <c r="D35" i="48"/>
  <c r="K35" i="48"/>
  <c r="C35" i="48"/>
  <c r="I45" i="48"/>
  <c r="H45" i="48"/>
  <c r="G45" i="48"/>
  <c r="F45" i="48"/>
  <c r="E45" i="48"/>
  <c r="L45" i="48"/>
  <c r="D45" i="48"/>
  <c r="K45" i="48"/>
  <c r="C45" i="48"/>
  <c r="A75" i="48"/>
  <c r="A76" i="48"/>
  <c r="A90" i="48"/>
  <c r="N89" i="48"/>
  <c r="E47" i="48"/>
  <c r="K31" i="48"/>
  <c r="C31" i="48"/>
  <c r="C41" i="48" s="1"/>
  <c r="J31" i="48"/>
  <c r="E35" i="48"/>
  <c r="J45" i="48"/>
  <c r="I33" i="48"/>
  <c r="J40" i="48"/>
  <c r="L42" i="48"/>
  <c r="I43" i="48"/>
  <c r="F44" i="48"/>
  <c r="E106" i="48"/>
  <c r="J115" i="48"/>
  <c r="J124" i="48"/>
  <c r="G125" i="48"/>
  <c r="D126" i="48"/>
  <c r="L126" i="48"/>
  <c r="J33" i="48"/>
  <c r="K40" i="48"/>
  <c r="H41" i="48"/>
  <c r="J43" i="48"/>
  <c r="G44" i="48"/>
  <c r="F106" i="48"/>
  <c r="N106" i="48"/>
  <c r="I107" i="48"/>
  <c r="G109" i="48"/>
  <c r="E111" i="48"/>
  <c r="M111" i="48"/>
  <c r="C115" i="48"/>
  <c r="C140" i="48" s="1"/>
  <c r="K115" i="48"/>
  <c r="H116" i="48"/>
  <c r="E117" i="48"/>
  <c r="J118" i="48"/>
  <c r="G119" i="48"/>
  <c r="I122" i="48"/>
  <c r="K124" i="48"/>
  <c r="H125" i="48"/>
  <c r="E126" i="48"/>
  <c r="L40" i="48"/>
  <c r="I41" i="48"/>
  <c r="C43" i="48"/>
  <c r="C51" i="48" s="1"/>
  <c r="K43" i="48"/>
  <c r="H44" i="48"/>
  <c r="G106" i="48"/>
  <c r="J107" i="48"/>
  <c r="H109" i="48"/>
  <c r="F111" i="48"/>
  <c r="N111" i="48"/>
  <c r="L115" i="48"/>
  <c r="J122" i="48"/>
  <c r="L124" i="48"/>
  <c r="I125" i="48"/>
  <c r="F126" i="48"/>
  <c r="J41" i="48"/>
  <c r="L43" i="48"/>
  <c r="I44" i="48"/>
  <c r="H106" i="48"/>
  <c r="C107" i="48"/>
  <c r="K107" i="48"/>
  <c r="I109" i="48"/>
  <c r="G111" i="48"/>
  <c r="H114" i="48"/>
  <c r="G117" i="48"/>
  <c r="D118" i="48"/>
  <c r="L118" i="48"/>
  <c r="I119" i="48"/>
  <c r="K122" i="48"/>
  <c r="H123" i="48"/>
  <c r="J125" i="48"/>
  <c r="G126" i="48"/>
  <c r="J44" i="48"/>
  <c r="I106" i="48"/>
  <c r="J109" i="48"/>
  <c r="H111" i="48"/>
  <c r="I114" i="48"/>
  <c r="J119" i="48"/>
  <c r="L122" i="48"/>
  <c r="I123" i="48"/>
  <c r="C125" i="48"/>
  <c r="K125" i="48"/>
  <c r="H126" i="48"/>
  <c r="C44" i="48"/>
  <c r="K44" i="48"/>
  <c r="J106" i="48"/>
  <c r="J114" i="48"/>
  <c r="J123" i="48"/>
  <c r="D125" i="48"/>
  <c r="L125" i="48"/>
  <c r="I126" i="48"/>
  <c r="D44" i="48"/>
  <c r="C106" i="48"/>
  <c r="F107" i="48"/>
  <c r="D109" i="48"/>
  <c r="C114" i="48"/>
  <c r="D119" i="48"/>
  <c r="A98" i="47"/>
  <c r="N97" i="47"/>
  <c r="A58" i="47"/>
  <c r="N57" i="47"/>
  <c r="A82" i="47"/>
  <c r="A66" i="47"/>
  <c r="N65" i="47"/>
  <c r="N73" i="47" s="1"/>
  <c r="N81" i="47" s="1"/>
  <c r="A74" i="47"/>
  <c r="H130" i="47"/>
  <c r="A90" i="47"/>
  <c r="N89" i="47"/>
  <c r="H30" i="47"/>
  <c r="D31" i="47"/>
  <c r="L31" i="47"/>
  <c r="I32" i="47"/>
  <c r="E33" i="47"/>
  <c r="J34" i="47"/>
  <c r="G35" i="47"/>
  <c r="F40" i="47"/>
  <c r="C41" i="47"/>
  <c r="K41" i="47"/>
  <c r="H42" i="47"/>
  <c r="E43" i="47"/>
  <c r="J44" i="47"/>
  <c r="G45" i="47"/>
  <c r="E106" i="47"/>
  <c r="H107" i="47"/>
  <c r="C108" i="47"/>
  <c r="K108" i="47"/>
  <c r="I110" i="47"/>
  <c r="D111" i="47"/>
  <c r="L111" i="47"/>
  <c r="E114" i="47"/>
  <c r="J115" i="47"/>
  <c r="D117" i="47"/>
  <c r="L117" i="47"/>
  <c r="I118" i="47"/>
  <c r="C121" i="47"/>
  <c r="K121" i="47"/>
  <c r="H122" i="47"/>
  <c r="E123" i="47"/>
  <c r="J124" i="47"/>
  <c r="G125" i="47"/>
  <c r="D126" i="47"/>
  <c r="L126" i="47"/>
  <c r="E31" i="47"/>
  <c r="D41" i="47"/>
  <c r="F106" i="47"/>
  <c r="N106" i="47"/>
  <c r="D108" i="47"/>
  <c r="L108" i="47"/>
  <c r="J110" i="47"/>
  <c r="F114" i="47"/>
  <c r="J118" i="47"/>
  <c r="D121" i="47"/>
  <c r="L121" i="47"/>
  <c r="F123" i="47"/>
  <c r="L41" i="47"/>
  <c r="J30" i="47"/>
  <c r="F31" i="47"/>
  <c r="C32" i="47"/>
  <c r="K32" i="47"/>
  <c r="E41" i="47"/>
  <c r="J42" i="47"/>
  <c r="G43" i="47"/>
  <c r="C50" i="47"/>
  <c r="G106" i="47"/>
  <c r="J107" i="47"/>
  <c r="E108" i="47"/>
  <c r="C110" i="47"/>
  <c r="K110" i="47"/>
  <c r="G114" i="47"/>
  <c r="C118" i="47"/>
  <c r="K118" i="47"/>
  <c r="E121" i="47"/>
  <c r="J122" i="47"/>
  <c r="G123" i="47"/>
  <c r="J121" i="47"/>
  <c r="J32" i="47"/>
  <c r="C30" i="47"/>
  <c r="K30" i="47"/>
  <c r="G31" i="47"/>
  <c r="D32" i="47"/>
  <c r="L32" i="47"/>
  <c r="H33" i="47"/>
  <c r="E34" i="47"/>
  <c r="J35" i="47"/>
  <c r="I40" i="47"/>
  <c r="F41" i="47"/>
  <c r="C42" i="47"/>
  <c r="K42" i="47"/>
  <c r="H43" i="47"/>
  <c r="E44" i="47"/>
  <c r="J45" i="47"/>
  <c r="C48" i="47"/>
  <c r="H106" i="47"/>
  <c r="C107" i="47"/>
  <c r="K107" i="47"/>
  <c r="F108" i="47"/>
  <c r="N108" i="47"/>
  <c r="I109" i="47"/>
  <c r="M109" i="47" s="1"/>
  <c r="D110" i="47"/>
  <c r="L110" i="47"/>
  <c r="G111" i="47"/>
  <c r="H114" i="47"/>
  <c r="E115" i="47"/>
  <c r="J116" i="47"/>
  <c r="G117" i="47"/>
  <c r="D118" i="47"/>
  <c r="L118" i="47"/>
  <c r="I119" i="47"/>
  <c r="F121" i="47"/>
  <c r="C122" i="47"/>
  <c r="K122" i="47"/>
  <c r="H123" i="47"/>
  <c r="E124" i="47"/>
  <c r="J125" i="47"/>
  <c r="G126" i="47"/>
  <c r="J41" i="47"/>
  <c r="I30" i="47"/>
  <c r="D30" i="47"/>
  <c r="L30" i="47"/>
  <c r="H31" i="47"/>
  <c r="E32" i="47"/>
  <c r="C35" i="47"/>
  <c r="G41" i="47"/>
  <c r="D42" i="47"/>
  <c r="L42" i="47"/>
  <c r="I43" i="47"/>
  <c r="C45" i="47"/>
  <c r="I106" i="47"/>
  <c r="D107" i="47"/>
  <c r="L107" i="47"/>
  <c r="G108" i="47"/>
  <c r="E110" i="47"/>
  <c r="M110" i="47"/>
  <c r="H111" i="47"/>
  <c r="I114" i="47"/>
  <c r="C116" i="47"/>
  <c r="H117" i="47"/>
  <c r="E118" i="47"/>
  <c r="G121" i="47"/>
  <c r="D122" i="47"/>
  <c r="L122" i="47"/>
  <c r="I123" i="47"/>
  <c r="C125" i="47"/>
  <c r="H126" i="47"/>
  <c r="J108" i="47"/>
  <c r="E30" i="47"/>
  <c r="I31" i="47"/>
  <c r="H41" i="47"/>
  <c r="J43" i="47"/>
  <c r="J106" i="47"/>
  <c r="H108" i="47"/>
  <c r="J114" i="47"/>
  <c r="H121" i="47"/>
  <c r="J123" i="47"/>
  <c r="F32" i="47"/>
  <c r="B33" i="47"/>
  <c r="B29" i="47" s="1"/>
  <c r="C43" i="47"/>
  <c r="C106" i="47"/>
  <c r="F107" i="47"/>
  <c r="C114" i="47"/>
  <c r="C123" i="47"/>
  <c r="M66" i="46"/>
  <c r="N107" i="46" s="1"/>
  <c r="M65" i="46"/>
  <c r="A77" i="46"/>
  <c r="L76" i="46"/>
  <c r="I76" i="46"/>
  <c r="H76" i="46"/>
  <c r="K76" i="46"/>
  <c r="J76" i="46"/>
  <c r="A90" i="46"/>
  <c r="N89" i="46"/>
  <c r="I99" i="46"/>
  <c r="H99" i="46"/>
  <c r="G99" i="46"/>
  <c r="L99" i="46"/>
  <c r="D99" i="46"/>
  <c r="K99" i="46"/>
  <c r="C99" i="46"/>
  <c r="M99" i="46"/>
  <c r="J99" i="46"/>
  <c r="F99" i="46"/>
  <c r="E99" i="46"/>
  <c r="N99" i="46"/>
  <c r="C47" i="46"/>
  <c r="L43" i="46"/>
  <c r="H43" i="46"/>
  <c r="N59" i="46"/>
  <c r="M59" i="46"/>
  <c r="L59" i="46"/>
  <c r="H59" i="46"/>
  <c r="H30" i="46"/>
  <c r="H32" i="46"/>
  <c r="L32" i="46"/>
  <c r="L33" i="46"/>
  <c r="H33" i="46"/>
  <c r="K33" i="46"/>
  <c r="C44" i="46"/>
  <c r="H84" i="46"/>
  <c r="A85" i="46"/>
  <c r="K84" i="46"/>
  <c r="J84" i="46"/>
  <c r="J130" i="46"/>
  <c r="I30" i="46"/>
  <c r="B33" i="46"/>
  <c r="C33" i="46" s="1"/>
  <c r="C43" i="46" s="1"/>
  <c r="C51" i="46" s="1"/>
  <c r="I34" i="46"/>
  <c r="E34" i="46"/>
  <c r="L34" i="46"/>
  <c r="D44" i="46"/>
  <c r="E107" i="46"/>
  <c r="L107" i="46"/>
  <c r="D107" i="46"/>
  <c r="K107" i="46"/>
  <c r="C107" i="46"/>
  <c r="H107" i="46"/>
  <c r="G107" i="46"/>
  <c r="G112" i="46" s="1"/>
  <c r="G59" i="46" s="1"/>
  <c r="H42" i="46"/>
  <c r="K30" i="46"/>
  <c r="L30" i="46"/>
  <c r="H31" i="46"/>
  <c r="F34" i="46"/>
  <c r="I42" i="46"/>
  <c r="I43" i="46"/>
  <c r="H44" i="46"/>
  <c r="K59" i="46"/>
  <c r="I84" i="46"/>
  <c r="J107" i="46"/>
  <c r="C30" i="46"/>
  <c r="G44" i="46"/>
  <c r="J59" i="46"/>
  <c r="I31" i="46"/>
  <c r="I32" i="46"/>
  <c r="G34" i="46"/>
  <c r="I40" i="46"/>
  <c r="L40" i="46"/>
  <c r="J42" i="46"/>
  <c r="J43" i="46"/>
  <c r="J44" i="46"/>
  <c r="A60" i="46"/>
  <c r="A83" i="46"/>
  <c r="L84" i="46"/>
  <c r="A75" i="46"/>
  <c r="F47" i="46"/>
  <c r="J31" i="46"/>
  <c r="J32" i="46"/>
  <c r="I33" i="46"/>
  <c r="H34" i="46"/>
  <c r="C40" i="46"/>
  <c r="K43" i="46"/>
  <c r="A66" i="46"/>
  <c r="K42" i="46"/>
  <c r="C42" i="46"/>
  <c r="I44" i="46"/>
  <c r="E44" i="46"/>
  <c r="L44" i="46"/>
  <c r="N98" i="46"/>
  <c r="A100" i="46"/>
  <c r="G110" i="46"/>
  <c r="N110" i="46"/>
  <c r="F110" i="46"/>
  <c r="M110" i="46"/>
  <c r="E110" i="46"/>
  <c r="E112" i="46" s="1"/>
  <c r="E59" i="46" s="1"/>
  <c r="L110" i="46"/>
  <c r="D110" i="46"/>
  <c r="K110" i="46"/>
  <c r="C110" i="46"/>
  <c r="I110" i="46"/>
  <c r="H110" i="46"/>
  <c r="G118" i="46"/>
  <c r="F118" i="46"/>
  <c r="E118" i="46"/>
  <c r="L118" i="46"/>
  <c r="D118" i="46"/>
  <c r="K118" i="46"/>
  <c r="C118" i="46"/>
  <c r="I118" i="46"/>
  <c r="H118" i="46"/>
  <c r="J35" i="46"/>
  <c r="J45" i="46"/>
  <c r="M58" i="46"/>
  <c r="N106" i="46" s="1"/>
  <c r="D106" i="46"/>
  <c r="L106" i="46"/>
  <c r="J108" i="46"/>
  <c r="C111" i="46"/>
  <c r="K111" i="46"/>
  <c r="D114" i="46"/>
  <c r="L114" i="46"/>
  <c r="I115" i="46"/>
  <c r="C117" i="46"/>
  <c r="K117" i="46"/>
  <c r="J121" i="46"/>
  <c r="L123" i="46"/>
  <c r="I124" i="46"/>
  <c r="F125" i="46"/>
  <c r="C126" i="46"/>
  <c r="K126" i="46"/>
  <c r="D111" i="46"/>
  <c r="L111" i="46"/>
  <c r="J115" i="46"/>
  <c r="D117" i="46"/>
  <c r="L117" i="46"/>
  <c r="H122" i="46"/>
  <c r="J124" i="46"/>
  <c r="G125" i="46"/>
  <c r="D126" i="46"/>
  <c r="L126" i="46"/>
  <c r="F111" i="46"/>
  <c r="F112" i="46" s="1"/>
  <c r="F59" i="46" s="1"/>
  <c r="N111" i="46"/>
  <c r="F117" i="46"/>
  <c r="J122" i="46"/>
  <c r="H106" i="46"/>
  <c r="F108" i="46"/>
  <c r="N108" i="46"/>
  <c r="I109" i="46"/>
  <c r="M109" i="46" s="1"/>
  <c r="G111" i="46"/>
  <c r="H114" i="46"/>
  <c r="E115" i="46"/>
  <c r="E140" i="46" s="1"/>
  <c r="J116" i="46"/>
  <c r="G117" i="46"/>
  <c r="I119" i="46"/>
  <c r="K122" i="46"/>
  <c r="H123" i="46"/>
  <c r="J125" i="46"/>
  <c r="G126" i="46"/>
  <c r="I106" i="46"/>
  <c r="H111" i="46"/>
  <c r="I114" i="46"/>
  <c r="F115" i="46"/>
  <c r="F140" i="46" s="1"/>
  <c r="C116" i="46"/>
  <c r="H117" i="46"/>
  <c r="L122" i="46"/>
  <c r="I123" i="46"/>
  <c r="C125" i="46"/>
  <c r="K125" i="46"/>
  <c r="H126" i="46"/>
  <c r="I111" i="46"/>
  <c r="I117" i="46"/>
  <c r="D125" i="46"/>
  <c r="I126" i="46"/>
  <c r="H47" i="33"/>
  <c r="I47" i="33"/>
  <c r="J47" i="33"/>
  <c r="K47" i="33"/>
  <c r="L47" i="33"/>
  <c r="H29" i="33"/>
  <c r="I29" i="33"/>
  <c r="J29" i="33"/>
  <c r="K29" i="33"/>
  <c r="L29" i="33"/>
  <c r="C29" i="33"/>
  <c r="D28" i="33"/>
  <c r="E28" i="33"/>
  <c r="F28" i="33"/>
  <c r="G28" i="33"/>
  <c r="H28" i="33"/>
  <c r="I28" i="33"/>
  <c r="J28" i="33"/>
  <c r="K28" i="33"/>
  <c r="L28" i="33"/>
  <c r="C28" i="33"/>
  <c r="M110" i="51" l="1"/>
  <c r="J112" i="51"/>
  <c r="J91" i="51" s="1"/>
  <c r="M107" i="51"/>
  <c r="K112" i="51"/>
  <c r="K91" i="51" s="1"/>
  <c r="F112" i="51"/>
  <c r="F59" i="51" s="1"/>
  <c r="C92" i="51"/>
  <c r="M106" i="51"/>
  <c r="I112" i="51"/>
  <c r="I91" i="51" s="1"/>
  <c r="L112" i="51"/>
  <c r="L91" i="51" s="1"/>
  <c r="M109" i="51"/>
  <c r="C112" i="51"/>
  <c r="C75" i="51" s="1"/>
  <c r="M108" i="51"/>
  <c r="C60" i="51"/>
  <c r="C61" i="51" s="1"/>
  <c r="C114" i="51" s="1"/>
  <c r="E112" i="51"/>
  <c r="E91" i="51" s="1"/>
  <c r="A85" i="51"/>
  <c r="A94" i="51"/>
  <c r="N93" i="51"/>
  <c r="G112" i="51"/>
  <c r="G91" i="51" s="1"/>
  <c r="D112" i="51"/>
  <c r="D91" i="51" s="1"/>
  <c r="H112" i="51"/>
  <c r="H91" i="51" s="1"/>
  <c r="A70" i="51"/>
  <c r="N69" i="51"/>
  <c r="N59" i="51"/>
  <c r="N67" i="51" s="1"/>
  <c r="N75" i="51" s="1"/>
  <c r="N83" i="51" s="1"/>
  <c r="M59" i="51"/>
  <c r="A77" i="51"/>
  <c r="N76" i="51"/>
  <c r="N84" i="51" s="1"/>
  <c r="A100" i="51"/>
  <c r="A99" i="51"/>
  <c r="N98" i="51"/>
  <c r="A62" i="51"/>
  <c r="N61" i="51"/>
  <c r="M75" i="51"/>
  <c r="H112" i="50"/>
  <c r="H83" i="50" s="1"/>
  <c r="C112" i="50"/>
  <c r="C83" i="50" s="1"/>
  <c r="M107" i="50"/>
  <c r="M106" i="50"/>
  <c r="K112" i="50"/>
  <c r="K83" i="50" s="1"/>
  <c r="C50" i="50"/>
  <c r="C48" i="50" s="1"/>
  <c r="C84" i="50"/>
  <c r="G112" i="50"/>
  <c r="G59" i="50" s="1"/>
  <c r="F59" i="50"/>
  <c r="N59" i="50"/>
  <c r="M59" i="50"/>
  <c r="M75" i="50"/>
  <c r="F75" i="50"/>
  <c r="M83" i="50"/>
  <c r="F83" i="50"/>
  <c r="A77" i="50"/>
  <c r="N76" i="50"/>
  <c r="N84" i="50" s="1"/>
  <c r="E112" i="50"/>
  <c r="E75" i="50" s="1"/>
  <c r="A86" i="50"/>
  <c r="I99" i="50"/>
  <c r="H99" i="50"/>
  <c r="L99" i="50"/>
  <c r="D99" i="50"/>
  <c r="K99" i="50"/>
  <c r="C99" i="50"/>
  <c r="F99" i="50"/>
  <c r="E99" i="50"/>
  <c r="G99" i="50"/>
  <c r="N99" i="50"/>
  <c r="M99" i="50"/>
  <c r="J99" i="50"/>
  <c r="J112" i="50"/>
  <c r="J59" i="50" s="1"/>
  <c r="L112" i="50"/>
  <c r="L75" i="50" s="1"/>
  <c r="M67" i="50"/>
  <c r="F67" i="50"/>
  <c r="N67" i="50"/>
  <c r="N75" i="50" s="1"/>
  <c r="N83" i="50" s="1"/>
  <c r="D112" i="50"/>
  <c r="D67" i="50" s="1"/>
  <c r="N101" i="50"/>
  <c r="A102" i="50"/>
  <c r="N68" i="50"/>
  <c r="A69" i="50"/>
  <c r="I112" i="50"/>
  <c r="I75" i="50" s="1"/>
  <c r="A61" i="50"/>
  <c r="N60" i="50"/>
  <c r="C60" i="50"/>
  <c r="C61" i="50" s="1"/>
  <c r="C114" i="50" s="1"/>
  <c r="A92" i="50"/>
  <c r="A91" i="50"/>
  <c r="N90" i="50"/>
  <c r="L112" i="49"/>
  <c r="K112" i="49"/>
  <c r="J112" i="49"/>
  <c r="I112" i="49"/>
  <c r="D112" i="49"/>
  <c r="F112" i="49"/>
  <c r="E112" i="49"/>
  <c r="H112" i="49"/>
  <c r="G112" i="49"/>
  <c r="C50" i="49"/>
  <c r="C48" i="49" s="1"/>
  <c r="C112" i="49"/>
  <c r="M106" i="49"/>
  <c r="M108" i="49"/>
  <c r="A60" i="49"/>
  <c r="N58" i="49"/>
  <c r="N66" i="49" s="1"/>
  <c r="N74" i="49" s="1"/>
  <c r="N82" i="49" s="1"/>
  <c r="A59" i="49"/>
  <c r="A67" i="49"/>
  <c r="A68" i="49"/>
  <c r="H91" i="49"/>
  <c r="G91" i="49"/>
  <c r="N91" i="49"/>
  <c r="F91" i="49"/>
  <c r="M91" i="49"/>
  <c r="E91" i="49"/>
  <c r="L91" i="49"/>
  <c r="D91" i="49"/>
  <c r="K91" i="49"/>
  <c r="C91" i="49"/>
  <c r="I91" i="49"/>
  <c r="J91" i="49"/>
  <c r="A99" i="49"/>
  <c r="N98" i="49"/>
  <c r="A100" i="49"/>
  <c r="A94" i="49"/>
  <c r="N93" i="49"/>
  <c r="M107" i="49"/>
  <c r="A84" i="49"/>
  <c r="A83" i="49"/>
  <c r="A75" i="49"/>
  <c r="A76" i="49"/>
  <c r="C112" i="48"/>
  <c r="C83" i="48" s="1"/>
  <c r="D112" i="48"/>
  <c r="D75" i="48" s="1"/>
  <c r="F112" i="48"/>
  <c r="F75" i="48" s="1"/>
  <c r="C50" i="48"/>
  <c r="C48" i="48" s="1"/>
  <c r="C84" i="48"/>
  <c r="A77" i="48"/>
  <c r="L76" i="48"/>
  <c r="K76" i="48"/>
  <c r="J76" i="48"/>
  <c r="I76" i="48"/>
  <c r="H76" i="48"/>
  <c r="C30" i="48"/>
  <c r="C40" i="48" s="1"/>
  <c r="B29" i="48"/>
  <c r="M107" i="48"/>
  <c r="M108" i="48"/>
  <c r="M109" i="48"/>
  <c r="G112" i="48"/>
  <c r="G75" i="48" s="1"/>
  <c r="A99" i="48"/>
  <c r="N98" i="48"/>
  <c r="A100" i="48"/>
  <c r="A60" i="48"/>
  <c r="A59" i="48"/>
  <c r="N58" i="48"/>
  <c r="L75" i="48"/>
  <c r="K75" i="48"/>
  <c r="J75" i="48"/>
  <c r="I75" i="48"/>
  <c r="H75" i="48"/>
  <c r="M75" i="48"/>
  <c r="A86" i="48"/>
  <c r="A67" i="48"/>
  <c r="N66" i="48"/>
  <c r="N74" i="48" s="1"/>
  <c r="N82" i="48" s="1"/>
  <c r="A68" i="48"/>
  <c r="M106" i="48"/>
  <c r="A92" i="48"/>
  <c r="A91" i="48"/>
  <c r="N90" i="48"/>
  <c r="E112" i="48"/>
  <c r="E75" i="48" s="1"/>
  <c r="M83" i="48"/>
  <c r="L83" i="48"/>
  <c r="K83" i="48"/>
  <c r="J83" i="48"/>
  <c r="I83" i="48"/>
  <c r="H83" i="48"/>
  <c r="M108" i="47"/>
  <c r="M106" i="47"/>
  <c r="M107" i="47"/>
  <c r="A67" i="47"/>
  <c r="A68" i="47"/>
  <c r="A92" i="47"/>
  <c r="N90" i="47"/>
  <c r="A91" i="47"/>
  <c r="A84" i="47"/>
  <c r="A83" i="47"/>
  <c r="A60" i="47"/>
  <c r="N58" i="47"/>
  <c r="N66" i="47" s="1"/>
  <c r="N74" i="47" s="1"/>
  <c r="N82" i="47" s="1"/>
  <c r="A59" i="47"/>
  <c r="A75" i="47"/>
  <c r="A76" i="47"/>
  <c r="A99" i="47"/>
  <c r="N98" i="47"/>
  <c r="A100" i="47"/>
  <c r="M107" i="46"/>
  <c r="M108" i="46"/>
  <c r="M106" i="46"/>
  <c r="C112" i="46"/>
  <c r="C59" i="46" s="1"/>
  <c r="C84" i="46"/>
  <c r="A92" i="46"/>
  <c r="A91" i="46"/>
  <c r="N90" i="46"/>
  <c r="A86" i="46"/>
  <c r="A67" i="46"/>
  <c r="N66" i="46"/>
  <c r="N74" i="46" s="1"/>
  <c r="N82" i="46" s="1"/>
  <c r="A68" i="46"/>
  <c r="M83" i="46"/>
  <c r="E83" i="46"/>
  <c r="L83" i="46"/>
  <c r="D83" i="46"/>
  <c r="K83" i="46"/>
  <c r="C83" i="46"/>
  <c r="H83" i="46"/>
  <c r="G83" i="46"/>
  <c r="F83" i="46"/>
  <c r="J83" i="46"/>
  <c r="I83" i="46"/>
  <c r="L100" i="46"/>
  <c r="D100" i="46"/>
  <c r="K100" i="46"/>
  <c r="C100" i="46"/>
  <c r="J100" i="46"/>
  <c r="G100" i="46"/>
  <c r="A101" i="46"/>
  <c r="F100" i="46"/>
  <c r="I100" i="46"/>
  <c r="N100" i="46"/>
  <c r="H100" i="46"/>
  <c r="E100" i="46"/>
  <c r="A78" i="46"/>
  <c r="I60" i="46"/>
  <c r="H60" i="46"/>
  <c r="K60" i="46"/>
  <c r="A61" i="46"/>
  <c r="N60" i="46"/>
  <c r="L60" i="46"/>
  <c r="J60" i="46"/>
  <c r="D112" i="46"/>
  <c r="D59" i="46" s="1"/>
  <c r="K75" i="46"/>
  <c r="C75" i="46"/>
  <c r="J75" i="46"/>
  <c r="I75" i="46"/>
  <c r="F75" i="46"/>
  <c r="M75" i="46"/>
  <c r="E75" i="46"/>
  <c r="L75" i="46"/>
  <c r="H75" i="46"/>
  <c r="G75" i="46"/>
  <c r="D75" i="46"/>
  <c r="C50" i="46"/>
  <c r="B29" i="46"/>
  <c r="H134" i="33"/>
  <c r="I134" i="33"/>
  <c r="J134" i="33"/>
  <c r="K134" i="33"/>
  <c r="L134" i="33"/>
  <c r="H131" i="33"/>
  <c r="I131" i="33"/>
  <c r="J131" i="33"/>
  <c r="K131" i="33"/>
  <c r="L131" i="33"/>
  <c r="H132" i="33"/>
  <c r="I132" i="33"/>
  <c r="J132" i="33"/>
  <c r="K132" i="33"/>
  <c r="L132" i="33"/>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K67" i="51" l="1"/>
  <c r="L75" i="51"/>
  <c r="E75" i="51"/>
  <c r="L67" i="51"/>
  <c r="L59" i="51"/>
  <c r="I83" i="51"/>
  <c r="H75" i="51"/>
  <c r="I75" i="51"/>
  <c r="G59" i="51"/>
  <c r="F83" i="51"/>
  <c r="I59" i="51"/>
  <c r="I67" i="51"/>
  <c r="J83" i="51"/>
  <c r="J59" i="51"/>
  <c r="J75" i="51"/>
  <c r="J67" i="51"/>
  <c r="G75" i="51"/>
  <c r="C67" i="51"/>
  <c r="C91" i="51"/>
  <c r="C83" i="51"/>
  <c r="F75" i="51"/>
  <c r="K59" i="51"/>
  <c r="D75" i="51"/>
  <c r="C59" i="51"/>
  <c r="K83" i="51"/>
  <c r="F67" i="51"/>
  <c r="F91" i="51"/>
  <c r="K75" i="51"/>
  <c r="L83" i="51"/>
  <c r="C62" i="51"/>
  <c r="C121" i="51" s="1"/>
  <c r="N62" i="51"/>
  <c r="A78" i="51"/>
  <c r="N77" i="51"/>
  <c r="H67" i="51"/>
  <c r="H83" i="51"/>
  <c r="C68" i="51"/>
  <c r="C69" i="51" s="1"/>
  <c r="C115" i="51" s="1"/>
  <c r="C140" i="51" s="1"/>
  <c r="G99" i="51"/>
  <c r="N99" i="51"/>
  <c r="F99" i="51"/>
  <c r="L99" i="51"/>
  <c r="D99" i="51"/>
  <c r="E99" i="51"/>
  <c r="C99" i="51"/>
  <c r="M99" i="51"/>
  <c r="H99" i="51"/>
  <c r="K99" i="51"/>
  <c r="J99" i="51"/>
  <c r="I99" i="51"/>
  <c r="D67" i="51"/>
  <c r="D83" i="51"/>
  <c r="A86" i="51"/>
  <c r="N85" i="51"/>
  <c r="N94" i="51"/>
  <c r="C94" i="51"/>
  <c r="C125" i="51" s="1"/>
  <c r="J100" i="51"/>
  <c r="I100" i="51"/>
  <c r="G100" i="51"/>
  <c r="E100" i="51"/>
  <c r="D100" i="51"/>
  <c r="A101" i="51"/>
  <c r="C100" i="51"/>
  <c r="N100" i="51"/>
  <c r="L100" i="51"/>
  <c r="K100" i="51"/>
  <c r="H100" i="51"/>
  <c r="F100" i="51"/>
  <c r="C76" i="51"/>
  <c r="C77" i="51" s="1"/>
  <c r="C116" i="51" s="1"/>
  <c r="D59" i="51"/>
  <c r="H59" i="51"/>
  <c r="G83" i="51"/>
  <c r="G67" i="51"/>
  <c r="N70" i="51"/>
  <c r="E67" i="51"/>
  <c r="E83" i="51"/>
  <c r="E59" i="51"/>
  <c r="C84" i="51"/>
  <c r="H59" i="50"/>
  <c r="H67" i="50"/>
  <c r="G67" i="50"/>
  <c r="G75" i="50"/>
  <c r="C75" i="50"/>
  <c r="H75" i="50"/>
  <c r="C67" i="50"/>
  <c r="C59" i="50"/>
  <c r="K59" i="50"/>
  <c r="K75" i="50"/>
  <c r="K67" i="50"/>
  <c r="I59" i="50"/>
  <c r="L67" i="50"/>
  <c r="L83" i="50"/>
  <c r="G91" i="50"/>
  <c r="N91" i="50"/>
  <c r="F91" i="50"/>
  <c r="J91" i="50"/>
  <c r="M91" i="50"/>
  <c r="L91" i="50"/>
  <c r="K91" i="50"/>
  <c r="C91" i="50"/>
  <c r="I91" i="50"/>
  <c r="H91" i="50"/>
  <c r="E91" i="50"/>
  <c r="D91" i="50"/>
  <c r="A70" i="50"/>
  <c r="C76" i="50"/>
  <c r="C77" i="50" s="1"/>
  <c r="C116" i="50" s="1"/>
  <c r="E83" i="50"/>
  <c r="E59" i="50"/>
  <c r="D59" i="50"/>
  <c r="J92" i="50"/>
  <c r="I92" i="50"/>
  <c r="N92" i="50"/>
  <c r="E92" i="50"/>
  <c r="A93" i="50"/>
  <c r="L92" i="50"/>
  <c r="K92" i="50"/>
  <c r="C92" i="50"/>
  <c r="H92" i="50"/>
  <c r="G92" i="50"/>
  <c r="F92" i="50"/>
  <c r="D92" i="50"/>
  <c r="E67" i="50"/>
  <c r="J83" i="50"/>
  <c r="L59" i="50"/>
  <c r="J75" i="50"/>
  <c r="D75" i="50"/>
  <c r="N61" i="50"/>
  <c r="N69" i="50" s="1"/>
  <c r="N77" i="50" s="1"/>
  <c r="N85" i="50" s="1"/>
  <c r="A62" i="50"/>
  <c r="I67" i="50"/>
  <c r="G83" i="50"/>
  <c r="F102" i="50"/>
  <c r="N102" i="50"/>
  <c r="E102" i="50"/>
  <c r="L102" i="50"/>
  <c r="I102" i="50"/>
  <c r="H102" i="50"/>
  <c r="K102" i="50"/>
  <c r="J102" i="50"/>
  <c r="G102" i="50"/>
  <c r="D102" i="50"/>
  <c r="C102" i="50"/>
  <c r="J67" i="50"/>
  <c r="C86" i="50"/>
  <c r="C124" i="50" s="1"/>
  <c r="D33" i="50" s="1"/>
  <c r="I83" i="50"/>
  <c r="C49" i="50"/>
  <c r="C68" i="50" s="1"/>
  <c r="C69" i="50" s="1"/>
  <c r="C115" i="50" s="1"/>
  <c r="C140" i="50" s="1"/>
  <c r="A78" i="50"/>
  <c r="D83" i="50"/>
  <c r="C49" i="49"/>
  <c r="C68" i="49" s="1"/>
  <c r="H59" i="49"/>
  <c r="G59" i="49"/>
  <c r="N59" i="49"/>
  <c r="F59" i="49"/>
  <c r="M59" i="49"/>
  <c r="E59" i="49"/>
  <c r="L59" i="49"/>
  <c r="D59" i="49"/>
  <c r="I59" i="49"/>
  <c r="K59" i="49"/>
  <c r="C59" i="49"/>
  <c r="J59" i="49"/>
  <c r="C60" i="49"/>
  <c r="A61" i="49"/>
  <c r="N60" i="49"/>
  <c r="A77" i="49"/>
  <c r="C76" i="49"/>
  <c r="N94" i="49"/>
  <c r="E94" i="49"/>
  <c r="L94" i="49"/>
  <c r="D94" i="49"/>
  <c r="K94" i="49"/>
  <c r="C94" i="49"/>
  <c r="J94" i="49"/>
  <c r="I94" i="49"/>
  <c r="H94" i="49"/>
  <c r="F94" i="49"/>
  <c r="G94" i="49"/>
  <c r="N68" i="49"/>
  <c r="N76" i="49" s="1"/>
  <c r="N84" i="49" s="1"/>
  <c r="A69" i="49"/>
  <c r="N100" i="49"/>
  <c r="E100" i="49"/>
  <c r="L100" i="49"/>
  <c r="D100" i="49"/>
  <c r="A101" i="49"/>
  <c r="K100" i="49"/>
  <c r="C100" i="49"/>
  <c r="J100" i="49"/>
  <c r="I100" i="49"/>
  <c r="H100" i="49"/>
  <c r="F100" i="49"/>
  <c r="G100" i="49"/>
  <c r="F83" i="49"/>
  <c r="M83" i="49"/>
  <c r="E83" i="49"/>
  <c r="L83" i="49"/>
  <c r="D83" i="49"/>
  <c r="K83" i="49"/>
  <c r="C83" i="49"/>
  <c r="J83" i="49"/>
  <c r="I83" i="49"/>
  <c r="G83" i="49"/>
  <c r="H83" i="49"/>
  <c r="A85" i="49"/>
  <c r="C84" i="49"/>
  <c r="L75" i="49"/>
  <c r="D75" i="49"/>
  <c r="M75" i="49"/>
  <c r="K75" i="49"/>
  <c r="C75" i="49"/>
  <c r="J75" i="49"/>
  <c r="I75" i="49"/>
  <c r="H75" i="49"/>
  <c r="G75" i="49"/>
  <c r="E75" i="49"/>
  <c r="N75" i="49"/>
  <c r="N83" i="49" s="1"/>
  <c r="F75" i="49"/>
  <c r="J67" i="49"/>
  <c r="K67" i="49"/>
  <c r="I67" i="49"/>
  <c r="H67" i="49"/>
  <c r="G67" i="49"/>
  <c r="N67" i="49"/>
  <c r="F67" i="49"/>
  <c r="C67" i="49"/>
  <c r="M67" i="49"/>
  <c r="E67" i="49"/>
  <c r="L67" i="49"/>
  <c r="D67" i="49"/>
  <c r="J99" i="49"/>
  <c r="I99" i="49"/>
  <c r="H99" i="49"/>
  <c r="G99" i="49"/>
  <c r="C99" i="49"/>
  <c r="N99" i="49"/>
  <c r="F99" i="49"/>
  <c r="K99" i="49"/>
  <c r="M99" i="49"/>
  <c r="E99" i="49"/>
  <c r="L99" i="49"/>
  <c r="D99" i="49"/>
  <c r="D83" i="48"/>
  <c r="C75" i="48"/>
  <c r="F83" i="48"/>
  <c r="K86" i="48"/>
  <c r="C86" i="48"/>
  <c r="C124" i="48" s="1"/>
  <c r="D33" i="48" s="1"/>
  <c r="J86" i="48"/>
  <c r="I86" i="48"/>
  <c r="H86" i="48"/>
  <c r="L86" i="48"/>
  <c r="K92" i="48"/>
  <c r="C92" i="48"/>
  <c r="J92" i="48"/>
  <c r="I92" i="48"/>
  <c r="H92" i="48"/>
  <c r="G92" i="48"/>
  <c r="A93" i="48"/>
  <c r="F92" i="48"/>
  <c r="N92" i="48"/>
  <c r="E92" i="48"/>
  <c r="L92" i="48"/>
  <c r="D92" i="48"/>
  <c r="G83" i="48"/>
  <c r="E83" i="48"/>
  <c r="A69" i="48"/>
  <c r="N68" i="48"/>
  <c r="N76" i="48" s="1"/>
  <c r="N84" i="48" s="1"/>
  <c r="L68" i="48"/>
  <c r="K68" i="48"/>
  <c r="C68" i="48"/>
  <c r="J68" i="48"/>
  <c r="I68" i="48"/>
  <c r="H68" i="48"/>
  <c r="A78" i="48"/>
  <c r="J99" i="48"/>
  <c r="I99" i="48"/>
  <c r="H99" i="48"/>
  <c r="G99" i="48"/>
  <c r="N99" i="48"/>
  <c r="F99" i="48"/>
  <c r="M99" i="48"/>
  <c r="E99" i="48"/>
  <c r="L99" i="48"/>
  <c r="D99" i="48"/>
  <c r="K99" i="48"/>
  <c r="C99" i="48"/>
  <c r="C76" i="48"/>
  <c r="L67" i="48"/>
  <c r="D67" i="48"/>
  <c r="K67" i="48"/>
  <c r="C67" i="48"/>
  <c r="J67" i="48"/>
  <c r="I67" i="48"/>
  <c r="H67" i="48"/>
  <c r="G67" i="48"/>
  <c r="F67" i="48"/>
  <c r="M67" i="48"/>
  <c r="E67" i="48"/>
  <c r="G59" i="48"/>
  <c r="N59" i="48"/>
  <c r="N67" i="48" s="1"/>
  <c r="N75" i="48" s="1"/>
  <c r="N83" i="48" s="1"/>
  <c r="F59" i="48"/>
  <c r="M59" i="48"/>
  <c r="E59" i="48"/>
  <c r="L59" i="48"/>
  <c r="D59" i="48"/>
  <c r="K59" i="48"/>
  <c r="C59" i="48"/>
  <c r="J59" i="48"/>
  <c r="I59" i="48"/>
  <c r="H59" i="48"/>
  <c r="C49" i="48"/>
  <c r="J60" i="48"/>
  <c r="I60" i="48"/>
  <c r="H60" i="48"/>
  <c r="A61" i="48"/>
  <c r="N60" i="48"/>
  <c r="L60" i="48"/>
  <c r="K60" i="48"/>
  <c r="C60" i="48"/>
  <c r="N100" i="48"/>
  <c r="E100" i="48"/>
  <c r="L100" i="48"/>
  <c r="D100" i="48"/>
  <c r="K100" i="48"/>
  <c r="C100" i="48"/>
  <c r="J100" i="48"/>
  <c r="I100" i="48"/>
  <c r="H100" i="48"/>
  <c r="G100" i="48"/>
  <c r="A101" i="48"/>
  <c r="F100" i="48"/>
  <c r="H91" i="48"/>
  <c r="G91" i="48"/>
  <c r="N91" i="48"/>
  <c r="F91" i="48"/>
  <c r="M91" i="48"/>
  <c r="E91" i="48"/>
  <c r="L91" i="48"/>
  <c r="D91" i="48"/>
  <c r="K91" i="48"/>
  <c r="C91" i="48"/>
  <c r="J91" i="48"/>
  <c r="I91" i="48"/>
  <c r="I84" i="47"/>
  <c r="H84" i="47"/>
  <c r="G84" i="47"/>
  <c r="J84" i="47"/>
  <c r="A85" i="47"/>
  <c r="F84" i="47"/>
  <c r="E84" i="47"/>
  <c r="L84" i="47"/>
  <c r="D84" i="47"/>
  <c r="K84" i="47"/>
  <c r="C84" i="47"/>
  <c r="H91" i="47"/>
  <c r="G91" i="47"/>
  <c r="N91" i="47"/>
  <c r="F91" i="47"/>
  <c r="I91" i="47"/>
  <c r="M91" i="47"/>
  <c r="E91" i="47"/>
  <c r="L91" i="47"/>
  <c r="D91" i="47"/>
  <c r="K91" i="47"/>
  <c r="C91" i="47"/>
  <c r="J91" i="47"/>
  <c r="G76" i="47"/>
  <c r="A77" i="47"/>
  <c r="F76" i="47"/>
  <c r="E76" i="47"/>
  <c r="L76" i="47"/>
  <c r="D76" i="47"/>
  <c r="K76" i="47"/>
  <c r="C76" i="47"/>
  <c r="H76" i="47"/>
  <c r="J76" i="47"/>
  <c r="I76" i="47"/>
  <c r="L75" i="47"/>
  <c r="D75" i="47"/>
  <c r="K75" i="47"/>
  <c r="C75" i="47"/>
  <c r="M75" i="47"/>
  <c r="J75" i="47"/>
  <c r="E75" i="47"/>
  <c r="I75" i="47"/>
  <c r="H75" i="47"/>
  <c r="G75" i="47"/>
  <c r="F75" i="47"/>
  <c r="H59" i="47"/>
  <c r="G59" i="47"/>
  <c r="I59" i="47"/>
  <c r="N59" i="47"/>
  <c r="F59" i="47"/>
  <c r="M59" i="47"/>
  <c r="E59" i="47"/>
  <c r="L59" i="47"/>
  <c r="D59" i="47"/>
  <c r="K59" i="47"/>
  <c r="C59" i="47"/>
  <c r="J59" i="47"/>
  <c r="K92" i="47"/>
  <c r="C92" i="47"/>
  <c r="J92" i="47"/>
  <c r="I92" i="47"/>
  <c r="H92" i="47"/>
  <c r="L92" i="47"/>
  <c r="G92" i="47"/>
  <c r="A93" i="47"/>
  <c r="F92" i="47"/>
  <c r="D92" i="47"/>
  <c r="N92" i="47"/>
  <c r="E92" i="47"/>
  <c r="E68" i="47"/>
  <c r="L68" i="47"/>
  <c r="D68" i="47"/>
  <c r="K68" i="47"/>
  <c r="C68" i="47"/>
  <c r="F68" i="47"/>
  <c r="J68" i="47"/>
  <c r="I68" i="47"/>
  <c r="H68" i="47"/>
  <c r="A69" i="47"/>
  <c r="G68" i="47"/>
  <c r="N100" i="47"/>
  <c r="E100" i="47"/>
  <c r="A101" i="47"/>
  <c r="L100" i="47"/>
  <c r="D100" i="47"/>
  <c r="K100" i="47"/>
  <c r="C100" i="47"/>
  <c r="J100" i="47"/>
  <c r="I100" i="47"/>
  <c r="H100" i="47"/>
  <c r="G100" i="47"/>
  <c r="F100" i="47"/>
  <c r="K60" i="47"/>
  <c r="C60" i="47"/>
  <c r="J60" i="47"/>
  <c r="I60" i="47"/>
  <c r="H60" i="47"/>
  <c r="L60" i="47"/>
  <c r="G60" i="47"/>
  <c r="D60" i="47"/>
  <c r="A61" i="47"/>
  <c r="F60" i="47"/>
  <c r="N60" i="47"/>
  <c r="N68" i="47" s="1"/>
  <c r="N76" i="47" s="1"/>
  <c r="N84" i="47" s="1"/>
  <c r="E60" i="47"/>
  <c r="J67" i="47"/>
  <c r="I67" i="47"/>
  <c r="K67" i="47"/>
  <c r="H67" i="47"/>
  <c r="G67" i="47"/>
  <c r="N67" i="47"/>
  <c r="N75" i="47" s="1"/>
  <c r="N83" i="47" s="1"/>
  <c r="F67" i="47"/>
  <c r="M67" i="47"/>
  <c r="E67" i="47"/>
  <c r="L67" i="47"/>
  <c r="D67" i="47"/>
  <c r="C67" i="47"/>
  <c r="J99" i="47"/>
  <c r="I99" i="47"/>
  <c r="H99" i="47"/>
  <c r="G99" i="47"/>
  <c r="N99" i="47"/>
  <c r="F99" i="47"/>
  <c r="M99" i="47"/>
  <c r="E99" i="47"/>
  <c r="C99" i="47"/>
  <c r="L99" i="47"/>
  <c r="D99" i="47"/>
  <c r="K99" i="47"/>
  <c r="F83" i="47"/>
  <c r="M83" i="47"/>
  <c r="E83" i="47"/>
  <c r="G83" i="47"/>
  <c r="L83" i="47"/>
  <c r="D83" i="47"/>
  <c r="K83" i="47"/>
  <c r="C83" i="47"/>
  <c r="J83" i="47"/>
  <c r="I83" i="47"/>
  <c r="H83" i="47"/>
  <c r="C48" i="46"/>
  <c r="C60" i="46" s="1"/>
  <c r="C76" i="46"/>
  <c r="J86" i="46"/>
  <c r="I86" i="46"/>
  <c r="H86" i="46"/>
  <c r="L86" i="46"/>
  <c r="C86" i="46"/>
  <c r="C124" i="46" s="1"/>
  <c r="D33" i="46" s="1"/>
  <c r="K86" i="46"/>
  <c r="N101" i="46"/>
  <c r="A102" i="46"/>
  <c r="H78" i="46"/>
  <c r="K78" i="46"/>
  <c r="C78" i="46"/>
  <c r="C123" i="46" s="1"/>
  <c r="D32" i="46" s="1"/>
  <c r="J78" i="46"/>
  <c r="L78" i="46"/>
  <c r="I78" i="46"/>
  <c r="G91" i="46"/>
  <c r="N91" i="46"/>
  <c r="F91" i="46"/>
  <c r="M91" i="46"/>
  <c r="E91" i="46"/>
  <c r="J91" i="46"/>
  <c r="I91" i="46"/>
  <c r="C91" i="46"/>
  <c r="K91" i="46"/>
  <c r="L91" i="46"/>
  <c r="H91" i="46"/>
  <c r="D91" i="46"/>
  <c r="A69" i="46"/>
  <c r="N68" i="46"/>
  <c r="N76" i="46" s="1"/>
  <c r="N84" i="46" s="1"/>
  <c r="L68" i="46"/>
  <c r="I68" i="46"/>
  <c r="H68" i="46"/>
  <c r="K68" i="46"/>
  <c r="J68" i="46"/>
  <c r="J92" i="46"/>
  <c r="I92" i="46"/>
  <c r="H92" i="46"/>
  <c r="N92" i="46"/>
  <c r="E92" i="46"/>
  <c r="L92" i="46"/>
  <c r="D92" i="46"/>
  <c r="G92" i="46"/>
  <c r="F92" i="46"/>
  <c r="C92" i="46"/>
  <c r="A93" i="46"/>
  <c r="K92" i="46"/>
  <c r="A62" i="46"/>
  <c r="N61" i="46"/>
  <c r="K67" i="46"/>
  <c r="C67" i="46"/>
  <c r="J67" i="46"/>
  <c r="I67" i="46"/>
  <c r="N67" i="46"/>
  <c r="N75" i="46" s="1"/>
  <c r="N83" i="46" s="1"/>
  <c r="F67" i="46"/>
  <c r="M67" i="46"/>
  <c r="E67" i="46"/>
  <c r="L67" i="46"/>
  <c r="H67" i="46"/>
  <c r="D67" i="46"/>
  <c r="G67" i="46"/>
  <c r="C49" i="46"/>
  <c r="C68" i="46" s="1"/>
  <c r="C58" i="33"/>
  <c r="F57" i="33"/>
  <c r="F74" i="33"/>
  <c r="F58" i="33" s="1"/>
  <c r="E74" i="33"/>
  <c r="E66" i="33"/>
  <c r="D58" i="33"/>
  <c r="E58" i="33"/>
  <c r="C86" i="51" l="1"/>
  <c r="C124" i="51" s="1"/>
  <c r="D33" i="51" s="1"/>
  <c r="N78" i="51"/>
  <c r="N86" i="51" s="1"/>
  <c r="C78" i="51"/>
  <c r="C123" i="51" s="1"/>
  <c r="D32" i="51" s="1"/>
  <c r="C70" i="51"/>
  <c r="C122" i="51" s="1"/>
  <c r="D31" i="51" s="1"/>
  <c r="D30" i="51"/>
  <c r="N101" i="51"/>
  <c r="A102" i="51"/>
  <c r="C78" i="50"/>
  <c r="C123" i="50" s="1"/>
  <c r="D32" i="50" s="1"/>
  <c r="N93" i="50"/>
  <c r="A94" i="50"/>
  <c r="C70" i="50"/>
  <c r="C122" i="50" s="1"/>
  <c r="D31" i="50" s="1"/>
  <c r="N70" i="50"/>
  <c r="N78" i="50" s="1"/>
  <c r="N86" i="50" s="1"/>
  <c r="N62" i="50"/>
  <c r="C62" i="50"/>
  <c r="C121" i="50" s="1"/>
  <c r="A102" i="49"/>
  <c r="N101" i="49"/>
  <c r="A62" i="49"/>
  <c r="N61" i="49"/>
  <c r="A86" i="49"/>
  <c r="A70" i="49"/>
  <c r="N69" i="49"/>
  <c r="N77" i="49"/>
  <c r="N85" i="49" s="1"/>
  <c r="A78" i="49"/>
  <c r="N69" i="48"/>
  <c r="N77" i="48" s="1"/>
  <c r="N85" i="48" s="1"/>
  <c r="A70" i="48"/>
  <c r="I78" i="48"/>
  <c r="H78" i="48"/>
  <c r="L78" i="48"/>
  <c r="K78" i="48"/>
  <c r="C78" i="48"/>
  <c r="C123" i="48" s="1"/>
  <c r="D32" i="48" s="1"/>
  <c r="J78" i="48"/>
  <c r="A62" i="48"/>
  <c r="N61" i="48"/>
  <c r="A102" i="48"/>
  <c r="N101" i="48"/>
  <c r="A94" i="48"/>
  <c r="N93" i="48"/>
  <c r="A102" i="47"/>
  <c r="N101" i="47"/>
  <c r="A62" i="47"/>
  <c r="N61" i="47"/>
  <c r="A86" i="47"/>
  <c r="N77" i="47"/>
  <c r="N85" i="47" s="1"/>
  <c r="A78" i="47"/>
  <c r="A94" i="47"/>
  <c r="N93" i="47"/>
  <c r="A70" i="47"/>
  <c r="N69" i="47"/>
  <c r="K62" i="46"/>
  <c r="C62" i="46"/>
  <c r="C121" i="46" s="1"/>
  <c r="J62" i="46"/>
  <c r="I62" i="46"/>
  <c r="N62" i="46"/>
  <c r="L62" i="46"/>
  <c r="H62" i="46"/>
  <c r="A94" i="46"/>
  <c r="N93" i="46"/>
  <c r="F102" i="46"/>
  <c r="N102" i="46"/>
  <c r="E102" i="46"/>
  <c r="L102" i="46"/>
  <c r="D102" i="46"/>
  <c r="I102" i="46"/>
  <c r="H102" i="46"/>
  <c r="G102" i="46"/>
  <c r="C102" i="46"/>
  <c r="K102" i="46"/>
  <c r="J102" i="46"/>
  <c r="A70" i="46"/>
  <c r="N69" i="46"/>
  <c r="N77" i="46" s="1"/>
  <c r="N85" i="46" s="1"/>
  <c r="C127" i="51" l="1"/>
  <c r="L102" i="51"/>
  <c r="D102" i="51"/>
  <c r="K102" i="51"/>
  <c r="C102" i="51"/>
  <c r="I102" i="51"/>
  <c r="E102" i="51"/>
  <c r="F102" i="51"/>
  <c r="N102" i="51"/>
  <c r="J102" i="51"/>
  <c r="H102" i="51"/>
  <c r="G102" i="51"/>
  <c r="C127" i="50"/>
  <c r="D30" i="50"/>
  <c r="L94" i="50"/>
  <c r="D94" i="50"/>
  <c r="K94" i="50"/>
  <c r="C94" i="50"/>
  <c r="G94" i="50"/>
  <c r="F94" i="50"/>
  <c r="N94" i="50"/>
  <c r="J94" i="50"/>
  <c r="I94" i="50"/>
  <c r="H94" i="50"/>
  <c r="E94" i="50"/>
  <c r="N62" i="49"/>
  <c r="N70" i="49" s="1"/>
  <c r="N78" i="49" s="1"/>
  <c r="N86" i="49" s="1"/>
  <c r="C62" i="49"/>
  <c r="C121" i="49" s="1"/>
  <c r="G102" i="49"/>
  <c r="F102" i="49"/>
  <c r="N102" i="49"/>
  <c r="E102" i="49"/>
  <c r="L102" i="49"/>
  <c r="D102" i="49"/>
  <c r="K102" i="49"/>
  <c r="C102" i="49"/>
  <c r="J102" i="49"/>
  <c r="H102" i="49"/>
  <c r="I102" i="49"/>
  <c r="C70" i="49"/>
  <c r="C122" i="49" s="1"/>
  <c r="D31" i="49" s="1"/>
  <c r="C78" i="49"/>
  <c r="C123" i="49" s="1"/>
  <c r="D32" i="49" s="1"/>
  <c r="C86" i="49"/>
  <c r="C124" i="49" s="1"/>
  <c r="D33" i="49" s="1"/>
  <c r="G102" i="48"/>
  <c r="F102" i="48"/>
  <c r="N102" i="48"/>
  <c r="E102" i="48"/>
  <c r="L102" i="48"/>
  <c r="D102" i="48"/>
  <c r="K102" i="48"/>
  <c r="C102" i="48"/>
  <c r="J102" i="48"/>
  <c r="I102" i="48"/>
  <c r="H102" i="48"/>
  <c r="L62" i="48"/>
  <c r="K62" i="48"/>
  <c r="C62" i="48"/>
  <c r="C121" i="48" s="1"/>
  <c r="J62" i="48"/>
  <c r="I62" i="48"/>
  <c r="H62" i="48"/>
  <c r="N62" i="48"/>
  <c r="N70" i="48" s="1"/>
  <c r="N78" i="48" s="1"/>
  <c r="N86" i="48" s="1"/>
  <c r="N94" i="48"/>
  <c r="E94" i="48"/>
  <c r="L94" i="48"/>
  <c r="D94" i="48"/>
  <c r="K94" i="48"/>
  <c r="C94" i="48"/>
  <c r="J94" i="48"/>
  <c r="I94" i="48"/>
  <c r="H94" i="48"/>
  <c r="G94" i="48"/>
  <c r="F94" i="48"/>
  <c r="I70" i="48"/>
  <c r="H70" i="48"/>
  <c r="L70" i="48"/>
  <c r="K70" i="48"/>
  <c r="C70" i="48"/>
  <c r="C122" i="48" s="1"/>
  <c r="D31" i="48" s="1"/>
  <c r="J70" i="48"/>
  <c r="K86" i="47"/>
  <c r="C86" i="47"/>
  <c r="L86" i="47"/>
  <c r="J86" i="47"/>
  <c r="I86" i="47"/>
  <c r="H86" i="47"/>
  <c r="G86" i="47"/>
  <c r="F86" i="47"/>
  <c r="D86" i="47"/>
  <c r="E86" i="47"/>
  <c r="I78" i="47"/>
  <c r="J78" i="47"/>
  <c r="H78" i="47"/>
  <c r="G78" i="47"/>
  <c r="F78" i="47"/>
  <c r="E78" i="47"/>
  <c r="L78" i="47"/>
  <c r="D78" i="47"/>
  <c r="K78" i="47"/>
  <c r="C78" i="47"/>
  <c r="G70" i="47"/>
  <c r="F70" i="47"/>
  <c r="E70" i="47"/>
  <c r="L70" i="47"/>
  <c r="D70" i="47"/>
  <c r="H70" i="47"/>
  <c r="K70" i="47"/>
  <c r="C70" i="47"/>
  <c r="J70" i="47"/>
  <c r="I70" i="47"/>
  <c r="N62" i="47"/>
  <c r="N70" i="47" s="1"/>
  <c r="N78" i="47" s="1"/>
  <c r="N86" i="47" s="1"/>
  <c r="E62" i="47"/>
  <c r="F62" i="47"/>
  <c r="L62" i="47"/>
  <c r="D62" i="47"/>
  <c r="K62" i="47"/>
  <c r="C62" i="47"/>
  <c r="J62" i="47"/>
  <c r="I62" i="47"/>
  <c r="H62" i="47"/>
  <c r="G62" i="47"/>
  <c r="N94" i="47"/>
  <c r="E94" i="47"/>
  <c r="F94" i="47"/>
  <c r="L94" i="47"/>
  <c r="D94" i="47"/>
  <c r="K94" i="47"/>
  <c r="C94" i="47"/>
  <c r="J94" i="47"/>
  <c r="I94" i="47"/>
  <c r="H94" i="47"/>
  <c r="G94" i="47"/>
  <c r="G102" i="47"/>
  <c r="F102" i="47"/>
  <c r="N102" i="47"/>
  <c r="E102" i="47"/>
  <c r="L102" i="47"/>
  <c r="D102" i="47"/>
  <c r="K102" i="47"/>
  <c r="C102" i="47"/>
  <c r="J102" i="47"/>
  <c r="H102" i="47"/>
  <c r="I102" i="47"/>
  <c r="L94" i="46"/>
  <c r="D94" i="46"/>
  <c r="K94" i="46"/>
  <c r="C94" i="46"/>
  <c r="J94" i="46"/>
  <c r="G94" i="46"/>
  <c r="F94" i="46"/>
  <c r="H94" i="46"/>
  <c r="N94" i="46"/>
  <c r="I94" i="46"/>
  <c r="E94" i="46"/>
  <c r="H70" i="46"/>
  <c r="K70" i="46"/>
  <c r="C70" i="46"/>
  <c r="C122" i="46" s="1"/>
  <c r="D31" i="46" s="1"/>
  <c r="J70" i="46"/>
  <c r="I70" i="46"/>
  <c r="N70" i="46"/>
  <c r="N78" i="46" s="1"/>
  <c r="N86" i="46" s="1"/>
  <c r="L70" i="46"/>
  <c r="D30" i="46"/>
  <c r="H46" i="33"/>
  <c r="I46" i="33"/>
  <c r="J46" i="33"/>
  <c r="K46" i="33"/>
  <c r="L46" i="33"/>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129" i="51" l="1"/>
  <c r="D29" i="51"/>
  <c r="C130" i="51"/>
  <c r="C129" i="50"/>
  <c r="D29" i="50"/>
  <c r="C130" i="50"/>
  <c r="C127" i="49"/>
  <c r="D29" i="49" s="1"/>
  <c r="D30" i="49"/>
  <c r="C127" i="48"/>
  <c r="D30" i="48"/>
  <c r="C127" i="46"/>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132" i="51" l="1"/>
  <c r="D38" i="51"/>
  <c r="C134" i="51"/>
  <c r="C131" i="51"/>
  <c r="D37" i="51"/>
  <c r="C132" i="50"/>
  <c r="D38" i="50"/>
  <c r="C134" i="50"/>
  <c r="C131" i="50"/>
  <c r="D37" i="50"/>
  <c r="C130" i="49"/>
  <c r="D38" i="49" s="1"/>
  <c r="C129" i="49"/>
  <c r="D37" i="49" s="1"/>
  <c r="C129" i="48"/>
  <c r="D29" i="48"/>
  <c r="C130" i="48"/>
  <c r="C129" i="46"/>
  <c r="D29" i="46"/>
  <c r="C130" i="46"/>
  <c r="P5" i="41"/>
  <c r="D39" i="51" l="1"/>
  <c r="D41" i="51" s="1"/>
  <c r="C137" i="51"/>
  <c r="C135" i="51"/>
  <c r="C136" i="51"/>
  <c r="D46" i="51"/>
  <c r="D39" i="50"/>
  <c r="D41" i="50" s="1"/>
  <c r="C135" i="50"/>
  <c r="C136" i="50"/>
  <c r="C137" i="50"/>
  <c r="D46" i="50"/>
  <c r="C132" i="49"/>
  <c r="D39" i="49"/>
  <c r="D43" i="49" s="1"/>
  <c r="D51" i="49" s="1"/>
  <c r="D46" i="49"/>
  <c r="C134" i="49"/>
  <c r="C131" i="49"/>
  <c r="C136" i="49" s="1"/>
  <c r="C134" i="48"/>
  <c r="D37" i="48"/>
  <c r="C131" i="48"/>
  <c r="C132" i="48"/>
  <c r="D38" i="48"/>
  <c r="D38" i="46"/>
  <c r="D46" i="46" s="1"/>
  <c r="C132" i="46"/>
  <c r="C134" i="46"/>
  <c r="D37" i="46"/>
  <c r="C131" i="46"/>
  <c r="F11" i="31"/>
  <c r="D42" i="51" l="1"/>
  <c r="D43" i="51"/>
  <c r="D44" i="51"/>
  <c r="D92" i="51" s="1"/>
  <c r="D94" i="51" s="1"/>
  <c r="D125" i="51" s="1"/>
  <c r="D40" i="51"/>
  <c r="D50" i="49"/>
  <c r="D48" i="49" s="1"/>
  <c r="D42" i="50"/>
  <c r="D43" i="50"/>
  <c r="D40" i="50"/>
  <c r="D40" i="49"/>
  <c r="D42" i="49"/>
  <c r="D41" i="49"/>
  <c r="C137" i="49"/>
  <c r="C135" i="49"/>
  <c r="D84" i="49"/>
  <c r="D86" i="49" s="1"/>
  <c r="D124" i="49" s="1"/>
  <c r="E33" i="49" s="1"/>
  <c r="D46" i="48"/>
  <c r="D77" i="48" s="1"/>
  <c r="D116" i="48" s="1"/>
  <c r="D69" i="48"/>
  <c r="D115" i="48" s="1"/>
  <c r="D140" i="48" s="1"/>
  <c r="D39" i="48"/>
  <c r="D40" i="48" s="1"/>
  <c r="C135" i="48"/>
  <c r="C137" i="48"/>
  <c r="C136" i="48"/>
  <c r="D39" i="46"/>
  <c r="D43" i="46" s="1"/>
  <c r="D40" i="46"/>
  <c r="D41" i="46"/>
  <c r="C135" i="46"/>
  <c r="C136" i="46"/>
  <c r="C137" i="46"/>
  <c r="D51" i="51" l="1"/>
  <c r="D50" i="51" s="1"/>
  <c r="D51" i="50"/>
  <c r="D84" i="50" s="1"/>
  <c r="D86" i="50" s="1"/>
  <c r="D124" i="50" s="1"/>
  <c r="E33" i="50" s="1"/>
  <c r="D49" i="49"/>
  <c r="D68" i="49" s="1"/>
  <c r="D60" i="49"/>
  <c r="D76" i="49"/>
  <c r="D41" i="48"/>
  <c r="D42" i="48"/>
  <c r="D43" i="48"/>
  <c r="D51" i="48" s="1"/>
  <c r="D42" i="46"/>
  <c r="D84" i="46"/>
  <c r="D86" i="46" s="1"/>
  <c r="D124" i="46" s="1"/>
  <c r="E33" i="46" s="1"/>
  <c r="A1" i="33"/>
  <c r="D84" i="51" l="1"/>
  <c r="D86" i="51" s="1"/>
  <c r="D124" i="51" s="1"/>
  <c r="E33" i="51" s="1"/>
  <c r="D48" i="51"/>
  <c r="D60" i="51" s="1"/>
  <c r="D61" i="51" s="1"/>
  <c r="D114" i="51" s="1"/>
  <c r="D76" i="51"/>
  <c r="D77" i="51" s="1"/>
  <c r="D116" i="51" s="1"/>
  <c r="D49" i="51"/>
  <c r="D68" i="51" s="1"/>
  <c r="D69" i="51" s="1"/>
  <c r="D115" i="51" s="1"/>
  <c r="D140" i="51" s="1"/>
  <c r="D50" i="48"/>
  <c r="D48" i="48" s="1"/>
  <c r="D60" i="48" s="1"/>
  <c r="D50" i="50"/>
  <c r="D49" i="50" s="1"/>
  <c r="D68" i="50" s="1"/>
  <c r="D69" i="50" s="1"/>
  <c r="D115" i="50" s="1"/>
  <c r="D140" i="50" s="1"/>
  <c r="D77" i="49"/>
  <c r="D116" i="49" s="1"/>
  <c r="D69" i="49"/>
  <c r="D115" i="49" s="1"/>
  <c r="D140" i="49" s="1"/>
  <c r="D61" i="49"/>
  <c r="D114" i="49" s="1"/>
  <c r="D84" i="48"/>
  <c r="D86" i="48" s="1"/>
  <c r="D124" i="48" s="1"/>
  <c r="E33" i="48" s="1"/>
  <c r="D60" i="46"/>
  <c r="D62" i="46" s="1"/>
  <c r="D121" i="46" s="1"/>
  <c r="D76" i="46"/>
  <c r="D78" i="46" s="1"/>
  <c r="D123" i="46" s="1"/>
  <c r="E32" i="46" s="1"/>
  <c r="D68" i="46"/>
  <c r="D70" i="46" s="1"/>
  <c r="D122" i="46" s="1"/>
  <c r="E31" i="46" s="1"/>
  <c r="H129" i="33"/>
  <c r="I129" i="33"/>
  <c r="J129" i="33"/>
  <c r="K129" i="33"/>
  <c r="L129" i="33"/>
  <c r="D62" i="51" l="1"/>
  <c r="D121" i="51" s="1"/>
  <c r="E30" i="51" s="1"/>
  <c r="D78" i="51"/>
  <c r="D123" i="51" s="1"/>
  <c r="E32" i="51" s="1"/>
  <c r="D70" i="51"/>
  <c r="D122" i="51" s="1"/>
  <c r="E31" i="51" s="1"/>
  <c r="D76" i="48"/>
  <c r="D78" i="48" s="1"/>
  <c r="D123" i="48" s="1"/>
  <c r="E32" i="48" s="1"/>
  <c r="D49" i="48"/>
  <c r="D68" i="48" s="1"/>
  <c r="D70" i="48" s="1"/>
  <c r="D122" i="48" s="1"/>
  <c r="E31" i="48" s="1"/>
  <c r="D70" i="50"/>
  <c r="D122" i="50" s="1"/>
  <c r="E31" i="50" s="1"/>
  <c r="D48" i="50"/>
  <c r="D60" i="50" s="1"/>
  <c r="D61" i="50" s="1"/>
  <c r="D114" i="50" s="1"/>
  <c r="D76" i="50"/>
  <c r="D77" i="50" s="1"/>
  <c r="D116" i="50" s="1"/>
  <c r="D78" i="49"/>
  <c r="D123" i="49" s="1"/>
  <c r="E32" i="49" s="1"/>
  <c r="D70" i="49"/>
  <c r="D122" i="49" s="1"/>
  <c r="E31" i="49" s="1"/>
  <c r="D62" i="49"/>
  <c r="D121" i="49" s="1"/>
  <c r="D61" i="48"/>
  <c r="D114" i="48" s="1"/>
  <c r="D127" i="46"/>
  <c r="E30" i="46"/>
  <c r="C66" i="33"/>
  <c r="D66" i="33"/>
  <c r="D65" i="33"/>
  <c r="C65" i="33"/>
  <c r="D127" i="51" l="1"/>
  <c r="D78" i="50"/>
  <c r="D123" i="50" s="1"/>
  <c r="E32" i="50" s="1"/>
  <c r="D62" i="50"/>
  <c r="D121" i="50" s="1"/>
  <c r="E30" i="50" s="1"/>
  <c r="E30" i="49"/>
  <c r="D127" i="49"/>
  <c r="D62" i="48"/>
  <c r="D121" i="48" s="1"/>
  <c r="D129" i="46"/>
  <c r="E29" i="46"/>
  <c r="D130" i="46"/>
  <c r="B49" i="33"/>
  <c r="A49" i="33"/>
  <c r="A50" i="33"/>
  <c r="A51" i="33"/>
  <c r="A52" i="33"/>
  <c r="A53" i="33"/>
  <c r="A48" i="33"/>
  <c r="H112" i="33"/>
  <c r="I112" i="33"/>
  <c r="J112" i="33"/>
  <c r="K112" i="33"/>
  <c r="L112" i="33"/>
  <c r="A56" i="33"/>
  <c r="A57" i="33" s="1"/>
  <c r="N57" i="33" s="1"/>
  <c r="A64" i="33"/>
  <c r="A65" i="33" s="1"/>
  <c r="A72" i="33"/>
  <c r="A73" i="33" s="1"/>
  <c r="A80" i="33"/>
  <c r="A81" i="33" s="1"/>
  <c r="A88" i="33"/>
  <c r="A89" i="33" s="1"/>
  <c r="A96" i="33"/>
  <c r="A97" i="33" s="1"/>
  <c r="M98" i="33"/>
  <c r="M97" i="33"/>
  <c r="M90" i="33"/>
  <c r="M89" i="33"/>
  <c r="M82" i="33"/>
  <c r="M81" i="33"/>
  <c r="M74" i="33"/>
  <c r="M73" i="33"/>
  <c r="M66" i="33"/>
  <c r="M65" i="33"/>
  <c r="M57" i="33"/>
  <c r="M58" i="33"/>
  <c r="L140" i="33"/>
  <c r="K140" i="33"/>
  <c r="J140" i="33"/>
  <c r="I140" i="33"/>
  <c r="H140" i="33"/>
  <c r="L139" i="33"/>
  <c r="K139" i="33"/>
  <c r="J139" i="33"/>
  <c r="I139" i="33"/>
  <c r="H139" i="33"/>
  <c r="C139" i="33"/>
  <c r="L127" i="33"/>
  <c r="K127" i="33"/>
  <c r="J127" i="33"/>
  <c r="I127" i="33"/>
  <c r="H127" i="33"/>
  <c r="A126" i="33"/>
  <c r="K126" i="33" s="1"/>
  <c r="A125" i="33"/>
  <c r="L125" i="33" s="1"/>
  <c r="A124" i="33"/>
  <c r="I124" i="33" s="1"/>
  <c r="A123" i="33"/>
  <c r="H123" i="33" s="1"/>
  <c r="A122" i="33"/>
  <c r="K122" i="33" s="1"/>
  <c r="A121" i="33"/>
  <c r="H121" i="33" s="1"/>
  <c r="A119" i="33"/>
  <c r="H119" i="33" s="1"/>
  <c r="A118" i="33"/>
  <c r="I118" i="33" s="1"/>
  <c r="A117" i="33"/>
  <c r="J117" i="33" s="1"/>
  <c r="A116" i="33"/>
  <c r="K116" i="33" s="1"/>
  <c r="A115" i="33"/>
  <c r="L115" i="33" s="1"/>
  <c r="A114" i="33"/>
  <c r="C114" i="33" s="1"/>
  <c r="A111" i="33"/>
  <c r="K111" i="33" s="1"/>
  <c r="A110" i="33"/>
  <c r="L110" i="33" s="1"/>
  <c r="A109" i="33"/>
  <c r="A108" i="33"/>
  <c r="H108" i="33" s="1"/>
  <c r="A107" i="33"/>
  <c r="H107" i="33" s="1"/>
  <c r="A106" i="33"/>
  <c r="H106" i="33" s="1"/>
  <c r="A45" i="33"/>
  <c r="J45" i="33" s="1"/>
  <c r="A44" i="33"/>
  <c r="J44" i="33" s="1"/>
  <c r="A43" i="33"/>
  <c r="K43" i="33" s="1"/>
  <c r="A42" i="33"/>
  <c r="J42" i="33" s="1"/>
  <c r="A41" i="33"/>
  <c r="K41" i="33" s="1"/>
  <c r="A40" i="33"/>
  <c r="L39" i="33"/>
  <c r="K39" i="33"/>
  <c r="J39" i="33"/>
  <c r="I39" i="33"/>
  <c r="H39" i="33"/>
  <c r="C38" i="33"/>
  <c r="C46" i="33" s="1"/>
  <c r="C37" i="33"/>
  <c r="A35" i="33"/>
  <c r="K35" i="33" s="1"/>
  <c r="A34" i="33"/>
  <c r="L34" i="33" s="1"/>
  <c r="A33" i="33"/>
  <c r="I33" i="33" s="1"/>
  <c r="A32" i="33"/>
  <c r="H32" i="33" s="1"/>
  <c r="A31" i="33"/>
  <c r="K31" i="33" s="1"/>
  <c r="A30" i="33"/>
  <c r="H30" i="33" s="1"/>
  <c r="L27" i="33"/>
  <c r="K27" i="33"/>
  <c r="J27" i="33"/>
  <c r="I27" i="33"/>
  <c r="H27" i="33"/>
  <c r="D27" i="33"/>
  <c r="D47" i="33" s="1"/>
  <c r="C27" i="33"/>
  <c r="C47" i="33" s="1"/>
  <c r="D115" i="33"/>
  <c r="C23" i="33"/>
  <c r="B31" i="33" s="1"/>
  <c r="B23" i="33"/>
  <c r="B33" i="33" s="1"/>
  <c r="E29" i="51" l="1"/>
  <c r="D129" i="51"/>
  <c r="D130" i="51"/>
  <c r="D127" i="50"/>
  <c r="D129" i="50" s="1"/>
  <c r="D129" i="49"/>
  <c r="E29" i="49"/>
  <c r="D130" i="49"/>
  <c r="E30" i="48"/>
  <c r="D127" i="48"/>
  <c r="D132" i="46"/>
  <c r="E38" i="46"/>
  <c r="E46" i="46" s="1"/>
  <c r="D134" i="46"/>
  <c r="D131" i="46"/>
  <c r="E37" i="46"/>
  <c r="H130" i="33"/>
  <c r="I130" i="33"/>
  <c r="J130" i="33"/>
  <c r="N109" i="33"/>
  <c r="K130" i="33"/>
  <c r="L130" i="33"/>
  <c r="H35" i="33"/>
  <c r="J35" i="33"/>
  <c r="K34" i="33"/>
  <c r="I34" i="33"/>
  <c r="K32" i="33"/>
  <c r="H33" i="33"/>
  <c r="J31" i="33"/>
  <c r="I35" i="33"/>
  <c r="J34" i="33"/>
  <c r="L32" i="33"/>
  <c r="I31" i="33"/>
  <c r="H34" i="33"/>
  <c r="J32" i="33"/>
  <c r="L30" i="33"/>
  <c r="L33" i="33"/>
  <c r="I32" i="33"/>
  <c r="K30" i="33"/>
  <c r="K33" i="33"/>
  <c r="J30" i="33"/>
  <c r="L35" i="33"/>
  <c r="D35" i="33"/>
  <c r="J33" i="33"/>
  <c r="L31" i="33"/>
  <c r="I30" i="33"/>
  <c r="H31" i="33"/>
  <c r="C39" i="33"/>
  <c r="I110" i="33"/>
  <c r="H118" i="33"/>
  <c r="J114" i="33"/>
  <c r="H111" i="33"/>
  <c r="K125" i="33"/>
  <c r="K110" i="33"/>
  <c r="I117" i="33"/>
  <c r="I125" i="33"/>
  <c r="J116" i="33"/>
  <c r="K123" i="33"/>
  <c r="L109" i="33"/>
  <c r="H116" i="33"/>
  <c r="J122" i="33"/>
  <c r="N106" i="33"/>
  <c r="M111" i="33"/>
  <c r="J109" i="33"/>
  <c r="L114" i="33"/>
  <c r="H122" i="33"/>
  <c r="D109" i="33"/>
  <c r="C110" i="33"/>
  <c r="K108" i="33"/>
  <c r="D114" i="33"/>
  <c r="C106" i="33"/>
  <c r="J111" i="33"/>
  <c r="J126" i="33"/>
  <c r="C111" i="33"/>
  <c r="I111" i="33"/>
  <c r="J110" i="33"/>
  <c r="K109" i="33"/>
  <c r="L108" i="33"/>
  <c r="D108" i="33"/>
  <c r="C116" i="33"/>
  <c r="H117" i="33"/>
  <c r="I116" i="33"/>
  <c r="J115" i="33"/>
  <c r="K114" i="33"/>
  <c r="I126" i="33"/>
  <c r="J125" i="33"/>
  <c r="L123" i="33"/>
  <c r="I122" i="33"/>
  <c r="D107" i="33"/>
  <c r="C126" i="33"/>
  <c r="H126" i="33"/>
  <c r="H124" i="33"/>
  <c r="N107" i="33"/>
  <c r="C109" i="33"/>
  <c r="H110" i="33"/>
  <c r="I109" i="33"/>
  <c r="J108" i="33"/>
  <c r="K107" i="33"/>
  <c r="L106" i="33"/>
  <c r="D106" i="33"/>
  <c r="L119" i="33"/>
  <c r="D119" i="33"/>
  <c r="H115" i="33"/>
  <c r="I114" i="33"/>
  <c r="H125" i="33"/>
  <c r="J123" i="33"/>
  <c r="L121" i="33"/>
  <c r="L107" i="33"/>
  <c r="I115" i="33"/>
  <c r="N108" i="33"/>
  <c r="C108" i="33"/>
  <c r="H109" i="33"/>
  <c r="I108" i="33"/>
  <c r="J107" i="33"/>
  <c r="K106" i="33"/>
  <c r="K119" i="33"/>
  <c r="L118" i="33"/>
  <c r="D118" i="33"/>
  <c r="H114" i="33"/>
  <c r="L124" i="33"/>
  <c r="I123" i="33"/>
  <c r="K121" i="33"/>
  <c r="C115" i="33"/>
  <c r="C140" i="33" s="1"/>
  <c r="C107" i="33"/>
  <c r="I107" i="33"/>
  <c r="J106" i="33"/>
  <c r="J119" i="33"/>
  <c r="K118" i="33"/>
  <c r="L117" i="33"/>
  <c r="K124" i="33"/>
  <c r="J121" i="33"/>
  <c r="K115" i="33"/>
  <c r="N110" i="33"/>
  <c r="L111" i="33"/>
  <c r="D111" i="33"/>
  <c r="I106" i="33"/>
  <c r="C119" i="33"/>
  <c r="I119" i="33"/>
  <c r="J118" i="33"/>
  <c r="K117" i="33"/>
  <c r="L116" i="33"/>
  <c r="L126" i="33"/>
  <c r="D126" i="33"/>
  <c r="J124" i="33"/>
  <c r="L122" i="33"/>
  <c r="I121" i="33"/>
  <c r="N111" i="33"/>
  <c r="D110" i="33"/>
  <c r="C118" i="33"/>
  <c r="A58" i="33"/>
  <c r="A59" i="33" s="1"/>
  <c r="N65" i="33"/>
  <c r="N73" i="33" s="1"/>
  <c r="N81" i="33" s="1"/>
  <c r="N89" i="33" s="1"/>
  <c r="A66" i="33"/>
  <c r="A68" i="33" s="1"/>
  <c r="A98" i="33"/>
  <c r="N97" i="33"/>
  <c r="A90" i="33"/>
  <c r="A82" i="33"/>
  <c r="A74" i="33"/>
  <c r="K44" i="33"/>
  <c r="L45" i="33"/>
  <c r="C45" i="33"/>
  <c r="C32" i="33"/>
  <c r="H42" i="33"/>
  <c r="H45" i="33"/>
  <c r="I42" i="33"/>
  <c r="K45" i="33"/>
  <c r="I44" i="33"/>
  <c r="C33" i="33"/>
  <c r="C35" i="33"/>
  <c r="K42" i="33"/>
  <c r="I43" i="33"/>
  <c r="L43" i="33"/>
  <c r="C34" i="33"/>
  <c r="L42" i="33"/>
  <c r="L40" i="33"/>
  <c r="K40" i="33"/>
  <c r="I40" i="33"/>
  <c r="H40" i="33"/>
  <c r="J40" i="33"/>
  <c r="C31" i="33"/>
  <c r="J41" i="33"/>
  <c r="L44" i="33"/>
  <c r="I45" i="33"/>
  <c r="B30" i="33"/>
  <c r="L41" i="33"/>
  <c r="H43" i="33"/>
  <c r="H41" i="33"/>
  <c r="J43" i="33"/>
  <c r="D45" i="33"/>
  <c r="I41" i="33"/>
  <c r="H44" i="33"/>
  <c r="D139" i="33"/>
  <c r="D140" i="33" s="1"/>
  <c r="E35" i="33"/>
  <c r="D132" i="51" l="1"/>
  <c r="E38" i="51"/>
  <c r="D134" i="51"/>
  <c r="D131" i="51"/>
  <c r="E37" i="51"/>
  <c r="D130" i="50"/>
  <c r="D132" i="50" s="1"/>
  <c r="E29" i="50"/>
  <c r="D134" i="50"/>
  <c r="D131" i="50"/>
  <c r="E37" i="50"/>
  <c r="E38" i="49"/>
  <c r="D132" i="49"/>
  <c r="D131" i="49"/>
  <c r="D134" i="49"/>
  <c r="E37" i="49"/>
  <c r="E29" i="48"/>
  <c r="D130" i="48"/>
  <c r="D129" i="48"/>
  <c r="E39" i="46"/>
  <c r="E41" i="46" s="1"/>
  <c r="D135" i="46"/>
  <c r="D137" i="46"/>
  <c r="D136" i="46"/>
  <c r="C44" i="33"/>
  <c r="C42" i="33"/>
  <c r="B29" i="33"/>
  <c r="L68" i="33"/>
  <c r="K68" i="33"/>
  <c r="H68" i="33"/>
  <c r="J68" i="33"/>
  <c r="I68" i="33"/>
  <c r="D112" i="33"/>
  <c r="E114" i="33"/>
  <c r="E109" i="33"/>
  <c r="E115" i="33"/>
  <c r="E110" i="33"/>
  <c r="E126" i="33"/>
  <c r="E111" i="33"/>
  <c r="E118" i="33"/>
  <c r="E106" i="33"/>
  <c r="E108" i="33"/>
  <c r="E119" i="33"/>
  <c r="E107" i="33"/>
  <c r="C112" i="33"/>
  <c r="N58" i="33"/>
  <c r="N66" i="33" s="1"/>
  <c r="N74" i="33" s="1"/>
  <c r="N82" i="33" s="1"/>
  <c r="N90" i="33" s="1"/>
  <c r="A60" i="33"/>
  <c r="A61" i="33" s="1"/>
  <c r="A67" i="33"/>
  <c r="A100" i="33"/>
  <c r="A99" i="33"/>
  <c r="N98" i="33"/>
  <c r="A92" i="33"/>
  <c r="A91" i="33"/>
  <c r="C43" i="33"/>
  <c r="C51" i="33" s="1"/>
  <c r="A84" i="33"/>
  <c r="A83" i="33"/>
  <c r="A76" i="33"/>
  <c r="A75" i="33"/>
  <c r="A69" i="33"/>
  <c r="E139" i="33"/>
  <c r="E45" i="33"/>
  <c r="E27" i="33"/>
  <c r="E47" i="33" s="1"/>
  <c r="F35" i="33"/>
  <c r="C41" i="33"/>
  <c r="C30" i="33"/>
  <c r="E39" i="51" l="1"/>
  <c r="E44" i="51" s="1"/>
  <c r="E92" i="51" s="1"/>
  <c r="E94" i="51" s="1"/>
  <c r="E125" i="51" s="1"/>
  <c r="D135" i="51"/>
  <c r="D137" i="51"/>
  <c r="D136" i="51"/>
  <c r="E46" i="51"/>
  <c r="E38" i="50"/>
  <c r="E46" i="50" s="1"/>
  <c r="D135" i="50"/>
  <c r="D136" i="50"/>
  <c r="D137" i="50"/>
  <c r="E46" i="49"/>
  <c r="E39" i="49"/>
  <c r="E42" i="49" s="1"/>
  <c r="D135" i="49"/>
  <c r="D136" i="49"/>
  <c r="D137" i="49"/>
  <c r="E38" i="48"/>
  <c r="D132" i="48"/>
  <c r="D134" i="48"/>
  <c r="D131" i="48"/>
  <c r="E37" i="48"/>
  <c r="E43" i="46"/>
  <c r="E68" i="46" s="1"/>
  <c r="E70" i="46" s="1"/>
  <c r="E122" i="46" s="1"/>
  <c r="F31" i="46" s="1"/>
  <c r="E42" i="46"/>
  <c r="E40" i="46"/>
  <c r="C84" i="33"/>
  <c r="C50" i="33"/>
  <c r="C48" i="33" s="1"/>
  <c r="E140" i="33"/>
  <c r="L100" i="33"/>
  <c r="K100" i="33"/>
  <c r="C100" i="33"/>
  <c r="H100" i="33"/>
  <c r="J100" i="33"/>
  <c r="I100" i="33"/>
  <c r="D100" i="33"/>
  <c r="F100" i="33"/>
  <c r="C76" i="33"/>
  <c r="H76" i="33"/>
  <c r="I76" i="33"/>
  <c r="J76" i="33"/>
  <c r="K76" i="33"/>
  <c r="L76" i="33"/>
  <c r="C117" i="33"/>
  <c r="J84" i="33"/>
  <c r="K84" i="33"/>
  <c r="L84" i="33"/>
  <c r="H84" i="33"/>
  <c r="I84" i="33"/>
  <c r="I60" i="33"/>
  <c r="J60" i="33"/>
  <c r="K60" i="33"/>
  <c r="H60" i="33"/>
  <c r="L60" i="33"/>
  <c r="E100" i="33"/>
  <c r="C92" i="33"/>
  <c r="L92" i="33"/>
  <c r="H92" i="33"/>
  <c r="I92" i="33"/>
  <c r="K92" i="33"/>
  <c r="J92" i="33"/>
  <c r="F108" i="33"/>
  <c r="F114" i="33"/>
  <c r="F109" i="33"/>
  <c r="F115" i="33"/>
  <c r="F110" i="33"/>
  <c r="F126" i="33"/>
  <c r="F111" i="33"/>
  <c r="F107" i="33"/>
  <c r="F118" i="33"/>
  <c r="F119" i="33"/>
  <c r="F106" i="33"/>
  <c r="E112" i="33"/>
  <c r="E91" i="33" s="1"/>
  <c r="K59" i="33"/>
  <c r="N59" i="33"/>
  <c r="N67" i="33" s="1"/>
  <c r="N75" i="33" s="1"/>
  <c r="N83" i="33" s="1"/>
  <c r="N91" i="33" s="1"/>
  <c r="M59" i="33"/>
  <c r="L59" i="33"/>
  <c r="D59" i="33"/>
  <c r="J59" i="33"/>
  <c r="I59" i="33"/>
  <c r="H59" i="33"/>
  <c r="N60" i="33"/>
  <c r="N68" i="33" s="1"/>
  <c r="N76" i="33" s="1"/>
  <c r="N84" i="33" s="1"/>
  <c r="N92" i="33" s="1"/>
  <c r="K67" i="33"/>
  <c r="D67" i="33"/>
  <c r="H67" i="33"/>
  <c r="L67" i="33"/>
  <c r="J67" i="33"/>
  <c r="M67" i="33"/>
  <c r="I67" i="33"/>
  <c r="A70" i="33"/>
  <c r="I75" i="33"/>
  <c r="D75" i="33"/>
  <c r="J75" i="33"/>
  <c r="K75" i="33"/>
  <c r="L75" i="33"/>
  <c r="H75" i="33"/>
  <c r="H99" i="33"/>
  <c r="N99" i="33"/>
  <c r="F99" i="33"/>
  <c r="K99" i="33"/>
  <c r="M99" i="33"/>
  <c r="E99" i="33"/>
  <c r="C99" i="33"/>
  <c r="L99" i="33"/>
  <c r="D99" i="33"/>
  <c r="J99" i="33"/>
  <c r="I99" i="33"/>
  <c r="A101" i="33"/>
  <c r="N100" i="33"/>
  <c r="A93" i="33"/>
  <c r="H91" i="33"/>
  <c r="M91" i="33"/>
  <c r="I91" i="33"/>
  <c r="L91" i="33"/>
  <c r="D91" i="33"/>
  <c r="K91" i="33"/>
  <c r="J91" i="33"/>
  <c r="A85" i="33"/>
  <c r="L83" i="33"/>
  <c r="D83" i="33"/>
  <c r="M83" i="33"/>
  <c r="J83" i="33"/>
  <c r="K83" i="33"/>
  <c r="I83" i="33"/>
  <c r="H83" i="33"/>
  <c r="A77" i="33"/>
  <c r="M75" i="33"/>
  <c r="F27" i="33"/>
  <c r="F47" i="33" s="1"/>
  <c r="F45" i="33"/>
  <c r="F139" i="33"/>
  <c r="C40" i="33"/>
  <c r="E42" i="51" l="1"/>
  <c r="E41" i="51"/>
  <c r="E40" i="51"/>
  <c r="E43" i="51"/>
  <c r="E39" i="50"/>
  <c r="E43" i="50" s="1"/>
  <c r="E51" i="50" s="1"/>
  <c r="E50" i="50" s="1"/>
  <c r="E48" i="50" s="1"/>
  <c r="E41" i="49"/>
  <c r="E43" i="49"/>
  <c r="E51" i="49" s="1"/>
  <c r="E40" i="49"/>
  <c r="E39" i="48"/>
  <c r="E40" i="48" s="1"/>
  <c r="E46" i="48"/>
  <c r="E77" i="48" s="1"/>
  <c r="E116" i="48" s="1"/>
  <c r="E69" i="48"/>
  <c r="E115" i="48" s="1"/>
  <c r="E140" i="48" s="1"/>
  <c r="D137" i="48"/>
  <c r="D135" i="48"/>
  <c r="D136" i="48"/>
  <c r="E84" i="46"/>
  <c r="E86" i="46" s="1"/>
  <c r="E124" i="46" s="1"/>
  <c r="F33" i="46" s="1"/>
  <c r="E60" i="46"/>
  <c r="E62" i="46" s="1"/>
  <c r="E121" i="46" s="1"/>
  <c r="E76" i="46"/>
  <c r="E78" i="46" s="1"/>
  <c r="E123" i="46" s="1"/>
  <c r="F32" i="46" s="1"/>
  <c r="C49" i="33"/>
  <c r="C68" i="33" s="1"/>
  <c r="C60" i="33"/>
  <c r="G100" i="33"/>
  <c r="G35" i="33"/>
  <c r="G99" i="33"/>
  <c r="F140" i="33"/>
  <c r="E67" i="33"/>
  <c r="E75" i="33"/>
  <c r="F112" i="33"/>
  <c r="F59" i="33" s="1"/>
  <c r="E83" i="33"/>
  <c r="E59" i="33"/>
  <c r="G107" i="33"/>
  <c r="M107" i="33" s="1"/>
  <c r="G108" i="33"/>
  <c r="M108" i="33" s="1"/>
  <c r="G114" i="33"/>
  <c r="G109" i="33"/>
  <c r="M109" i="33" s="1"/>
  <c r="G115" i="33"/>
  <c r="G110" i="33"/>
  <c r="M110" i="33" s="1"/>
  <c r="G119" i="33"/>
  <c r="G126" i="33"/>
  <c r="G111" i="33"/>
  <c r="G106" i="33"/>
  <c r="G118" i="33"/>
  <c r="A62" i="33"/>
  <c r="N61" i="33"/>
  <c r="N69" i="33" s="1"/>
  <c r="N77" i="33" s="1"/>
  <c r="N85" i="33" s="1"/>
  <c r="N93" i="33" s="1"/>
  <c r="H70" i="33"/>
  <c r="I70" i="33"/>
  <c r="J70" i="33"/>
  <c r="K70" i="33"/>
  <c r="L70" i="33"/>
  <c r="A102" i="33"/>
  <c r="N101" i="33"/>
  <c r="A94" i="33"/>
  <c r="A86" i="33"/>
  <c r="A78" i="33"/>
  <c r="G45" i="33"/>
  <c r="G27" i="33"/>
  <c r="G47" i="33" s="1"/>
  <c r="G139" i="33"/>
  <c r="E51" i="51" l="1"/>
  <c r="E50" i="51" s="1"/>
  <c r="E84" i="50"/>
  <c r="E86" i="50" s="1"/>
  <c r="E124" i="50" s="1"/>
  <c r="F33" i="50" s="1"/>
  <c r="E40" i="50"/>
  <c r="E60" i="50" s="1"/>
  <c r="E42" i="50"/>
  <c r="E76" i="50" s="1"/>
  <c r="E41" i="50"/>
  <c r="E49" i="50"/>
  <c r="E50" i="49"/>
  <c r="E48" i="49" s="1"/>
  <c r="E60" i="49" s="1"/>
  <c r="E84" i="49"/>
  <c r="E86" i="49" s="1"/>
  <c r="E124" i="49" s="1"/>
  <c r="F33" i="49" s="1"/>
  <c r="E42" i="48"/>
  <c r="E41" i="48"/>
  <c r="E43" i="48"/>
  <c r="E127" i="46"/>
  <c r="F30" i="46"/>
  <c r="C70" i="33"/>
  <c r="C122" i="33" s="1"/>
  <c r="D31" i="33" s="1"/>
  <c r="F67" i="33"/>
  <c r="F83" i="33"/>
  <c r="F91" i="33"/>
  <c r="F75" i="33"/>
  <c r="G112" i="33"/>
  <c r="G59" i="33" s="1"/>
  <c r="M106" i="33"/>
  <c r="G140" i="33"/>
  <c r="K62" i="33"/>
  <c r="N62" i="33"/>
  <c r="N70" i="33" s="1"/>
  <c r="N78" i="33" s="1"/>
  <c r="N86" i="33" s="1"/>
  <c r="N94" i="33" s="1"/>
  <c r="L62" i="33"/>
  <c r="H62" i="33"/>
  <c r="J62" i="33"/>
  <c r="I62" i="33"/>
  <c r="H78" i="33"/>
  <c r="I78" i="33"/>
  <c r="J78" i="33"/>
  <c r="K78" i="33"/>
  <c r="L78" i="33"/>
  <c r="L102" i="33"/>
  <c r="D102" i="33"/>
  <c r="N102" i="33"/>
  <c r="K102" i="33"/>
  <c r="C102" i="33"/>
  <c r="J102" i="33"/>
  <c r="I102" i="33"/>
  <c r="H102" i="33"/>
  <c r="G102" i="33"/>
  <c r="F102" i="33"/>
  <c r="E102" i="33"/>
  <c r="L94" i="33"/>
  <c r="K94" i="33"/>
  <c r="C94" i="33"/>
  <c r="C125" i="33" s="1"/>
  <c r="D34" i="33" s="1"/>
  <c r="J94" i="33"/>
  <c r="I94" i="33"/>
  <c r="H94" i="33"/>
  <c r="L86" i="33"/>
  <c r="K86" i="33"/>
  <c r="C86" i="33"/>
  <c r="C124" i="33" s="1"/>
  <c r="D33" i="33" s="1"/>
  <c r="J86" i="33"/>
  <c r="I86" i="33"/>
  <c r="H86" i="33"/>
  <c r="C78" i="33"/>
  <c r="C123" i="33" s="1"/>
  <c r="D32" i="33" s="1"/>
  <c r="E76" i="51" l="1"/>
  <c r="E77" i="51" s="1"/>
  <c r="E116" i="51" s="1"/>
  <c r="E49" i="51"/>
  <c r="E68" i="51" s="1"/>
  <c r="E69" i="51" s="1"/>
  <c r="E115" i="51" s="1"/>
  <c r="E140" i="51" s="1"/>
  <c r="E48" i="51"/>
  <c r="E60" i="51" s="1"/>
  <c r="E61" i="51" s="1"/>
  <c r="E114" i="51" s="1"/>
  <c r="E84" i="51"/>
  <c r="E86" i="51" s="1"/>
  <c r="E124" i="51" s="1"/>
  <c r="F33" i="51" s="1"/>
  <c r="E68" i="50"/>
  <c r="E69" i="50" s="1"/>
  <c r="E115" i="50" s="1"/>
  <c r="E140" i="50" s="1"/>
  <c r="E76" i="49"/>
  <c r="E77" i="49" s="1"/>
  <c r="E116" i="49" s="1"/>
  <c r="E51" i="48"/>
  <c r="E84" i="48" s="1"/>
  <c r="E86" i="48" s="1"/>
  <c r="E124" i="48" s="1"/>
  <c r="F33" i="48" s="1"/>
  <c r="E49" i="49"/>
  <c r="E68" i="49" s="1"/>
  <c r="E69" i="49" s="1"/>
  <c r="E115" i="49" s="1"/>
  <c r="E140" i="49" s="1"/>
  <c r="E77" i="50"/>
  <c r="E116" i="50" s="1"/>
  <c r="E61" i="50"/>
  <c r="E114" i="50" s="1"/>
  <c r="E61" i="49"/>
  <c r="E114" i="49" s="1"/>
  <c r="E129" i="46"/>
  <c r="F29" i="46"/>
  <c r="E130" i="46"/>
  <c r="G67" i="33"/>
  <c r="G75" i="33"/>
  <c r="G83" i="33"/>
  <c r="G91" i="33"/>
  <c r="C62" i="33"/>
  <c r="C121" i="33" s="1"/>
  <c r="D30" i="33" s="1"/>
  <c r="E70" i="50" l="1"/>
  <c r="E122" i="50" s="1"/>
  <c r="F31" i="50" s="1"/>
  <c r="E62" i="51"/>
  <c r="E121" i="51" s="1"/>
  <c r="E78" i="51"/>
  <c r="E123" i="51" s="1"/>
  <c r="F32" i="51" s="1"/>
  <c r="E70" i="51"/>
  <c r="E122" i="51" s="1"/>
  <c r="F31" i="51" s="1"/>
  <c r="E50" i="48"/>
  <c r="E48" i="48" s="1"/>
  <c r="E60" i="48" s="1"/>
  <c r="E61" i="48" s="1"/>
  <c r="E114" i="48" s="1"/>
  <c r="E62" i="50"/>
  <c r="E121" i="50" s="1"/>
  <c r="F30" i="50" s="1"/>
  <c r="E78" i="50"/>
  <c r="E123" i="50" s="1"/>
  <c r="F32" i="50" s="1"/>
  <c r="E78" i="49"/>
  <c r="E123" i="49" s="1"/>
  <c r="F32" i="49" s="1"/>
  <c r="E70" i="49"/>
  <c r="E122" i="49" s="1"/>
  <c r="F31" i="49" s="1"/>
  <c r="E62" i="49"/>
  <c r="E121" i="49" s="1"/>
  <c r="E134" i="46"/>
  <c r="E131" i="46"/>
  <c r="F37" i="46"/>
  <c r="E132" i="46"/>
  <c r="F38" i="46"/>
  <c r="F46" i="46" s="1"/>
  <c r="E127" i="51" l="1"/>
  <c r="F30" i="51"/>
  <c r="E76" i="48"/>
  <c r="E78" i="48" s="1"/>
  <c r="E123" i="48" s="1"/>
  <c r="F32" i="48" s="1"/>
  <c r="E49" i="48"/>
  <c r="E68" i="48" s="1"/>
  <c r="E70" i="48" s="1"/>
  <c r="E122" i="48" s="1"/>
  <c r="F31" i="48" s="1"/>
  <c r="E127" i="50"/>
  <c r="E127" i="49"/>
  <c r="F30" i="49"/>
  <c r="E62" i="48"/>
  <c r="E121" i="48" s="1"/>
  <c r="F39" i="46"/>
  <c r="F42" i="46" s="1"/>
  <c r="E137" i="46"/>
  <c r="E135" i="46"/>
  <c r="E136" i="46"/>
  <c r="F29" i="51" l="1"/>
  <c r="E129" i="51"/>
  <c r="E130" i="51"/>
  <c r="E127" i="48"/>
  <c r="E129" i="48" s="1"/>
  <c r="E134" i="48" s="1"/>
  <c r="E129" i="50"/>
  <c r="F29" i="50"/>
  <c r="E130" i="50"/>
  <c r="E129" i="49"/>
  <c r="F29" i="49"/>
  <c r="E130" i="49"/>
  <c r="F30" i="48"/>
  <c r="F43" i="46"/>
  <c r="F84" i="46" s="1"/>
  <c r="F86" i="46" s="1"/>
  <c r="F124" i="46" s="1"/>
  <c r="G33" i="46" s="1"/>
  <c r="F41" i="46"/>
  <c r="F40" i="46"/>
  <c r="E132" i="51" l="1"/>
  <c r="F38" i="51"/>
  <c r="E131" i="51"/>
  <c r="F37" i="51"/>
  <c r="E134" i="51"/>
  <c r="F37" i="48"/>
  <c r="F29" i="48"/>
  <c r="E130" i="48"/>
  <c r="E132" i="48" s="1"/>
  <c r="E131" i="48"/>
  <c r="E137" i="48" s="1"/>
  <c r="E132" i="50"/>
  <c r="F38" i="50"/>
  <c r="E134" i="50"/>
  <c r="E131" i="50"/>
  <c r="F37" i="50"/>
  <c r="F38" i="49"/>
  <c r="E132" i="49"/>
  <c r="E134" i="49"/>
  <c r="F37" i="49"/>
  <c r="E131" i="49"/>
  <c r="F68" i="46"/>
  <c r="F70" i="46" s="1"/>
  <c r="F122" i="46" s="1"/>
  <c r="G31" i="46" s="1"/>
  <c r="F39" i="51" l="1"/>
  <c r="F44" i="51" s="1"/>
  <c r="F92" i="51" s="1"/>
  <c r="F94" i="51" s="1"/>
  <c r="F125" i="51" s="1"/>
  <c r="E137" i="51"/>
  <c r="E136" i="51"/>
  <c r="E135" i="51"/>
  <c r="F46" i="51"/>
  <c r="E135" i="48"/>
  <c r="E136" i="48"/>
  <c r="F38" i="48"/>
  <c r="F39" i="48" s="1"/>
  <c r="F43" i="48" s="1"/>
  <c r="F51" i="48" s="1"/>
  <c r="F84" i="48" s="1"/>
  <c r="F86" i="48" s="1"/>
  <c r="F124" i="48" s="1"/>
  <c r="G33" i="48" s="1"/>
  <c r="F39" i="50"/>
  <c r="F42" i="50" s="1"/>
  <c r="E137" i="50"/>
  <c r="E135" i="50"/>
  <c r="E136" i="50"/>
  <c r="F46" i="50"/>
  <c r="F46" i="49"/>
  <c r="F39" i="49"/>
  <c r="F42" i="49" s="1"/>
  <c r="E135" i="49"/>
  <c r="E137" i="49"/>
  <c r="E136" i="49"/>
  <c r="F76" i="46"/>
  <c r="F78" i="46" s="1"/>
  <c r="F123" i="46" s="1"/>
  <c r="G32" i="46" s="1"/>
  <c r="F60" i="46"/>
  <c r="F62" i="46" s="1"/>
  <c r="F121" i="46" s="1"/>
  <c r="F127" i="46" s="1"/>
  <c r="F41" i="51" l="1"/>
  <c r="F40" i="51"/>
  <c r="F42" i="51"/>
  <c r="F43" i="51"/>
  <c r="F41" i="48"/>
  <c r="F40" i="48"/>
  <c r="F42" i="48"/>
  <c r="F69" i="48"/>
  <c r="F115" i="48" s="1"/>
  <c r="F140" i="48" s="1"/>
  <c r="F46" i="48"/>
  <c r="F77" i="48" s="1"/>
  <c r="F116" i="48" s="1"/>
  <c r="F40" i="50"/>
  <c r="F43" i="50"/>
  <c r="F51" i="50" s="1"/>
  <c r="F41" i="50"/>
  <c r="F40" i="49"/>
  <c r="F41" i="49"/>
  <c r="F43" i="49"/>
  <c r="G30" i="46"/>
  <c r="F129" i="46"/>
  <c r="G29" i="46"/>
  <c r="F130" i="46"/>
  <c r="F51" i="51" l="1"/>
  <c r="F50" i="51" s="1"/>
  <c r="F50" i="48"/>
  <c r="F48" i="48" s="1"/>
  <c r="F60" i="48" s="1"/>
  <c r="F61" i="48" s="1"/>
  <c r="F114" i="48" s="1"/>
  <c r="F50" i="50"/>
  <c r="F48" i="50" s="1"/>
  <c r="F60" i="50" s="1"/>
  <c r="F51" i="49"/>
  <c r="F84" i="50"/>
  <c r="F86" i="50" s="1"/>
  <c r="F124" i="50" s="1"/>
  <c r="G33" i="50" s="1"/>
  <c r="F132" i="46"/>
  <c r="G38" i="46"/>
  <c r="G46" i="46" s="1"/>
  <c r="F134" i="46"/>
  <c r="F131" i="46"/>
  <c r="G37" i="46"/>
  <c r="G39" i="46" s="1"/>
  <c r="F48" i="51" l="1"/>
  <c r="F60" i="51" s="1"/>
  <c r="F61" i="51" s="1"/>
  <c r="F114" i="51" s="1"/>
  <c r="F76" i="51"/>
  <c r="F77" i="51" s="1"/>
  <c r="F116" i="51" s="1"/>
  <c r="F49" i="51"/>
  <c r="F68" i="51" s="1"/>
  <c r="F69" i="51" s="1"/>
  <c r="F115" i="51" s="1"/>
  <c r="F140" i="51" s="1"/>
  <c r="F84" i="51"/>
  <c r="F86" i="51" s="1"/>
  <c r="F124" i="51" s="1"/>
  <c r="G33" i="51" s="1"/>
  <c r="F76" i="48"/>
  <c r="F78" i="48" s="1"/>
  <c r="F123" i="48" s="1"/>
  <c r="G32" i="48" s="1"/>
  <c r="F49" i="48"/>
  <c r="F68" i="48" s="1"/>
  <c r="F70" i="48" s="1"/>
  <c r="F122" i="48" s="1"/>
  <c r="G31" i="48" s="1"/>
  <c r="F76" i="50"/>
  <c r="F77" i="50" s="1"/>
  <c r="F116" i="50" s="1"/>
  <c r="F62" i="48"/>
  <c r="F121" i="48" s="1"/>
  <c r="G30" i="48" s="1"/>
  <c r="F49" i="50"/>
  <c r="F68" i="50" s="1"/>
  <c r="F69" i="50" s="1"/>
  <c r="F115" i="50" s="1"/>
  <c r="F140" i="50" s="1"/>
  <c r="F50" i="49"/>
  <c r="F48" i="49" s="1"/>
  <c r="F60" i="49" s="1"/>
  <c r="F61" i="49" s="1"/>
  <c r="F114" i="49" s="1"/>
  <c r="F84" i="49"/>
  <c r="F86" i="49" s="1"/>
  <c r="F124" i="49" s="1"/>
  <c r="G33" i="49" s="1"/>
  <c r="F61" i="50"/>
  <c r="F114" i="50" s="1"/>
  <c r="G41" i="46"/>
  <c r="G40" i="46"/>
  <c r="G43" i="46"/>
  <c r="G42" i="46"/>
  <c r="F137" i="46"/>
  <c r="F136" i="46"/>
  <c r="F135" i="46"/>
  <c r="F62" i="51" l="1"/>
  <c r="F121" i="51" s="1"/>
  <c r="G30" i="51" s="1"/>
  <c r="F78" i="51"/>
  <c r="F123" i="51" s="1"/>
  <c r="G32" i="51" s="1"/>
  <c r="F70" i="51"/>
  <c r="F122" i="51" s="1"/>
  <c r="G31" i="51" s="1"/>
  <c r="F127" i="48"/>
  <c r="G29" i="48" s="1"/>
  <c r="F76" i="49"/>
  <c r="F77" i="49" s="1"/>
  <c r="F116" i="49" s="1"/>
  <c r="F49" i="49"/>
  <c r="F68" i="49" s="1"/>
  <c r="F69" i="49" s="1"/>
  <c r="F115" i="49" s="1"/>
  <c r="F140" i="49" s="1"/>
  <c r="F62" i="50"/>
  <c r="F121" i="50" s="1"/>
  <c r="G30" i="50" s="1"/>
  <c r="F78" i="50"/>
  <c r="F123" i="50" s="1"/>
  <c r="G32" i="50" s="1"/>
  <c r="F70" i="50"/>
  <c r="F122" i="50" s="1"/>
  <c r="G31" i="50" s="1"/>
  <c r="F62" i="49"/>
  <c r="F121" i="49" s="1"/>
  <c r="G84" i="46"/>
  <c r="G86" i="46" s="1"/>
  <c r="G124" i="46" s="1"/>
  <c r="C46" i="16"/>
  <c r="C45" i="16"/>
  <c r="C36" i="16"/>
  <c r="C38" i="16" s="1"/>
  <c r="D59" i="16"/>
  <c r="C59" i="16"/>
  <c r="P58" i="16"/>
  <c r="P57" i="16"/>
  <c r="P56" i="16"/>
  <c r="P55" i="16"/>
  <c r="P54" i="16"/>
  <c r="P53" i="16"/>
  <c r="P52" i="16"/>
  <c r="P51" i="16"/>
  <c r="C51" i="16"/>
  <c r="C50" i="16"/>
  <c r="C60" i="16" s="1"/>
  <c r="M43" i="16"/>
  <c r="M41" i="16"/>
  <c r="C35" i="16"/>
  <c r="B30" i="16"/>
  <c r="C29" i="16"/>
  <c r="C31" i="16" s="1"/>
  <c r="C27" i="16"/>
  <c r="C26" i="16"/>
  <c r="C30" i="16" s="1"/>
  <c r="C25" i="16"/>
  <c r="C24" i="16"/>
  <c r="D23" i="16"/>
  <c r="C23" i="16"/>
  <c r="D22" i="16"/>
  <c r="D35" i="16" s="1"/>
  <c r="D36" i="16" s="1"/>
  <c r="F129" i="48" l="1"/>
  <c r="G37" i="48" s="1"/>
  <c r="F127" i="51"/>
  <c r="F130" i="48"/>
  <c r="F132" i="48" s="1"/>
  <c r="F70" i="49"/>
  <c r="F122" i="49" s="1"/>
  <c r="G31" i="49" s="1"/>
  <c r="F127" i="50"/>
  <c r="F78" i="49"/>
  <c r="F123" i="49" s="1"/>
  <c r="G32" i="49" s="1"/>
  <c r="G30" i="49"/>
  <c r="G60" i="46"/>
  <c r="G62" i="46" s="1"/>
  <c r="G121" i="46" s="1"/>
  <c r="G76" i="46"/>
  <c r="G78" i="46" s="1"/>
  <c r="G123" i="46" s="1"/>
  <c r="G68" i="46"/>
  <c r="G70" i="46" s="1"/>
  <c r="G122" i="46" s="1"/>
  <c r="D38" i="16"/>
  <c r="D37" i="16" s="1"/>
  <c r="C37" i="16"/>
  <c r="C32" i="16"/>
  <c r="C33" i="16"/>
  <c r="C55" i="16" s="1"/>
  <c r="D26" i="16" s="1"/>
  <c r="C34" i="16"/>
  <c r="C47" i="16" s="1"/>
  <c r="C56" i="16" s="1"/>
  <c r="D51" i="16"/>
  <c r="E22" i="16"/>
  <c r="F134" i="48" l="1"/>
  <c r="F131" i="48"/>
  <c r="F136" i="48" s="1"/>
  <c r="G38" i="48"/>
  <c r="G69" i="48" s="1"/>
  <c r="G115" i="48" s="1"/>
  <c r="G140" i="48" s="1"/>
  <c r="F129" i="51"/>
  <c r="G29" i="51"/>
  <c r="F130" i="51"/>
  <c r="F129" i="50"/>
  <c r="G29" i="50"/>
  <c r="F130" i="50"/>
  <c r="F127" i="49"/>
  <c r="F129" i="49" s="1"/>
  <c r="G39" i="48"/>
  <c r="G43" i="48" s="1"/>
  <c r="G51" i="48" s="1"/>
  <c r="G127" i="46"/>
  <c r="D50" i="16"/>
  <c r="D60" i="16" s="1"/>
  <c r="E59" i="16"/>
  <c r="E23" i="16"/>
  <c r="E35" i="16"/>
  <c r="E36" i="16" s="1"/>
  <c r="F22" i="16"/>
  <c r="E51" i="16"/>
  <c r="G46" i="48" l="1"/>
  <c r="G77" i="48" s="1"/>
  <c r="G116" i="48" s="1"/>
  <c r="F137" i="48"/>
  <c r="F135" i="48"/>
  <c r="F132" i="51"/>
  <c r="G38" i="51"/>
  <c r="F134" i="51"/>
  <c r="F131" i="51"/>
  <c r="G37" i="51"/>
  <c r="F130" i="49"/>
  <c r="F132" i="49" s="1"/>
  <c r="F132" i="50"/>
  <c r="G38" i="50"/>
  <c r="F134" i="50"/>
  <c r="F131" i="50"/>
  <c r="G37" i="50"/>
  <c r="G29" i="49"/>
  <c r="F131" i="49"/>
  <c r="F134" i="49"/>
  <c r="G37" i="49"/>
  <c r="G42" i="48"/>
  <c r="G40" i="48"/>
  <c r="G41" i="48"/>
  <c r="G84" i="48"/>
  <c r="G86" i="48" s="1"/>
  <c r="G124" i="48" s="1"/>
  <c r="G129" i="46"/>
  <c r="G130" i="46"/>
  <c r="G132" i="46" s="1"/>
  <c r="C49" i="16"/>
  <c r="C54" i="16" s="1"/>
  <c r="E38" i="16"/>
  <c r="E37" i="16" s="1"/>
  <c r="F35" i="16"/>
  <c r="G22" i="16"/>
  <c r="F51" i="16"/>
  <c r="F23" i="16"/>
  <c r="F36" i="16"/>
  <c r="F38" i="16" s="1"/>
  <c r="F59" i="16"/>
  <c r="G50" i="48" l="1"/>
  <c r="G48" i="48" s="1"/>
  <c r="G60" i="48" s="1"/>
  <c r="G39" i="51"/>
  <c r="G44" i="51" s="1"/>
  <c r="G92" i="51" s="1"/>
  <c r="G94" i="51" s="1"/>
  <c r="G125" i="51" s="1"/>
  <c r="F137" i="51"/>
  <c r="F136" i="51"/>
  <c r="F135" i="51"/>
  <c r="G46" i="51"/>
  <c r="G39" i="50"/>
  <c r="G42" i="50" s="1"/>
  <c r="G38" i="49"/>
  <c r="G46" i="49" s="1"/>
  <c r="F137" i="50"/>
  <c r="F135" i="50"/>
  <c r="F136" i="50"/>
  <c r="G46" i="50"/>
  <c r="F137" i="49"/>
  <c r="F136" i="49"/>
  <c r="F135" i="49"/>
  <c r="G131" i="46"/>
  <c r="G134" i="46"/>
  <c r="D25" i="16"/>
  <c r="C57" i="16"/>
  <c r="D24" i="16" s="1"/>
  <c r="D29" i="16" s="1"/>
  <c r="F37" i="16"/>
  <c r="G51" i="16"/>
  <c r="H22" i="16"/>
  <c r="G35" i="16"/>
  <c r="G23" i="16"/>
  <c r="G36" i="16"/>
  <c r="G59" i="16"/>
  <c r="G76" i="48" l="1"/>
  <c r="G78" i="48" s="1"/>
  <c r="G123" i="48" s="1"/>
  <c r="G49" i="48"/>
  <c r="G68" i="48" s="1"/>
  <c r="G70" i="48" s="1"/>
  <c r="G122" i="48" s="1"/>
  <c r="G42" i="51"/>
  <c r="G40" i="51"/>
  <c r="G43" i="51"/>
  <c r="G41" i="51"/>
  <c r="G39" i="49"/>
  <c r="G43" i="49" s="1"/>
  <c r="G51" i="49" s="1"/>
  <c r="G50" i="49" s="1"/>
  <c r="G48" i="49" s="1"/>
  <c r="G40" i="50"/>
  <c r="G41" i="50"/>
  <c r="G43" i="50"/>
  <c r="G61" i="48"/>
  <c r="G114" i="48" s="1"/>
  <c r="G137" i="46"/>
  <c r="G136" i="46"/>
  <c r="G135" i="46"/>
  <c r="D30" i="16"/>
  <c r="D31" i="16" s="1"/>
  <c r="D27" i="16"/>
  <c r="G38" i="16"/>
  <c r="G37" i="16" s="1"/>
  <c r="I22" i="16"/>
  <c r="H59" i="16"/>
  <c r="H23" i="16"/>
  <c r="H35" i="16"/>
  <c r="H36" i="16" s="1"/>
  <c r="H51" i="16"/>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51" i="51" l="1"/>
  <c r="G50" i="51" s="1"/>
  <c r="G84" i="49"/>
  <c r="G86" i="49" s="1"/>
  <c r="G124" i="49" s="1"/>
  <c r="H33" i="49" s="1"/>
  <c r="G40" i="49"/>
  <c r="G60" i="49" s="1"/>
  <c r="G42" i="49"/>
  <c r="G76" i="49" s="1"/>
  <c r="G41" i="49"/>
  <c r="G51" i="50"/>
  <c r="G49" i="49"/>
  <c r="G62" i="48"/>
  <c r="G121" i="48" s="1"/>
  <c r="G127" i="48" s="1"/>
  <c r="D32" i="16"/>
  <c r="D45" i="16" s="1"/>
  <c r="D49" i="16" s="1"/>
  <c r="D54" i="16" s="1"/>
  <c r="D34" i="16"/>
  <c r="D47" i="16" s="1"/>
  <c r="D56" i="16" s="1"/>
  <c r="D33" i="16"/>
  <c r="D46" i="16" s="1"/>
  <c r="D55" i="16" s="1"/>
  <c r="E26" i="16" s="1"/>
  <c r="E50" i="16" s="1"/>
  <c r="E60" i="16" s="1"/>
  <c r="H38" i="16"/>
  <c r="H37" i="16" s="1"/>
  <c r="I23" i="16"/>
  <c r="I59" i="16"/>
  <c r="I51" i="16"/>
  <c r="I35" i="16"/>
  <c r="I36" i="16" s="1"/>
  <c r="J22" i="16"/>
  <c r="G48" i="51" l="1"/>
  <c r="G60" i="51" s="1"/>
  <c r="G61" i="51" s="1"/>
  <c r="G114" i="51" s="1"/>
  <c r="G76" i="51"/>
  <c r="G77" i="51" s="1"/>
  <c r="G116" i="51" s="1"/>
  <c r="G49" i="51"/>
  <c r="G68" i="51" s="1"/>
  <c r="G69" i="51" s="1"/>
  <c r="G115" i="51" s="1"/>
  <c r="G140" i="51" s="1"/>
  <c r="G84" i="51"/>
  <c r="G86" i="51" s="1"/>
  <c r="G124" i="51" s="1"/>
  <c r="H33" i="51" s="1"/>
  <c r="G68" i="49"/>
  <c r="G69" i="49" s="1"/>
  <c r="G115" i="49" s="1"/>
  <c r="G140" i="49" s="1"/>
  <c r="G50" i="50"/>
  <c r="G84" i="50"/>
  <c r="G86" i="50" s="1"/>
  <c r="G124" i="50" s="1"/>
  <c r="H33" i="50" s="1"/>
  <c r="G77" i="49"/>
  <c r="G116" i="49" s="1"/>
  <c r="G61" i="49"/>
  <c r="G114" i="49" s="1"/>
  <c r="G130" i="48"/>
  <c r="G132" i="48" s="1"/>
  <c r="G129" i="48"/>
  <c r="I38" i="16"/>
  <c r="I37" i="16" s="1"/>
  <c r="D57" i="16"/>
  <c r="E24" i="16" s="1"/>
  <c r="E25" i="16"/>
  <c r="J36" i="16"/>
  <c r="J38" i="16" s="1"/>
  <c r="J23" i="16"/>
  <c r="J35" i="16"/>
  <c r="J59" i="16"/>
  <c r="K22" i="16"/>
  <c r="J51" i="16"/>
  <c r="G62" i="51" l="1"/>
  <c r="G121" i="51" s="1"/>
  <c r="H30" i="51" s="1"/>
  <c r="G70" i="51"/>
  <c r="G122" i="51" s="1"/>
  <c r="H31" i="51" s="1"/>
  <c r="G78" i="51"/>
  <c r="G123" i="51" s="1"/>
  <c r="H32" i="51" s="1"/>
  <c r="G48" i="50"/>
  <c r="G60" i="50" s="1"/>
  <c r="G61" i="50" s="1"/>
  <c r="G114" i="50" s="1"/>
  <c r="G76" i="50"/>
  <c r="G77" i="50" s="1"/>
  <c r="G116" i="50" s="1"/>
  <c r="G49" i="50"/>
  <c r="G68" i="50" s="1"/>
  <c r="G69" i="50" s="1"/>
  <c r="G115" i="50" s="1"/>
  <c r="G140" i="50" s="1"/>
  <c r="G78" i="49"/>
  <c r="G123" i="49" s="1"/>
  <c r="H32" i="49" s="1"/>
  <c r="G70" i="49"/>
  <c r="G122" i="49" s="1"/>
  <c r="H31" i="49" s="1"/>
  <c r="G62" i="49"/>
  <c r="G121" i="49" s="1"/>
  <c r="G131" i="48"/>
  <c r="G134" i="48"/>
  <c r="J37" i="16"/>
  <c r="K36" i="16"/>
  <c r="K59" i="16"/>
  <c r="K23" i="16"/>
  <c r="K35" i="16"/>
  <c r="L22" i="16"/>
  <c r="K51" i="16"/>
  <c r="E27" i="16"/>
  <c r="E29" i="16"/>
  <c r="E31" i="16" s="1"/>
  <c r="E30" i="16"/>
  <c r="G127" i="51" l="1"/>
  <c r="G78" i="50"/>
  <c r="G123" i="50" s="1"/>
  <c r="H32" i="50" s="1"/>
  <c r="G62" i="50"/>
  <c r="G121" i="50" s="1"/>
  <c r="H30" i="50" s="1"/>
  <c r="G70" i="50"/>
  <c r="G122" i="50" s="1"/>
  <c r="H31" i="50" s="1"/>
  <c r="G127" i="49"/>
  <c r="H30" i="49"/>
  <c r="G137" i="48"/>
  <c r="G136" i="48"/>
  <c r="G135" i="48"/>
  <c r="L36" i="16"/>
  <c r="L59" i="16"/>
  <c r="L23" i="16"/>
  <c r="L35" i="16"/>
  <c r="L38" i="16"/>
  <c r="L51" i="16"/>
  <c r="L37" i="16"/>
  <c r="K38" i="16"/>
  <c r="K37" i="16" s="1"/>
  <c r="E33" i="16"/>
  <c r="E46" i="16" s="1"/>
  <c r="E55" i="16" s="1"/>
  <c r="F26" i="16" s="1"/>
  <c r="E32" i="16"/>
  <c r="E45" i="16" s="1"/>
  <c r="E34" i="16"/>
  <c r="E47" i="16" s="1"/>
  <c r="E56" i="16" s="1"/>
  <c r="G129" i="51" l="1"/>
  <c r="H29" i="51"/>
  <c r="G130" i="51"/>
  <c r="G127" i="50"/>
  <c r="G129" i="50" s="1"/>
  <c r="G129" i="49"/>
  <c r="H37" i="49" s="1"/>
  <c r="H29" i="49"/>
  <c r="G130" i="49"/>
  <c r="E49" i="16"/>
  <c r="E54" i="16" s="1"/>
  <c r="F50" i="16"/>
  <c r="F60" i="16" s="1"/>
  <c r="H38" i="51" l="1"/>
  <c r="G132" i="51"/>
  <c r="G131" i="51"/>
  <c r="H37" i="51"/>
  <c r="G134" i="51"/>
  <c r="G130" i="50"/>
  <c r="G132" i="50" s="1"/>
  <c r="H29" i="50"/>
  <c r="G131" i="50"/>
  <c r="G134" i="50"/>
  <c r="H37" i="50"/>
  <c r="G132" i="49"/>
  <c r="H38" i="49"/>
  <c r="G131" i="49"/>
  <c r="G134" i="49"/>
  <c r="E57" i="16"/>
  <c r="F24" i="16" s="1"/>
  <c r="F25" i="16"/>
  <c r="H39" i="51" l="1"/>
  <c r="H44" i="51" s="1"/>
  <c r="H92" i="51" s="1"/>
  <c r="H94" i="51" s="1"/>
  <c r="H125" i="51" s="1"/>
  <c r="G136" i="51"/>
  <c r="G135" i="51"/>
  <c r="G137" i="51"/>
  <c r="H46" i="51"/>
  <c r="H38" i="50"/>
  <c r="H39" i="50" s="1"/>
  <c r="H40" i="50" s="1"/>
  <c r="G137" i="50"/>
  <c r="G136" i="50"/>
  <c r="G135" i="50"/>
  <c r="H39" i="49"/>
  <c r="H42" i="49" s="1"/>
  <c r="H46" i="49"/>
  <c r="G137" i="49"/>
  <c r="G136" i="49"/>
  <c r="G135" i="49"/>
  <c r="F27" i="16"/>
  <c r="F29" i="16"/>
  <c r="F31" i="16" s="1"/>
  <c r="F30" i="16"/>
  <c r="H46" i="50" l="1"/>
  <c r="H40" i="51"/>
  <c r="H43" i="51"/>
  <c r="H41" i="51"/>
  <c r="H42" i="51"/>
  <c r="H42" i="50"/>
  <c r="H43" i="50"/>
  <c r="H51" i="50" s="1"/>
  <c r="H41" i="50"/>
  <c r="H43" i="49"/>
  <c r="H40" i="49"/>
  <c r="H41" i="49"/>
  <c r="F32" i="16"/>
  <c r="F45" i="16" s="1"/>
  <c r="F34" i="16"/>
  <c r="F47" i="16" s="1"/>
  <c r="F56" i="16" s="1"/>
  <c r="F33" i="16"/>
  <c r="F46" i="16" s="1"/>
  <c r="F55" i="16" s="1"/>
  <c r="G26" i="16" s="1"/>
  <c r="H51" i="51" l="1"/>
  <c r="H50" i="51" s="1"/>
  <c r="H50" i="50"/>
  <c r="H48" i="50" s="1"/>
  <c r="H51" i="49"/>
  <c r="H84" i="49" s="1"/>
  <c r="H86" i="49" s="1"/>
  <c r="H124" i="49" s="1"/>
  <c r="I33" i="49" s="1"/>
  <c r="H84" i="50"/>
  <c r="H86" i="50" s="1"/>
  <c r="H124" i="50" s="1"/>
  <c r="I33" i="50" s="1"/>
  <c r="G50" i="16"/>
  <c r="F49" i="16"/>
  <c r="F54" i="16" s="1"/>
  <c r="H49" i="51" l="1"/>
  <c r="H68" i="51" s="1"/>
  <c r="H69" i="51" s="1"/>
  <c r="H115" i="51" s="1"/>
  <c r="H140" i="51" s="1"/>
  <c r="H48" i="51"/>
  <c r="H60" i="51" s="1"/>
  <c r="H61" i="51" s="1"/>
  <c r="H114" i="51" s="1"/>
  <c r="H76" i="51"/>
  <c r="H77" i="51" s="1"/>
  <c r="H116" i="51" s="1"/>
  <c r="H84" i="51"/>
  <c r="H86" i="51" s="1"/>
  <c r="H124" i="51" s="1"/>
  <c r="I33" i="51" s="1"/>
  <c r="H76" i="50"/>
  <c r="H77" i="50" s="1"/>
  <c r="H116" i="50" s="1"/>
  <c r="H49" i="50"/>
  <c r="H68" i="50" s="1"/>
  <c r="H50" i="49"/>
  <c r="H49" i="49" s="1"/>
  <c r="H68" i="49" s="1"/>
  <c r="H60" i="50"/>
  <c r="F57" i="16"/>
  <c r="G24" i="16" s="1"/>
  <c r="G25" i="16"/>
  <c r="H50" i="16"/>
  <c r="G60" i="16"/>
  <c r="H62" i="51" l="1"/>
  <c r="H121" i="51" s="1"/>
  <c r="I30" i="51" s="1"/>
  <c r="H78" i="51"/>
  <c r="H123" i="51" s="1"/>
  <c r="I32" i="51" s="1"/>
  <c r="H70" i="51"/>
  <c r="H122" i="51" s="1"/>
  <c r="I31" i="51" s="1"/>
  <c r="H78" i="50"/>
  <c r="H123" i="50" s="1"/>
  <c r="I32" i="50" s="1"/>
  <c r="H48" i="49"/>
  <c r="H60" i="49" s="1"/>
  <c r="H61" i="49" s="1"/>
  <c r="H114" i="49" s="1"/>
  <c r="H76" i="49"/>
  <c r="H69" i="50"/>
  <c r="H115" i="50" s="1"/>
  <c r="H140" i="50" s="1"/>
  <c r="H61" i="50"/>
  <c r="H114" i="50" s="1"/>
  <c r="H69" i="49"/>
  <c r="H115" i="49" s="1"/>
  <c r="H140" i="49" s="1"/>
  <c r="I50" i="16"/>
  <c r="H60" i="16"/>
  <c r="G27" i="16"/>
  <c r="G29" i="16"/>
  <c r="G31" i="16" s="1"/>
  <c r="G30" i="16"/>
  <c r="H62" i="49" l="1"/>
  <c r="H121" i="49" s="1"/>
  <c r="I30" i="49" s="1"/>
  <c r="H127" i="51"/>
  <c r="H77" i="49"/>
  <c r="H116" i="49" s="1"/>
  <c r="H62" i="50"/>
  <c r="H121" i="50" s="1"/>
  <c r="I30" i="50" s="1"/>
  <c r="H70" i="50"/>
  <c r="H122" i="50" s="1"/>
  <c r="I31" i="50" s="1"/>
  <c r="H70" i="49"/>
  <c r="H122" i="49" s="1"/>
  <c r="I31" i="49" s="1"/>
  <c r="G33" i="16"/>
  <c r="G46" i="16" s="1"/>
  <c r="G55" i="16" s="1"/>
  <c r="H26" i="16" s="1"/>
  <c r="G32" i="16"/>
  <c r="G45" i="16" s="1"/>
  <c r="G34" i="16"/>
  <c r="G47" i="16" s="1"/>
  <c r="G56" i="16" s="1"/>
  <c r="J50" i="16"/>
  <c r="I60" i="16"/>
  <c r="H129" i="51" l="1"/>
  <c r="I29" i="51"/>
  <c r="H130" i="51"/>
  <c r="H78" i="49"/>
  <c r="H123" i="49" s="1"/>
  <c r="I32" i="49" s="1"/>
  <c r="H127" i="50"/>
  <c r="K50" i="16"/>
  <c r="J60" i="16"/>
  <c r="G49" i="16"/>
  <c r="G54" i="16" s="1"/>
  <c r="H132" i="51" l="1"/>
  <c r="I38" i="51"/>
  <c r="H131" i="51"/>
  <c r="H134" i="51"/>
  <c r="I37" i="51"/>
  <c r="H127" i="49"/>
  <c r="I29" i="49" s="1"/>
  <c r="H129" i="50"/>
  <c r="I29" i="50"/>
  <c r="H130" i="50"/>
  <c r="G57" i="16"/>
  <c r="H24" i="16" s="1"/>
  <c r="H25" i="16"/>
  <c r="L50" i="16"/>
  <c r="L60" i="16" s="1"/>
  <c r="K60" i="16"/>
  <c r="I39" i="51" l="1"/>
  <c r="I44" i="51" s="1"/>
  <c r="I92" i="51" s="1"/>
  <c r="I94" i="51" s="1"/>
  <c r="I125" i="51" s="1"/>
  <c r="H137" i="51"/>
  <c r="H136" i="51"/>
  <c r="H135" i="51"/>
  <c r="I46" i="51"/>
  <c r="H130" i="49"/>
  <c r="H132" i="49" s="1"/>
  <c r="H129" i="49"/>
  <c r="I37" i="49" s="1"/>
  <c r="H132" i="50"/>
  <c r="I38" i="50"/>
  <c r="H131" i="50"/>
  <c r="H134" i="50"/>
  <c r="I37" i="50"/>
  <c r="H27" i="16"/>
  <c r="H29" i="16"/>
  <c r="H30" i="16"/>
  <c r="H131" i="49" l="1"/>
  <c r="H135" i="49" s="1"/>
  <c r="I39" i="50"/>
  <c r="I40" i="50" s="1"/>
  <c r="I38" i="49"/>
  <c r="I46" i="49" s="1"/>
  <c r="I40" i="51"/>
  <c r="I43" i="51"/>
  <c r="I41" i="51"/>
  <c r="I42" i="51"/>
  <c r="H134" i="49"/>
  <c r="H137" i="50"/>
  <c r="H136" i="50"/>
  <c r="H135" i="50"/>
  <c r="I46" i="50"/>
  <c r="H31" i="16"/>
  <c r="H34" i="16" s="1"/>
  <c r="H47" i="16" s="1"/>
  <c r="H56" i="16" s="1"/>
  <c r="I39" i="49" l="1"/>
  <c r="I40" i="49" s="1"/>
  <c r="H137" i="49"/>
  <c r="I51" i="51"/>
  <c r="I84" i="51" s="1"/>
  <c r="I86" i="51" s="1"/>
  <c r="I124" i="51" s="1"/>
  <c r="J33" i="51" s="1"/>
  <c r="H136" i="49"/>
  <c r="I42" i="50"/>
  <c r="I43" i="50"/>
  <c r="I51" i="50" s="1"/>
  <c r="I84" i="50" s="1"/>
  <c r="I86" i="50" s="1"/>
  <c r="I124" i="50" s="1"/>
  <c r="J33" i="50" s="1"/>
  <c r="I41" i="50"/>
  <c r="H33" i="16"/>
  <c r="H46" i="16" s="1"/>
  <c r="H55" i="16" s="1"/>
  <c r="I26" i="16" s="1"/>
  <c r="H32" i="16"/>
  <c r="H45" i="16" s="1"/>
  <c r="H54" i="16" s="1"/>
  <c r="I42" i="49" l="1"/>
  <c r="I41" i="49"/>
  <c r="I43" i="49"/>
  <c r="I51" i="49" s="1"/>
  <c r="I50" i="49" s="1"/>
  <c r="I48" i="49" s="1"/>
  <c r="I60" i="49" s="1"/>
  <c r="I50" i="51"/>
  <c r="I49" i="51" s="1"/>
  <c r="I68" i="51" s="1"/>
  <c r="I69" i="51" s="1"/>
  <c r="I115" i="51" s="1"/>
  <c r="I140" i="51" s="1"/>
  <c r="I50" i="50"/>
  <c r="I48" i="50" s="1"/>
  <c r="H57" i="16"/>
  <c r="I24" i="16" s="1"/>
  <c r="I27" i="16" s="1"/>
  <c r="I25" i="16"/>
  <c r="I76" i="49" l="1"/>
  <c r="I77" i="49" s="1"/>
  <c r="I116" i="49" s="1"/>
  <c r="I49" i="49"/>
  <c r="I68" i="49" s="1"/>
  <c r="I69" i="49" s="1"/>
  <c r="I115" i="49" s="1"/>
  <c r="I140" i="49" s="1"/>
  <c r="I84" i="49"/>
  <c r="I86" i="49" s="1"/>
  <c r="I124" i="49" s="1"/>
  <c r="J33" i="49" s="1"/>
  <c r="I76" i="51"/>
  <c r="I77" i="51" s="1"/>
  <c r="I116" i="51" s="1"/>
  <c r="I70" i="51"/>
  <c r="I122" i="51" s="1"/>
  <c r="J31" i="51" s="1"/>
  <c r="I48" i="51"/>
  <c r="I60" i="51" s="1"/>
  <c r="I61" i="51" s="1"/>
  <c r="I114" i="51" s="1"/>
  <c r="I49" i="50"/>
  <c r="I68" i="50" s="1"/>
  <c r="I76" i="50"/>
  <c r="I77" i="50" s="1"/>
  <c r="I116" i="50" s="1"/>
  <c r="I60" i="50"/>
  <c r="I61" i="49"/>
  <c r="I114" i="49" s="1"/>
  <c r="I30" i="16"/>
  <c r="I29" i="16"/>
  <c r="I31" i="16" s="1"/>
  <c r="I34" i="16" s="1"/>
  <c r="I47" i="16" s="1"/>
  <c r="I56" i="16" s="1"/>
  <c r="I78" i="49" l="1"/>
  <c r="I123" i="49" s="1"/>
  <c r="J32" i="49" s="1"/>
  <c r="I78" i="51"/>
  <c r="I123" i="51" s="1"/>
  <c r="J32" i="51" s="1"/>
  <c r="I62" i="51"/>
  <c r="I121" i="51" s="1"/>
  <c r="J30" i="51" s="1"/>
  <c r="I78" i="50"/>
  <c r="I123" i="50" s="1"/>
  <c r="J32" i="50" s="1"/>
  <c r="I69" i="50"/>
  <c r="I115" i="50" s="1"/>
  <c r="I140" i="50" s="1"/>
  <c r="I61" i="50"/>
  <c r="I114" i="50" s="1"/>
  <c r="I70" i="49"/>
  <c r="I122" i="49" s="1"/>
  <c r="J31" i="49" s="1"/>
  <c r="I62" i="49"/>
  <c r="I121" i="49" s="1"/>
  <c r="I32" i="16"/>
  <c r="I45" i="16" s="1"/>
  <c r="I54" i="16" s="1"/>
  <c r="J25" i="16" s="1"/>
  <c r="I33" i="16"/>
  <c r="I46" i="16" s="1"/>
  <c r="I55" i="16" s="1"/>
  <c r="J26" i="16" s="1"/>
  <c r="I127" i="51" l="1"/>
  <c r="I129" i="51" s="1"/>
  <c r="I62" i="50"/>
  <c r="I121" i="50" s="1"/>
  <c r="J30" i="50" s="1"/>
  <c r="I70" i="50"/>
  <c r="I122" i="50" s="1"/>
  <c r="J31" i="50" s="1"/>
  <c r="I127" i="49"/>
  <c r="J30" i="49"/>
  <c r="I57" i="16"/>
  <c r="J24" i="16" s="1"/>
  <c r="J27" i="16" s="1"/>
  <c r="I130" i="51" l="1"/>
  <c r="I132" i="51" s="1"/>
  <c r="J29" i="51"/>
  <c r="I134" i="51"/>
  <c r="I131" i="51"/>
  <c r="J37" i="51"/>
  <c r="I127" i="50"/>
  <c r="J29" i="49"/>
  <c r="I130" i="49"/>
  <c r="I129" i="49"/>
  <c r="J37" i="49" s="1"/>
  <c r="J30" i="16"/>
  <c r="J29" i="16"/>
  <c r="J31" i="16" s="1"/>
  <c r="J34" i="16" s="1"/>
  <c r="J47" i="16" s="1"/>
  <c r="J56" i="16" s="1"/>
  <c r="J38" i="51" l="1"/>
  <c r="J39" i="51" s="1"/>
  <c r="J44" i="51" s="1"/>
  <c r="J92" i="51" s="1"/>
  <c r="J94" i="51" s="1"/>
  <c r="J125" i="51" s="1"/>
  <c r="I135" i="51"/>
  <c r="I137" i="51"/>
  <c r="I136" i="51"/>
  <c r="I129" i="50"/>
  <c r="J29" i="50"/>
  <c r="I130" i="50"/>
  <c r="I132" i="49"/>
  <c r="J38" i="49"/>
  <c r="I131" i="49"/>
  <c r="I134" i="49"/>
  <c r="J32" i="16"/>
  <c r="J45" i="16" s="1"/>
  <c r="J54" i="16" s="1"/>
  <c r="K25" i="16" s="1"/>
  <c r="J33" i="16"/>
  <c r="J46" i="16" s="1"/>
  <c r="J55" i="16" s="1"/>
  <c r="K26" i="16" s="1"/>
  <c r="J46" i="51" l="1"/>
  <c r="J42" i="51"/>
  <c r="J41" i="51"/>
  <c r="J43" i="51"/>
  <c r="J51" i="51" s="1"/>
  <c r="J40" i="51"/>
  <c r="I132" i="50"/>
  <c r="J38" i="50"/>
  <c r="I131" i="50"/>
  <c r="J37" i="50"/>
  <c r="I134" i="50"/>
  <c r="J39" i="49"/>
  <c r="J42" i="49" s="1"/>
  <c r="J46" i="49"/>
  <c r="I137" i="49"/>
  <c r="I136" i="49"/>
  <c r="I135" i="49"/>
  <c r="J57" i="16"/>
  <c r="K24" i="16" s="1"/>
  <c r="K27" i="16" s="1"/>
  <c r="J50" i="51" l="1"/>
  <c r="J48" i="51" s="1"/>
  <c r="J60" i="51" s="1"/>
  <c r="J84" i="51"/>
  <c r="J86" i="51" s="1"/>
  <c r="J124" i="51" s="1"/>
  <c r="K33" i="51" s="1"/>
  <c r="J39" i="50"/>
  <c r="J41" i="50" s="1"/>
  <c r="I136" i="50"/>
  <c r="I135" i="50"/>
  <c r="I137" i="50"/>
  <c r="J46" i="50"/>
  <c r="J41" i="49"/>
  <c r="J43" i="49"/>
  <c r="J40" i="49"/>
  <c r="K29" i="16"/>
  <c r="K30" i="16"/>
  <c r="J49" i="51" l="1"/>
  <c r="J68" i="51" s="1"/>
  <c r="J69" i="51" s="1"/>
  <c r="J115" i="51" s="1"/>
  <c r="J140" i="51" s="1"/>
  <c r="J76" i="51"/>
  <c r="J77" i="51" s="1"/>
  <c r="J116" i="51" s="1"/>
  <c r="J43" i="50"/>
  <c r="J51" i="50" s="1"/>
  <c r="J50" i="50" s="1"/>
  <c r="J48" i="50" s="1"/>
  <c r="J42" i="50"/>
  <c r="J40" i="50"/>
  <c r="J61" i="51"/>
  <c r="J114" i="51" s="1"/>
  <c r="J51" i="49"/>
  <c r="K31" i="16"/>
  <c r="K32" i="16" s="1"/>
  <c r="K45" i="16" s="1"/>
  <c r="K54" i="16" s="1"/>
  <c r="L25" i="16" s="1"/>
  <c r="J84" i="50" l="1"/>
  <c r="J86" i="50" s="1"/>
  <c r="J124" i="50" s="1"/>
  <c r="K33" i="50" s="1"/>
  <c r="J62" i="51"/>
  <c r="J121" i="51" s="1"/>
  <c r="K30" i="51" s="1"/>
  <c r="J78" i="51"/>
  <c r="J123" i="51" s="1"/>
  <c r="K32" i="51" s="1"/>
  <c r="J70" i="51"/>
  <c r="J122" i="51" s="1"/>
  <c r="K31" i="51" s="1"/>
  <c r="J76" i="50"/>
  <c r="J77" i="50" s="1"/>
  <c r="J116" i="50" s="1"/>
  <c r="J49" i="50"/>
  <c r="J50" i="49"/>
  <c r="J49" i="49" s="1"/>
  <c r="J84" i="49"/>
  <c r="J86" i="49" s="1"/>
  <c r="J124" i="49" s="1"/>
  <c r="K33" i="49" s="1"/>
  <c r="K33" i="16"/>
  <c r="K46" i="16" s="1"/>
  <c r="K55" i="16" s="1"/>
  <c r="L26" i="16" s="1"/>
  <c r="K34" i="16"/>
  <c r="K47" i="16" s="1"/>
  <c r="K56" i="16" s="1"/>
  <c r="J127" i="51" l="1"/>
  <c r="J48" i="49"/>
  <c r="J60" i="49" s="1"/>
  <c r="J61" i="49" s="1"/>
  <c r="J114" i="49" s="1"/>
  <c r="J76" i="49"/>
  <c r="J77" i="49" s="1"/>
  <c r="J116" i="49" s="1"/>
  <c r="J78" i="50"/>
  <c r="J123" i="50" s="1"/>
  <c r="K32" i="50" s="1"/>
  <c r="J60" i="50"/>
  <c r="J68" i="50"/>
  <c r="J68" i="49"/>
  <c r="J69" i="49" s="1"/>
  <c r="J115" i="49" s="1"/>
  <c r="J140" i="49" s="1"/>
  <c r="K57" i="16"/>
  <c r="L24" i="16" s="1"/>
  <c r="L30" i="16" s="1"/>
  <c r="J62" i="49" l="1"/>
  <c r="J121" i="49" s="1"/>
  <c r="K30" i="49" s="1"/>
  <c r="J129" i="51"/>
  <c r="K29" i="51"/>
  <c r="J130" i="51"/>
  <c r="J78" i="49"/>
  <c r="J123" i="49" s="1"/>
  <c r="K32" i="49" s="1"/>
  <c r="J69" i="50"/>
  <c r="J115" i="50" s="1"/>
  <c r="J140" i="50" s="1"/>
  <c r="J61" i="50"/>
  <c r="J114" i="50" s="1"/>
  <c r="J70" i="49"/>
  <c r="J122" i="49" s="1"/>
  <c r="K31" i="49" s="1"/>
  <c r="L27" i="16"/>
  <c r="L29" i="16"/>
  <c r="L31" i="16" s="1"/>
  <c r="L32" i="16" s="1"/>
  <c r="L45" i="16" s="1"/>
  <c r="L54" i="16" s="1"/>
  <c r="J132" i="51" l="1"/>
  <c r="K38" i="51"/>
  <c r="J131" i="51"/>
  <c r="J134" i="51"/>
  <c r="K37" i="51"/>
  <c r="J62" i="50"/>
  <c r="J121" i="50" s="1"/>
  <c r="K30" i="50" s="1"/>
  <c r="J70" i="50"/>
  <c r="J122" i="50" s="1"/>
  <c r="K31" i="50" s="1"/>
  <c r="J127" i="49"/>
  <c r="K29" i="49" s="1"/>
  <c r="L33" i="16"/>
  <c r="L46" i="16" s="1"/>
  <c r="L55" i="16" s="1"/>
  <c r="L34" i="16"/>
  <c r="L47" i="16" s="1"/>
  <c r="L56" i="16" s="1"/>
  <c r="K39" i="51" l="1"/>
  <c r="K44" i="51" s="1"/>
  <c r="K92" i="51" s="1"/>
  <c r="K94" i="51" s="1"/>
  <c r="K125" i="51" s="1"/>
  <c r="J136" i="51"/>
  <c r="J135" i="51"/>
  <c r="J137" i="51"/>
  <c r="K46" i="51"/>
  <c r="J129" i="49"/>
  <c r="K37" i="49" s="1"/>
  <c r="J130" i="49"/>
  <c r="J132" i="49" s="1"/>
  <c r="J127" i="50"/>
  <c r="L57" i="16"/>
  <c r="K41" i="51" l="1"/>
  <c r="K40" i="51"/>
  <c r="K43" i="51"/>
  <c r="K42" i="51"/>
  <c r="K38" i="49"/>
  <c r="K39" i="49" s="1"/>
  <c r="J134" i="49"/>
  <c r="J131" i="49"/>
  <c r="J135" i="49" s="1"/>
  <c r="K29" i="50"/>
  <c r="J129" i="50"/>
  <c r="J130" i="50"/>
  <c r="V15" i="7"/>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K51" i="51" l="1"/>
  <c r="K50" i="51" s="1"/>
  <c r="K43" i="49"/>
  <c r="K51" i="49" s="1"/>
  <c r="K42" i="49"/>
  <c r="K40" i="49"/>
  <c r="K41" i="49"/>
  <c r="K46" i="49"/>
  <c r="J137" i="49"/>
  <c r="J136" i="49"/>
  <c r="J132" i="50"/>
  <c r="K38" i="50"/>
  <c r="J131" i="50"/>
  <c r="J134" i="50"/>
  <c r="K37" i="50"/>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K48" i="51" l="1"/>
  <c r="K60" i="51" s="1"/>
  <c r="K61" i="51" s="1"/>
  <c r="K76" i="51"/>
  <c r="K77" i="51" s="1"/>
  <c r="K116" i="51" s="1"/>
  <c r="K49" i="51"/>
  <c r="K68" i="51" s="1"/>
  <c r="K69" i="51" s="1"/>
  <c r="K115" i="51" s="1"/>
  <c r="K140" i="51" s="1"/>
  <c r="K84" i="51"/>
  <c r="K86" i="51" s="1"/>
  <c r="K124" i="51" s="1"/>
  <c r="L33" i="51" s="1"/>
  <c r="K50" i="49"/>
  <c r="K48" i="49" s="1"/>
  <c r="K84" i="49"/>
  <c r="K86" i="49" s="1"/>
  <c r="K124" i="49" s="1"/>
  <c r="L33" i="49" s="1"/>
  <c r="K39" i="50"/>
  <c r="K41" i="50" s="1"/>
  <c r="J136" i="50"/>
  <c r="J135" i="50"/>
  <c r="J137" i="50"/>
  <c r="K46" i="50"/>
  <c r="V11" i="7"/>
  <c r="W11" i="7"/>
  <c r="V6" i="7"/>
  <c r="W6" i="7"/>
  <c r="K114" i="51" l="1"/>
  <c r="K62" i="51"/>
  <c r="K121" i="51" s="1"/>
  <c r="L30" i="51" s="1"/>
  <c r="K78" i="51"/>
  <c r="K123" i="51" s="1"/>
  <c r="L32" i="51" s="1"/>
  <c r="K70" i="51"/>
  <c r="K122" i="51" s="1"/>
  <c r="L31" i="51" s="1"/>
  <c r="K76" i="49"/>
  <c r="K77" i="49" s="1"/>
  <c r="K116" i="49" s="1"/>
  <c r="K49" i="49"/>
  <c r="K60" i="49"/>
  <c r="K61" i="49" s="1"/>
  <c r="K114" i="49" s="1"/>
  <c r="K43" i="50"/>
  <c r="K51" i="50" s="1"/>
  <c r="K40" i="50"/>
  <c r="K42" i="50"/>
  <c r="V8" i="7"/>
  <c r="W8" i="7"/>
  <c r="K78" i="49" l="1"/>
  <c r="K123" i="49" s="1"/>
  <c r="L32" i="49" s="1"/>
  <c r="K127" i="51"/>
  <c r="K50" i="50"/>
  <c r="K48" i="50" s="1"/>
  <c r="K68" i="49"/>
  <c r="K69" i="49" s="1"/>
  <c r="K115" i="49" s="1"/>
  <c r="K140" i="49" s="1"/>
  <c r="K84" i="50"/>
  <c r="K86" i="50" s="1"/>
  <c r="K124" i="50" s="1"/>
  <c r="L33" i="50" s="1"/>
  <c r="K62" i="49"/>
  <c r="K121" i="49"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K129" i="51" l="1"/>
  <c r="L29" i="51"/>
  <c r="K130" i="51"/>
  <c r="K76" i="50"/>
  <c r="K77" i="50" s="1"/>
  <c r="K116" i="50" s="1"/>
  <c r="K49" i="50"/>
  <c r="K68" i="50" s="1"/>
  <c r="K60" i="50"/>
  <c r="K70" i="49"/>
  <c r="K122" i="49" s="1"/>
  <c r="L31" i="49" s="1"/>
  <c r="L30" i="49"/>
  <c r="V10" i="7"/>
  <c r="W10" i="7"/>
  <c r="K13" i="2"/>
  <c r="L13" i="2" s="1"/>
  <c r="K8" i="2"/>
  <c r="K132" i="51" l="1"/>
  <c r="L38" i="51"/>
  <c r="K134" i="51"/>
  <c r="L37" i="51"/>
  <c r="L39" i="51" s="1"/>
  <c r="L44" i="51" s="1"/>
  <c r="L92" i="51" s="1"/>
  <c r="L94" i="51" s="1"/>
  <c r="L125" i="51" s="1"/>
  <c r="K131" i="51"/>
  <c r="K78" i="50"/>
  <c r="K123" i="50" s="1"/>
  <c r="L32" i="50" s="1"/>
  <c r="K69" i="50"/>
  <c r="K115" i="50" s="1"/>
  <c r="K140" i="50" s="1"/>
  <c r="K61" i="50"/>
  <c r="K114" i="50" s="1"/>
  <c r="K127" i="49"/>
  <c r="N13" i="2"/>
  <c r="O13" i="2"/>
  <c r="M13" i="2"/>
  <c r="K137" i="51" l="1"/>
  <c r="K135" i="51"/>
  <c r="K136" i="51"/>
  <c r="L41" i="51"/>
  <c r="L43" i="51"/>
  <c r="L51" i="51" s="1"/>
  <c r="L42" i="51"/>
  <c r="L40" i="51"/>
  <c r="L46" i="51"/>
  <c r="K62" i="50"/>
  <c r="K121" i="50" s="1"/>
  <c r="L30" i="50" s="1"/>
  <c r="K70" i="50"/>
  <c r="K122" i="50" s="1"/>
  <c r="L31" i="50" s="1"/>
  <c r="K130" i="49"/>
  <c r="L29" i="49"/>
  <c r="K129" i="49"/>
  <c r="P13" i="2"/>
  <c r="L50" i="51" l="1"/>
  <c r="L84" i="51"/>
  <c r="L86" i="51" s="1"/>
  <c r="L124" i="51" s="1"/>
  <c r="K127" i="50"/>
  <c r="L37" i="49"/>
  <c r="K131" i="49"/>
  <c r="K134" i="49"/>
  <c r="K132" i="49"/>
  <c r="L38" i="49"/>
  <c r="L48" i="51" l="1"/>
  <c r="L60" i="51" s="1"/>
  <c r="L76" i="51"/>
  <c r="L49" i="51"/>
  <c r="L68" i="51" s="1"/>
  <c r="K129" i="50"/>
  <c r="L29" i="50"/>
  <c r="K130" i="50"/>
  <c r="L46" i="49"/>
  <c r="K136" i="49"/>
  <c r="K135" i="49"/>
  <c r="K137" i="49"/>
  <c r="L39" i="49"/>
  <c r="L69" i="51" l="1"/>
  <c r="L115" i="51" s="1"/>
  <c r="L140" i="51" s="1"/>
  <c r="L77" i="51"/>
  <c r="L116" i="51" s="1"/>
  <c r="L61" i="51"/>
  <c r="L114" i="51" s="1"/>
  <c r="L38" i="50"/>
  <c r="K132" i="50"/>
  <c r="K134" i="50"/>
  <c r="K131" i="50"/>
  <c r="L37" i="50"/>
  <c r="L43" i="49"/>
  <c r="L51" i="49" s="1"/>
  <c r="L41" i="49"/>
  <c r="L40" i="49"/>
  <c r="L42" i="49"/>
  <c r="L62" i="51" l="1"/>
  <c r="L121" i="51" s="1"/>
  <c r="L39" i="50"/>
  <c r="L40" i="50" s="1"/>
  <c r="L78" i="51"/>
  <c r="L123" i="51" s="1"/>
  <c r="L70" i="51"/>
  <c r="L122" i="51" s="1"/>
  <c r="L50" i="49"/>
  <c r="L48" i="49" s="1"/>
  <c r="K135" i="50"/>
  <c r="K136" i="50"/>
  <c r="K137" i="50"/>
  <c r="L46" i="50"/>
  <c r="L84" i="49"/>
  <c r="L86" i="49" s="1"/>
  <c r="L124" i="49" s="1"/>
  <c r="L42" i="50" l="1"/>
  <c r="L43" i="50"/>
  <c r="L51" i="50" s="1"/>
  <c r="L50" i="50" s="1"/>
  <c r="L48" i="50" s="1"/>
  <c r="L41" i="50"/>
  <c r="L127" i="51"/>
  <c r="L129" i="51" s="1"/>
  <c r="L76" i="49"/>
  <c r="L77" i="49" s="1"/>
  <c r="L116" i="49" s="1"/>
  <c r="L49" i="49"/>
  <c r="L60" i="49"/>
  <c r="L130" i="51" l="1"/>
  <c r="L132" i="51" s="1"/>
  <c r="L84" i="50"/>
  <c r="L86" i="50" s="1"/>
  <c r="L124" i="50" s="1"/>
  <c r="L134" i="51"/>
  <c r="L131" i="51"/>
  <c r="L76" i="50"/>
  <c r="L77" i="50" s="1"/>
  <c r="L116" i="50" s="1"/>
  <c r="L49" i="50"/>
  <c r="L68" i="49"/>
  <c r="L69" i="49" s="1"/>
  <c r="L115" i="49" s="1"/>
  <c r="L140" i="49" s="1"/>
  <c r="L78" i="49"/>
  <c r="L123" i="49" s="1"/>
  <c r="L61" i="49"/>
  <c r="L114" i="49" s="1"/>
  <c r="L135" i="51" l="1"/>
  <c r="L137" i="51"/>
  <c r="L136" i="51"/>
  <c r="L62" i="49"/>
  <c r="L121" i="49" s="1"/>
  <c r="L60" i="50"/>
  <c r="L68" i="50"/>
  <c r="L78" i="50"/>
  <c r="L123" i="50" s="1"/>
  <c r="L70" i="49"/>
  <c r="L122" i="49" s="1"/>
  <c r="L127" i="49" l="1"/>
  <c r="L129" i="49" s="1"/>
  <c r="L69" i="50"/>
  <c r="L115" i="50" s="1"/>
  <c r="L140" i="50" s="1"/>
  <c r="L61" i="50"/>
  <c r="L114" i="50" s="1"/>
  <c r="L130" i="49" l="1"/>
  <c r="L132" i="49" s="1"/>
  <c r="L62" i="50"/>
  <c r="L121" i="50" s="1"/>
  <c r="L70" i="50"/>
  <c r="L122" i="50" s="1"/>
  <c r="L131" i="49"/>
  <c r="L134" i="49"/>
  <c r="L127" i="50" l="1"/>
  <c r="L129" i="50" s="1"/>
  <c r="L136" i="49"/>
  <c r="L135" i="49"/>
  <c r="L137" i="49"/>
  <c r="L130" i="50" l="1"/>
  <c r="L132" i="50" s="1"/>
  <c r="L134" i="50"/>
  <c r="L131" i="50"/>
  <c r="L135" i="50" l="1"/>
  <c r="L136" i="50"/>
  <c r="L137" i="50"/>
  <c r="C91" i="33" l="1"/>
  <c r="C59" i="33" l="1"/>
  <c r="C75" i="33"/>
  <c r="C67" i="33"/>
  <c r="C127" i="33"/>
  <c r="D29" i="33" s="1"/>
  <c r="C83" i="33"/>
  <c r="C130" i="33" l="1"/>
  <c r="C129" i="33"/>
  <c r="C131" i="33" s="1"/>
  <c r="C137" i="33" l="1"/>
  <c r="C135" i="33"/>
  <c r="C136" i="33"/>
  <c r="C132" i="33"/>
  <c r="D38" i="33"/>
  <c r="D46" i="33" s="1"/>
  <c r="C134" i="33"/>
  <c r="D37" i="33"/>
  <c r="D39" i="33" l="1"/>
  <c r="D42" i="33" l="1"/>
  <c r="D43" i="33"/>
  <c r="D51" i="33" s="1"/>
  <c r="D44" i="33"/>
  <c r="D40" i="33"/>
  <c r="D41" i="33"/>
  <c r="D50" i="33" l="1"/>
  <c r="D49" i="33" s="1"/>
  <c r="D92" i="33"/>
  <c r="D48" i="33" l="1"/>
  <c r="D94" i="33"/>
  <c r="D125" i="33" s="1"/>
  <c r="E34" i="33" s="1"/>
  <c r="D84" i="33" l="1"/>
  <c r="D117" i="33" l="1"/>
  <c r="D76" i="33"/>
  <c r="D86" i="33" l="1"/>
  <c r="D124" i="33" s="1"/>
  <c r="E33" i="33" s="1"/>
  <c r="D116" i="33"/>
  <c r="D68" i="33"/>
  <c r="D70" i="33" s="1"/>
  <c r="D122" i="33" s="1"/>
  <c r="D78" i="33" l="1"/>
  <c r="D123" i="33" s="1"/>
  <c r="E32" i="33" s="1"/>
  <c r="E31" i="33"/>
  <c r="D60" i="33"/>
  <c r="D62" i="33" l="1"/>
  <c r="D121" i="33" s="1"/>
  <c r="E30" i="33" s="1"/>
  <c r="D127" i="33" l="1"/>
  <c r="E29" i="33" s="1"/>
  <c r="D129" i="33" l="1"/>
  <c r="D131" i="33" s="1"/>
  <c r="D130" i="33"/>
  <c r="D132" i="33" s="1"/>
  <c r="D136" i="33" l="1"/>
  <c r="D137" i="33"/>
  <c r="D135" i="33"/>
  <c r="E38" i="33"/>
  <c r="E46" i="33" s="1"/>
  <c r="D134" i="33"/>
  <c r="E37" i="33"/>
  <c r="E39" i="33" l="1"/>
  <c r="E40" i="33" s="1"/>
  <c r="E42" i="33" l="1"/>
  <c r="E44" i="33"/>
  <c r="E92" i="33" s="1"/>
  <c r="E94" i="33" s="1"/>
  <c r="E125" i="33" s="1"/>
  <c r="F34" i="33" s="1"/>
  <c r="E41" i="33"/>
  <c r="E43" i="33"/>
  <c r="E51" i="33" s="1"/>
  <c r="E50" i="33" l="1"/>
  <c r="E49" i="33" s="1"/>
  <c r="E48" i="33" l="1"/>
  <c r="E76" i="33"/>
  <c r="E84" i="33"/>
  <c r="E117" i="33" s="1"/>
  <c r="E116" i="33"/>
  <c r="E68" i="33" l="1"/>
  <c r="E70" i="33" s="1"/>
  <c r="E122" i="33" s="1"/>
  <c r="F31" i="33" s="1"/>
  <c r="E86" i="33"/>
  <c r="E124" i="33" s="1"/>
  <c r="F33" i="33" s="1"/>
  <c r="E78" i="33"/>
  <c r="E123" i="33" s="1"/>
  <c r="F32" i="33" s="1"/>
  <c r="E60" i="33"/>
  <c r="E62" i="33" s="1"/>
  <c r="E121" i="33" s="1"/>
  <c r="F30" i="33" s="1"/>
  <c r="E127" i="33" l="1"/>
  <c r="F29" i="33" s="1"/>
  <c r="E129" i="33" l="1"/>
  <c r="E131" i="33" s="1"/>
  <c r="E130" i="33"/>
  <c r="E132" i="33" s="1"/>
  <c r="E136" i="33" l="1"/>
  <c r="E137" i="33"/>
  <c r="E135" i="33"/>
  <c r="F38" i="33"/>
  <c r="F46" i="33" s="1"/>
  <c r="E134" i="33"/>
  <c r="F37" i="33"/>
  <c r="F39" i="33" s="1"/>
  <c r="F40" i="33" s="1"/>
  <c r="F41" i="33" l="1"/>
  <c r="F44" i="33"/>
  <c r="F92" i="33" s="1"/>
  <c r="F42" i="33"/>
  <c r="F43" i="33"/>
  <c r="F51" i="33" s="1"/>
  <c r="F50" i="33" l="1"/>
  <c r="F49" i="33" s="1"/>
  <c r="F94" i="33"/>
  <c r="F125" i="33" s="1"/>
  <c r="G34" i="33" s="1"/>
  <c r="F48" i="33" l="1"/>
  <c r="F76" i="33"/>
  <c r="F84" i="33"/>
  <c r="F117" i="33" l="1"/>
  <c r="F86" i="33" l="1"/>
  <c r="F124" i="33" s="1"/>
  <c r="G33" i="33" s="1"/>
  <c r="F116" i="33"/>
  <c r="F68" i="33"/>
  <c r="F70" i="33" s="1"/>
  <c r="F122" i="33" s="1"/>
  <c r="F78" i="33" l="1"/>
  <c r="F123" i="33" s="1"/>
  <c r="G32" i="33" s="1"/>
  <c r="G31" i="33"/>
  <c r="F60" i="33"/>
  <c r="F62" i="33" s="1"/>
  <c r="F121" i="33" s="1"/>
  <c r="G30" i="33" s="1"/>
  <c r="F127" i="33" l="1"/>
  <c r="G29" i="33" s="1"/>
  <c r="F129" i="33" l="1"/>
  <c r="F131" i="33" s="1"/>
  <c r="F130" i="33"/>
  <c r="F132" i="33" s="1"/>
  <c r="F136" i="33" l="1"/>
  <c r="F137" i="33"/>
  <c r="F135" i="33"/>
  <c r="G38" i="33"/>
  <c r="G46" i="33" s="1"/>
  <c r="F134" i="33"/>
  <c r="G37" i="33"/>
  <c r="G39" i="33" s="1"/>
  <c r="G42" i="33" s="1"/>
  <c r="G40" i="33" l="1"/>
  <c r="G44" i="33"/>
  <c r="G92" i="33" s="1"/>
  <c r="G43" i="33"/>
  <c r="G51" i="33" s="1"/>
  <c r="G41" i="33"/>
  <c r="G50" i="33" l="1"/>
  <c r="G49" i="33" s="1"/>
  <c r="G94" i="33"/>
  <c r="G125" i="33" s="1"/>
  <c r="G48" i="33" l="1"/>
  <c r="G84" i="33"/>
  <c r="G117" i="33" l="1"/>
  <c r="G76" i="33"/>
  <c r="G86" i="33" l="1"/>
  <c r="G124" i="33" s="1"/>
  <c r="G116" i="33"/>
  <c r="G68" i="33"/>
  <c r="G70" i="33" s="1"/>
  <c r="G122" i="33" s="1"/>
  <c r="G78" i="33" l="1"/>
  <c r="G123" i="33" s="1"/>
  <c r="G60" i="33"/>
  <c r="G62" i="33" s="1"/>
  <c r="G121" i="33" s="1"/>
  <c r="G127" i="33" l="1"/>
  <c r="G129" i="33" l="1"/>
  <c r="G131" i="33" s="1"/>
  <c r="G130" i="33"/>
  <c r="G132" i="33" s="1"/>
  <c r="G136" i="33" l="1"/>
  <c r="G137" i="33"/>
  <c r="G135" i="33"/>
  <c r="G134" i="33"/>
</calcChain>
</file>

<file path=xl/sharedStrings.xml><?xml version="1.0" encoding="utf-8"?>
<sst xmlns="http://schemas.openxmlformats.org/spreadsheetml/2006/main" count="1090" uniqueCount="352">
  <si>
    <t xml:space="preserve">    To Upper Basin</t>
  </si>
  <si>
    <t xml:space="preserve">    To Lower Basin</t>
  </si>
  <si>
    <t xml:space="preserve">    Upper Basin</t>
  </si>
  <si>
    <t xml:space="preserve">    Lower Basin</t>
  </si>
  <si>
    <t xml:space="preserve">    Mexico</t>
  </si>
  <si>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</si>
  <si>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</si>
  <si>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</si>
  <si>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</si>
  <si>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</si>
  <si>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</si>
  <si>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</si>
  <si>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</si>
  <si>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</si>
  <si>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</si>
  <si>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</si>
  <si>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</si>
  <si>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</si>
  <si>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</si>
  <si>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</si>
  <si>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</si>
  <si>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</si>
  <si>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</si>
  <si>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</si>
  <si>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</si>
  <si>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</si>
  <si>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</si>
  <si>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</si>
  <si>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</si>
  <si>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</si>
  <si>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</si>
  <si>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 xml:space="preserve">    Mexico Balance</t>
  </si>
  <si>
    <t>Assumptions</t>
  </si>
  <si>
    <t xml:space="preserve">   Powell starting storage (million acre feet)</t>
  </si>
  <si>
    <t>10/1/2020 lake level</t>
  </si>
  <si>
    <t>Water Budget Component</t>
  </si>
  <si>
    <t>Year 9</t>
  </si>
  <si>
    <t>Year 10</t>
  </si>
  <si>
    <t>Role</t>
  </si>
  <si>
    <t>Upper Basin</t>
  </si>
  <si>
    <t>Lower Basin</t>
  </si>
  <si>
    <t>Mexico</t>
  </si>
  <si>
    <t>Person</t>
  </si>
  <si>
    <t>Strategy</t>
  </si>
  <si>
    <t>Natural inflow to Lake Powell</t>
  </si>
  <si>
    <t>Explanation of Cell Types</t>
  </si>
  <si>
    <t>Calculated cell</t>
  </si>
  <si>
    <t>Political (water manager) decision</t>
  </si>
  <si>
    <t>Initialize</t>
  </si>
  <si>
    <t>Requested Citation</t>
  </si>
  <si>
    <t>Roles and Players:</t>
  </si>
  <si>
    <t>Facilitator</t>
  </si>
  <si>
    <t>Physical watershed data - Facilitator chooses</t>
  </si>
  <si>
    <t>Hydrology to use (facilitator may or may not reveal to players):</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</si>
  <si>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</si>
  <si>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</si>
  <si>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</si>
  <si>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</si>
  <si>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</si>
  <si>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</si>
  <si>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</si>
  <si>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</si>
  <si>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</si>
  <si>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</si>
  <si>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</si>
  <si>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</si>
  <si>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</si>
  <si>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</si>
  <si>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</si>
  <si>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</si>
  <si>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</si>
  <si>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</si>
  <si>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</si>
  <si>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</si>
  <si>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</si>
  <si>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</si>
  <si>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</si>
  <si>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</si>
  <si>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</si>
  <si>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</si>
  <si>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</si>
  <si>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</si>
  <si>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</si>
  <si>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</si>
  <si>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</si>
  <si>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</si>
  <si>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</si>
  <si>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</si>
  <si>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</si>
  <si>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</si>
  <si>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</si>
  <si>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</si>
  <si>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Copy the Master worksheet to be a new worksheet. Rename the worksheet.</t>
  </si>
  <si>
    <t>Description of Worksheets</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</si>
  <si>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</si>
  <si>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</si>
  <si>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</si>
  <si>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</si>
  <si>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</si>
  <si>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 xml:space="preserve">    UB Share</t>
  </si>
  <si>
    <t xml:space="preserve">    LB Share</t>
  </si>
  <si>
    <t xml:space="preserve">    Mexico Share</t>
  </si>
  <si>
    <t xml:space="preserve">    UB sale to LB (maf)</t>
  </si>
  <si>
    <t xml:space="preserve">    LB payment to UB for sale ($Mill)</t>
  </si>
  <si>
    <t>Trades and Sales</t>
  </si>
  <si>
    <t xml:space="preserve">    Mexico sale to LB (maf)</t>
  </si>
  <si>
    <t xml:space="preserve">    LB payment to Mexico for sale ($Mill)</t>
  </si>
  <si>
    <t>Total</t>
  </si>
  <si>
    <t>Encouraging more Conservation in the Colorado River Basin: Role Play</t>
  </si>
  <si>
    <t xml:space="preserve">   Evaporation rate (feet/year)</t>
  </si>
  <si>
    <t>Powell</t>
  </si>
  <si>
    <t>Mead</t>
  </si>
  <si>
    <t>4.9 to 6.5 feet per year for Powell, 5.5 to 6.4 feet per year from Schmidt et al (2016)</t>
  </si>
  <si>
    <t xml:space="preserve">    Powell</t>
  </si>
  <si>
    <t xml:space="preserve">    Mead</t>
  </si>
  <si>
    <t>Physical storage partition (Equalize = 50%/50%)</t>
  </si>
  <si>
    <t xml:space="preserve">    Upper Basin Balance</t>
  </si>
  <si>
    <t xml:space="preserve">    Lower Basin Balance</t>
  </si>
  <si>
    <t>Mexico treaty obligation</t>
  </si>
  <si>
    <t>Powell + Mead Evaporation</t>
  </si>
  <si>
    <t>Lake Mead Elevation-Volume-Area Relationship</t>
  </si>
  <si>
    <t>Intervening (Grand Canyon) inflow</t>
  </si>
  <si>
    <t>Available water (Account Balance + Available Inflow - Evaporation +/- Trades + Grand Canyon Intervene)</t>
  </si>
  <si>
    <t>Combined Storage - End of Year</t>
  </si>
  <si>
    <t>Combined Storage - Beginning of Year</t>
  </si>
  <si>
    <t>Mead to Imperial Dam - Intervening Flow</t>
  </si>
  <si>
    <t>Lower Basin Consumptive Use</t>
  </si>
  <si>
    <t>Drought Contingency Plan Helper</t>
  </si>
  <si>
    <t>Mead Elev (ft)</t>
  </si>
  <si>
    <t>Mead Vol (maf)</t>
  </si>
  <si>
    <t>LB Cutback (maf/year)</t>
  </si>
  <si>
    <t>MX Cutback</t>
  </si>
  <si>
    <t>Total Cutback (maf/year)</t>
  </si>
  <si>
    <t>Split of Lee Ferry Natural after half of Mexico obligation</t>
  </si>
  <si>
    <t>Account Withdrawals</t>
  </si>
  <si>
    <t xml:space="preserve">    Upper Basin - Consumptive Use and Headwaters losses</t>
  </si>
  <si>
    <t xml:space="preserve">    Lower Basin - Release from Mead</t>
  </si>
  <si>
    <t xml:space="preserve">    Mohave / Havasu Evaporation &amp; ET - Release from Mead</t>
  </si>
  <si>
    <t xml:space="preserve">    Mexico - Release from Mead</t>
  </si>
  <si>
    <t>Account end-of-year balance (Available water - Account Withdrawals)</t>
  </si>
  <si>
    <t>4.9 to 6.5 feet per year for Powell, 5.5 to 6.4 feet per year from Schmidt et al (2016); 5.7 to 6.8 in Moreo (2015)</t>
  </si>
  <si>
    <t xml:space="preserve">   Starting storage (million acre feet)</t>
  </si>
  <si>
    <t>Move this Excel workbook into Google Docs so that all players can access syncronously.</t>
  </si>
  <si>
    <t>A completed role play of the Millennium Drought (12.4 maf every year natural flow at Lee Ferry) for 6 years followed by 14.4 maf every year in Years 7, 8, 9, and 10. All political decisions follow the the existing Law of the River operations (DCPs, Equalization, Curtailment).</t>
  </si>
  <si>
    <t>Mead-Elevation-Area</t>
  </si>
  <si>
    <t>The Lake Mead storage volume-elevation-area curve data downloaded from CRSS.</t>
  </si>
  <si>
    <t xml:space="preserve">    Net transactions (should be zero)</t>
  </si>
  <si>
    <t>Remain</t>
  </si>
  <si>
    <t>Colorado River Delta</t>
  </si>
  <si>
    <t>Sales (+) and Purchases (-) [in maf]</t>
  </si>
  <si>
    <t>Total ($ Mill)</t>
  </si>
  <si>
    <t>Define the Roles (water users), the person playing, and each user's strategy in Cells A5 to C11 (Up to 6 players):</t>
  </si>
  <si>
    <t>Law of River operations</t>
  </si>
  <si>
    <t>David R.</t>
  </si>
  <si>
    <t>11.0 maf every year natural flow to Lake Powell</t>
  </si>
  <si>
    <t>Blank emplate. Duplicate this worksheet before using. See directions above for use.</t>
  </si>
  <si>
    <t>Millennium-Plots</t>
  </si>
  <si>
    <t>Shared, Reserve</t>
  </si>
  <si>
    <t>Versions</t>
  </si>
  <si>
    <t>Date Implimented</t>
  </si>
  <si>
    <t>Changes</t>
  </si>
  <si>
    <t>Suggested By</t>
  </si>
  <si>
    <t>Implemented By</t>
  </si>
  <si>
    <t>Date Suggested</t>
  </si>
  <si>
    <t>Add version control worksheet. List versions</t>
  </si>
  <si>
    <t>David Tarboton, Homa Salahebadi</t>
  </si>
  <si>
    <t>Show what is happening for Lake Mead and below</t>
  </si>
  <si>
    <t>Jian Wang</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</si>
  <si>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</si>
  <si>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</si>
  <si>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</si>
  <si>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</si>
  <si>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Notes</t>
  </si>
  <si>
    <t>Initialize:  Mexico conservation account balance</t>
  </si>
  <si>
    <t>Initialize: Conservation account balance + remaining Mead storage - Mexico conservation account balance - portion of shared, reservoir balance</t>
  </si>
  <si>
    <t xml:space="preserve">   Storage at protection elevation (maf)</t>
  </si>
  <si>
    <t>Initialize: Sum of protection volumes</t>
  </si>
  <si>
    <t>Initialize: all Powell storage minus Powell protection volume</t>
  </si>
  <si>
    <t>Version</t>
  </si>
  <si>
    <t>3.2.1</t>
  </si>
  <si>
    <t>Give Mexico share of initial Mead storage. The share is Mexico's conservation account balance</t>
  </si>
  <si>
    <t>PLAYER DASHBOARDS</t>
  </si>
  <si>
    <t>Total (maf)</t>
  </si>
  <si>
    <t>SUMMARY of PLAYER ACTIONS</t>
  </si>
  <si>
    <t>Evap</t>
  </si>
  <si>
    <t>Row 46</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</si>
  <si>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</si>
  <si>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</si>
  <si>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</si>
  <si>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</si>
  <si>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</si>
  <si>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</si>
  <si>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</si>
  <si>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 xml:space="preserve">    Powell storage</t>
  </si>
  <si>
    <t xml:space="preserve">    Mead storage</t>
  </si>
  <si>
    <t>Release = -Powell end storage + Powell start storage + Powell Inflow - Upper Basin Consume - Powell Evaporation</t>
  </si>
  <si>
    <t>Physical Storage in Reservoirs - Beginning of Year</t>
  </si>
  <si>
    <t xml:space="preserve">    % Combined Storage in Powell (Equalize = 50%/50%)</t>
  </si>
  <si>
    <t>Physical watershed data - Given</t>
  </si>
  <si>
    <t>3.3.4</t>
  </si>
  <si>
    <t>Consult to find a concise description of changes made over time.</t>
  </si>
  <si>
    <t xml:space="preserve">Players can explore water conservation and consumptive use strategies for different scenarios of natural flow and different political decisions such as include more parties or stakeholders, split existing reservoir storage among users, split future inflows among users, and split the combined reservoir storage among reservoirs. </t>
  </si>
  <si>
    <t>Directions to Use:</t>
  </si>
  <si>
    <t>Give each player access to the Google Sheet.</t>
  </si>
  <si>
    <t>Observe all sales and purchases, account withdrawals, end-of-year balances, and combined storage  in Rows 105 to 127).</t>
  </si>
  <si>
    <t>Repeat Steps #7-#14 for as many years  (columns D, E, F, …) as desired. Stop when you no longer gain new insights about the system.</t>
  </si>
  <si>
    <t>Role play again (steps #3-15) for different hydrologic scenarios or different political decisions regarding parties to include, split of existing storage, split of natural flow, or split of physical storage among reservoirs.</t>
  </si>
  <si>
    <t>Pilot flex accounting to encourage more water conservation in a combined Lake Powell-Lake Mead system</t>
  </si>
  <si>
    <t>3.3.5</t>
  </si>
  <si>
    <t>Share feedback on the pilot flex accounting and role play -- things you like, things to improve -- with David Rosenberg at david.rosenberg@usu.edu.</t>
  </si>
  <si>
    <t>Combined Storage</t>
  </si>
  <si>
    <t>Author Contact Information</t>
  </si>
  <si>
    <t>David E. Rosenberg</t>
  </si>
  <si>
    <t>Utah State University</t>
  </si>
  <si>
    <t>david.rosenberg@usu.edu, 435-797-8689</t>
  </si>
  <si>
    <t>Most Recent Version</t>
  </si>
  <si>
    <t>http://rosenberg.usu.edu</t>
  </si>
  <si>
    <t>Law of River operations + Upper Basin sells 0.5 maf each year to Lower Basin once recovery starts in Year 7</t>
  </si>
  <si>
    <t>Law of River operations + Lower Basin buys 0.5 maf per year once flows recover in Year 7.</t>
  </si>
  <si>
    <t>Save up to make a 0.06 maf pulse flow every few years</t>
  </si>
  <si>
    <t>MillenniumRecover-Trade</t>
  </si>
  <si>
    <t>MillenniumRecover-LawOfRiver</t>
  </si>
  <si>
    <t>A completed role play of the Millennium Drought (12.4 maf every year natural flow at Lee Ferry) for 6 years followed by 14.4 maf every year in Years 7, 8, 9, and 10. Upper Basin sales to the Lower basin in years 7-10 help the Lower Basin recover its account balance whereas with out sales the Lower Basin's account balance continues to fall and consumptive use starts to fall in Year 10.</t>
  </si>
  <si>
    <t>Plots of Lower and Upper Basin Consumptive Use and Account Balances that compare results for MillenniumRecover-Trade and MillenniumRecover-LawOfRiver operations. Also a plot of combined storage.</t>
  </si>
  <si>
    <t>MillenniumRecover-Delta</t>
  </si>
  <si>
    <t>Add Colorado River Delta account, pulse flows, and purchases to MillenniumRecover-LawOfRiver scenario. The Delta account gets 0.21/9 maf each year. The user saves water, purchases 0.016 maf from Mexico in Years 3, 6, and 9,  and makes pulse releases in Years 3 and 6 of 0.06 maf. In Year 9, the Delta player also purchases 0.02 maf from Lower Basin and makes a pulse release of 0.08 maf.</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</si>
  <si>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</si>
  <si>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</si>
  <si>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</si>
  <si>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</si>
  <si>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</si>
  <si>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</si>
  <si>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1) Give each party more flexibility to make individual water consumption, conservation, and reservoir storage decisions independent of other parties.</t>
  </si>
  <si>
    <t>David E. Rosenberg (2021). "Pilot flex accounting to encourage more water conservation in a combined Lake Powell-Lake Mead system." Utah State University, Logan, UT. https://github.com/dzeke/ColoradoRiverFutures/tree/master/ModelMusings.</t>
  </si>
  <si>
    <t>2) Stretch the Lee Ferry compact point to be a region of combined management that starts with the natural inflow to Lake Powell and ends with Lake Mead releases.</t>
  </si>
  <si>
    <t>5) Each party makes their individual water consumption and conservation decisions within their available water. Each party's available water is their account balance, plus share of inflow, minus share of combined reservoir evaporation, plus water purchases, and minus water sales.</t>
  </si>
  <si>
    <t>6) Add a "shared, reserve" account equal in volume to the current Lake Powell and Lake Mead protection volumes. The shared, reserve account is managed by consensus of all parties and is intended to prevent the parties from simulataneously drawing down the combined reservoir storage to zero (dead pools). The assumption is that the parties will not all agree on a withdraw. Thus, the water will stay parked in the account as a buffer pool, check, and balance so the parties do not collectively draw down the combined reservoir storage to zero.</t>
  </si>
  <si>
    <t>Visit https://github.com/dzeke/ColoradoRiverFutures/tree/master/ModelMusings to download the most recent version of this workbook.</t>
  </si>
  <si>
    <t>Description</t>
  </si>
  <si>
    <t>4) Include reservoir storage and inflow as operations criteria not just reservoir elevations/tiers.</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</si>
  <si>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</si>
  <si>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</si>
  <si>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</si>
  <si>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</si>
  <si>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</si>
  <si>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</si>
  <si>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</si>
  <si>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</si>
  <si>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</si>
  <si>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</si>
  <si>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</si>
  <si>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</si>
  <si>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</si>
  <si>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</si>
  <si>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</si>
  <si>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</si>
  <si>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</si>
  <si>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LowerBasinCuts</t>
  </si>
  <si>
    <t>Lookup table of Lower Basin and Mexico mandatory cuts versus Lake Mead elevation.</t>
  </si>
  <si>
    <t>Mexico Water Allocation</t>
  </si>
  <si>
    <t>Water Manager</t>
  </si>
  <si>
    <t>Stakeholder</t>
  </si>
  <si>
    <t>Add Lake Mead and Lake Powell elevations at bottom</t>
  </si>
  <si>
    <t>Add column to explain each item/where number came from</t>
  </si>
  <si>
    <t>Add column to give context to each choice/decision</t>
  </si>
  <si>
    <t>Account for join power revenues from Mead and Powell</t>
  </si>
  <si>
    <t>Decision Making under Deep Uncertainty for each player. Each player can explore their risk individually and separate from other's choices</t>
  </si>
  <si>
    <t>Think about adaptive management. What signposts? What vulnerability?</t>
  </si>
  <si>
    <t>Model Equalization rules in detail.</t>
  </si>
  <si>
    <r>
      <rPr>
        <b/>
        <sz val="11"/>
        <color theme="1"/>
        <rFont val="Calibri"/>
        <family val="2"/>
        <scheme val="minor"/>
      </rPr>
      <t>Split the existing reservoir storage</t>
    </r>
    <r>
      <rPr>
        <sz val="11"/>
        <color theme="1"/>
        <rFont val="Calibri"/>
        <family val="2"/>
        <scheme val="minor"/>
      </rPr>
      <t xml:space="preserve"> among users (Rows 30 to 35). </t>
    </r>
    <r>
      <rPr>
        <b/>
        <sz val="11"/>
        <color theme="1"/>
        <rFont val="Calibri"/>
        <family val="2"/>
        <scheme val="minor"/>
      </rPr>
      <t>Split future combined natural flow</t>
    </r>
    <r>
      <rPr>
        <sz val="11"/>
        <color theme="1"/>
        <rFont val="Calibri"/>
        <family val="2"/>
        <scheme val="minor"/>
      </rPr>
      <t xml:space="preserve"> among users (Rows 48 to 53). Use Cells B48 to B52 for fomulas. Splits of future combined natural flow must consider variable flow.</t>
    </r>
  </si>
  <si>
    <r>
      <t xml:space="preserve">On the </t>
    </r>
    <r>
      <rPr>
        <b/>
        <sz val="11"/>
        <color theme="1"/>
        <rFont val="Calibri"/>
        <family val="2"/>
        <scheme val="minor"/>
      </rPr>
      <t>Player Dashboards</t>
    </r>
    <r>
      <rPr>
        <sz val="11"/>
        <color theme="1"/>
        <rFont val="Calibri"/>
        <family val="2"/>
        <scheme val="minor"/>
      </rPr>
      <t xml:space="preserve"> (Rows 55 to 102), each player may </t>
    </r>
    <r>
      <rPr>
        <b/>
        <sz val="11"/>
        <color theme="1"/>
        <rFont val="Calibri"/>
        <family val="2"/>
        <scheme val="minor"/>
      </rPr>
      <t>sell</t>
    </r>
    <r>
      <rPr>
        <sz val="11"/>
        <color theme="1"/>
        <rFont val="Calibri"/>
        <family val="2"/>
        <scheme val="minor"/>
      </rPr>
      <t xml:space="preserve"> or </t>
    </r>
    <r>
      <rPr>
        <b/>
        <sz val="11"/>
        <color theme="1"/>
        <rFont val="Calibri"/>
        <family val="2"/>
        <scheme val="minor"/>
      </rPr>
      <t>purchase</t>
    </r>
    <r>
      <rPr>
        <sz val="11"/>
        <color theme="1"/>
        <rFont val="Calibri"/>
        <family val="2"/>
        <scheme val="minor"/>
      </rPr>
      <t xml:space="preserve"> water from other users with compensation. The net of all sales and purchases must equal 0 (e.g., Row 59). </t>
    </r>
    <r>
      <rPr>
        <b/>
        <sz val="11"/>
        <color theme="1"/>
        <rFont val="Calibri"/>
        <family val="2"/>
        <scheme val="minor"/>
      </rPr>
      <t>Each player observes their available water</t>
    </r>
    <r>
      <rPr>
        <sz val="11"/>
        <color theme="1"/>
        <rFont val="Calibri"/>
        <family val="2"/>
        <scheme val="minor"/>
      </rPr>
      <t xml:space="preserve"> (Storage + Share of Inflow - Share of Evaporation + Purchases - Sales; e.g., Row 60). </t>
    </r>
    <r>
      <rPr>
        <b/>
        <sz val="11"/>
        <color theme="1"/>
        <rFont val="Calibri"/>
        <family val="2"/>
        <scheme val="minor"/>
      </rPr>
      <t>Each player  enters an account withdraw within their available water</t>
    </r>
    <r>
      <rPr>
        <sz val="11"/>
        <color theme="1"/>
        <rFont val="Calibri"/>
        <family val="2"/>
        <scheme val="minor"/>
      </rPr>
      <t xml:space="preserve"> independent of other players (e.g., Row 61). </t>
    </r>
  </si>
  <si>
    <r>
      <t xml:space="preserve">Players </t>
    </r>
    <r>
      <rPr>
        <b/>
        <sz val="11"/>
        <color theme="1"/>
        <rFont val="Calibri"/>
        <family val="2"/>
        <scheme val="minor"/>
      </rPr>
      <t>decide the percentage of combined storage to leave in Lake Powell</t>
    </r>
    <r>
      <rPr>
        <sz val="11"/>
        <color theme="1"/>
        <rFont val="Calibri"/>
        <family val="2"/>
        <scheme val="minor"/>
      </rPr>
      <t xml:space="preserve"> (Row 128).</t>
    </r>
  </si>
  <si>
    <t>The tool calculates the physical storage in Lake Powell and Lake Mead. The tool calculates the Lake Powll release to achieve the storages (Rows 129 to 131).</t>
  </si>
  <si>
    <r>
      <rPr>
        <b/>
        <sz val="11"/>
        <color theme="1"/>
        <rFont val="Calibri"/>
        <family val="2"/>
        <scheme val="minor"/>
      </rPr>
      <t>Continue to Year 2</t>
    </r>
    <r>
      <rPr>
        <sz val="11"/>
        <color theme="1"/>
        <rFont val="Calibri"/>
        <family val="2"/>
        <scheme val="minor"/>
      </rPr>
      <t xml:space="preserve"> in Column D. Facilitator enters next natural inflow to Lake Powell in Cell D27 and Grand Canyon tributary flow in Cell D28.</t>
    </r>
  </si>
  <si>
    <t>Plots of Lower and Upper Basin Consumptive Use and Account Balances that compare results for 7.5-Trade and 7.5-LawOfRiver operations. Also a plot of combined storage.</t>
  </si>
  <si>
    <t>8.5-Trade</t>
  </si>
  <si>
    <t>8.5-LawOfRiver</t>
  </si>
  <si>
    <t>8.5-Plots</t>
  </si>
  <si>
    <t>A completed role play with Lee Ferry natural flows of 11.0, 9.0, and 8.5 maf per year in first three years.  Allows trades between users. Upper Basin sells to Lower Basin in Year 1 to spark conservation efforts in advance of curtailment and Upper Basin buys from Lower Basin in years 2 and 3. 8.5 maf is the flow when Upper Basin is curtailed (8.23 maf + Powell evaporation).</t>
  </si>
  <si>
    <t>A completed role play with Lee Ferry natural flows of 11.0, 9.0, and 8.5 maf per year in first three years.  Law of River operations. 8.5 maf is the flow when Upper Basin is curtailed (8.23 maf + Powell evaporation).</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</si>
  <si>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</si>
  <si>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</si>
  <si>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</si>
  <si>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</si>
  <si>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</si>
  <si>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</si>
  <si>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</si>
  <si>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</si>
  <si>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</si>
  <si>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</si>
  <si>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</si>
  <si>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</si>
  <si>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</si>
  <si>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</si>
  <si>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</si>
  <si>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Powell Release</t>
  </si>
  <si>
    <t xml:space="preserve">     To store physically</t>
  </si>
  <si>
    <t>&lt; 12</t>
  </si>
  <si>
    <t>&lt; 15</t>
  </si>
  <si>
    <t>&lt; 18</t>
  </si>
  <si>
    <t>&gt; 18</t>
  </si>
  <si>
    <t>See PowellRelease worksheet. Wheeler et al (2021). p.48, Sidebar #1. https://qcnr.usu.edu/coloradoriver/files/WhitePaper6.pdf</t>
  </si>
  <si>
    <t>3.3.10</t>
  </si>
  <si>
    <t>7/26/20201</t>
  </si>
  <si>
    <t>Estimate Lake Powell temperature release from elevation. At bottom.</t>
  </si>
  <si>
    <t>Havasu / Parker evaporation and ET</t>
  </si>
  <si>
    <t>Combined Natural Inflow minus Havasu/Parker Evap.</t>
  </si>
  <si>
    <t>3.4.0</t>
  </si>
  <si>
    <t>Increased relative abundance of native fishes in  western Grand Canyon, but other factors also likely  contribute to these trends</t>
  </si>
  <si>
    <t>Increased relative abundance</t>
  </si>
  <si>
    <t xml:space="preserve">     Water temperature (oC)</t>
  </si>
  <si>
    <t xml:space="preserve">     Suitability for native fish</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</si>
  <si>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</si>
  <si>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</si>
  <si>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</si>
  <si>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</si>
  <si>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</si>
  <si>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</si>
  <si>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</si>
  <si>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</si>
  <si>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</si>
  <si>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Suggestions</t>
  </si>
  <si>
    <t>1) Withdraw ~4.2 maf/year (historical minus Lake Powell Evaporation)</t>
  </si>
  <si>
    <t>11.6 maf initial, No withdraw, keep account balance steady</t>
  </si>
  <si>
    <t>Sell some to Lower Basin to build conservation ethic. Buy some from Mexico in depth of drought</t>
  </si>
  <si>
    <t>Purchase some from Upper Basin and Mexico to delay shortage onset</t>
  </si>
  <si>
    <t>Sell some water to Lower and Upper basin during drought</t>
  </si>
  <si>
    <t>2) Cutback from 7.5 maf/year based on Lake Mead elevation (see LowerBasinCuts worksheet)</t>
  </si>
  <si>
    <t>3) Cutback frome 1.5 maf/year as Lake Mead elevation falls (see LowerBasinCuts worksheet)</t>
  </si>
  <si>
    <t>Indiviudal political (player) decision - Flex account</t>
  </si>
  <si>
    <t>Joint political decision</t>
  </si>
  <si>
    <t>Follow Law of River operations</t>
  </si>
  <si>
    <t>11.6 maf initial, maintain account balance throughout</t>
  </si>
  <si>
    <t>Web links</t>
  </si>
  <si>
    <r>
      <rPr>
        <b/>
        <sz val="11"/>
        <color theme="1"/>
        <rFont val="Calibri"/>
        <family val="2"/>
        <scheme val="minor"/>
      </rPr>
      <t>The Interim Guidelines:</t>
    </r>
    <r>
      <rPr>
        <sz val="11"/>
        <color theme="1"/>
        <rFont val="Calibri"/>
        <family val="2"/>
        <scheme val="minor"/>
      </rPr>
      <t xml:space="preserve"> https://www.usbr.gov/lc/region/programs/strategies/RecordofDecision.pdf. </t>
    </r>
    <r>
      <rPr>
        <b/>
        <sz val="11"/>
        <color theme="1"/>
        <rFont val="Calibri"/>
        <family val="2"/>
        <scheme val="minor"/>
      </rPr>
      <t>Drought Contingency Plans:</t>
    </r>
    <r>
      <rPr>
        <sz val="11"/>
        <color theme="1"/>
        <rFont val="Calibri"/>
        <family val="2"/>
        <scheme val="minor"/>
      </rPr>
      <t xml:space="preserve"> https://www.usbr.gov/dcp/finaldocs.html</t>
    </r>
  </si>
  <si>
    <r>
      <t>The purpose of this numerical model is to promote thought and discussion about the renegotiations of the 2007 Colorado River Interim Guidelines and th</t>
    </r>
    <r>
      <rPr>
        <sz val="11"/>
        <color theme="1"/>
        <rFont val="Calibri"/>
        <family val="2"/>
        <scheme val="minor"/>
      </rPr>
      <t>e</t>
    </r>
    <r>
      <rPr>
        <b/>
        <sz val="11"/>
        <color theme="1"/>
        <rFont val="Calibri"/>
        <family val="2"/>
        <scheme val="minor"/>
      </rPr>
      <t xml:space="preserve"> 2019 Lower and Upper Basin Drought Contingency Plans.</t>
    </r>
    <r>
      <rPr>
        <sz val="11"/>
        <color theme="1"/>
        <rFont val="Calibri"/>
        <family val="2"/>
        <scheme val="minor"/>
      </rPr>
      <t xml:space="preserve"> </t>
    </r>
    <r>
      <rPr>
        <b/>
        <sz val="11"/>
        <color theme="1"/>
        <rFont val="Calibri"/>
        <family val="2"/>
        <scheme val="minor"/>
      </rPr>
      <t>The operations expire in 2026</t>
    </r>
    <r>
      <rPr>
        <sz val="11"/>
        <color theme="1"/>
        <rFont val="Calibri"/>
        <family val="2"/>
        <scheme val="minor"/>
      </rPr>
      <t>. More specifically: how to convert a shrinking pie (lose-lose) environmental conflict -- the Colorado River basin in drought -- into expanding pie (win-win) arrangements?</t>
    </r>
  </si>
  <si>
    <t>This numerical model illustrates key changes to the Interim Guidelines and Drought Contingency Plans:</t>
  </si>
  <si>
    <t>Visualizations of Key Ideas: https://github.com/dzeke/ColoradoRiverCoding/raw/main/ModelMusings/PilotFlexAccounting-KeyIdeas.pdf</t>
  </si>
  <si>
    <t>3) Give each party an individual flex account in the combined reservoir system.</t>
  </si>
  <si>
    <r>
      <rPr>
        <b/>
        <sz val="11"/>
        <color theme="1"/>
        <rFont val="Calibri"/>
        <family val="2"/>
        <scheme val="minor"/>
      </rPr>
      <t>When the workbook is moved into a Google sheet, role players representing the Upper Basin, Lower Basin, Mexico, and other parties can synchronously access and collaboratively use the tool</t>
    </r>
    <r>
      <rPr>
        <sz val="11"/>
        <color theme="1"/>
        <rFont val="Calibri"/>
        <family val="2"/>
        <scheme val="minor"/>
      </rPr>
      <t>. Players make their year-to-year water consumption and conservation decsions while they track other players' choices and monitor combined and individual reservoir storage.</t>
    </r>
  </si>
  <si>
    <t>Use either solo (play all the parties) or with other people (each person playes one or more party).</t>
  </si>
  <si>
    <t>On the new worksheet, name each role (party) and assign to a player (Rows 4-10). There can be up to 6 parties. Leave a cell in Column A empty to exclude the party.</t>
  </si>
  <si>
    <r>
      <t xml:space="preserve">Specify a </t>
    </r>
    <r>
      <rPr>
        <b/>
        <sz val="11"/>
        <color theme="1"/>
        <rFont val="Calibri"/>
        <family val="2"/>
        <scheme val="minor"/>
      </rPr>
      <t>Hydrologic Scenario</t>
    </r>
    <r>
      <rPr>
        <sz val="11"/>
        <color theme="1"/>
        <rFont val="Calibri"/>
        <family val="2"/>
        <scheme val="minor"/>
      </rPr>
      <t xml:space="preserve"> in Row 17. A facilitator may or may not reveal the hydrologic scenario to the players. See HydrologicScenarios worksheet for some potential hydrologies.</t>
    </r>
  </si>
  <si>
    <t>Enter reservoir evaporation rates, storating storages, and protect elevations for Lake Powell and Lake Mead in Rows 20-23.</t>
  </si>
  <si>
    <r>
      <t xml:space="preserve">In Year 1, the Facilitator enters the </t>
    </r>
    <r>
      <rPr>
        <b/>
        <sz val="11"/>
        <color theme="1"/>
        <rFont val="Calibri"/>
        <family val="2"/>
        <scheme val="minor"/>
      </rPr>
      <t>natural inflow</t>
    </r>
    <r>
      <rPr>
        <sz val="11"/>
        <color theme="1"/>
        <rFont val="Calibri"/>
        <family val="2"/>
        <scheme val="minor"/>
      </rPr>
      <t xml:space="preserve"> to Lake Powell in Cell C26, </t>
    </r>
    <r>
      <rPr>
        <b/>
        <sz val="11"/>
        <color theme="1"/>
        <rFont val="Calibri"/>
        <family val="2"/>
        <scheme val="minor"/>
      </rPr>
      <t>Grand Canyon tributary inflow</t>
    </r>
    <r>
      <rPr>
        <sz val="11"/>
        <color theme="1"/>
        <rFont val="Calibri"/>
        <family val="2"/>
        <scheme val="minor"/>
      </rPr>
      <t xml:space="preserve"> in Cell C27, and Havasu/Parker evaporation and evapotranspiration in Cell C28.</t>
    </r>
  </si>
  <si>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</si>
  <si>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</si>
  <si>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</si>
  <si>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</si>
  <si>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</si>
  <si>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</si>
  <si>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Individual political (player) decision - Flex 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</si>
</sst>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0."/>
    <numFmt numFmtId="169" formatCode="_(&quot;$&quot;* #,##0_);_(&quot;$&quot;* \(#,##0\);_(&quot;$&quot;* &quot;-&quot;??_);_(@_)"/>
    <numFmt numFmtId="170" formatCode="0.000"/>
    <numFmt numFmtId="171" formatCode="0.0000"/>
  </numFmts>
  <fonts count="10" x14ac:knownFonts="1">
    <font>
      <sz val="11"/>
      <color theme="1"/>
      <name val="Calibri"/>
      <family val="2"/>
      <scheme val="minor"/>
    </font>
    <font>
      <b/>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s>
  <fills count="17">
    <fill>
      <patternFill patternType="none"/>
    </fill>
    <fill>
      <patternFill patternType="gray125"/>
    </fill>
    <fill>
      <patternFill patternType="solid">
        <fgColor rgb="FFFFCC99"/>
      </patternFill>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s>
  <borders count="18">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s>
  <cellStyleXfs count="13">
    <xf numFmtId="0" fontId="0" fillId="0" borderId="0"/>
    <xf numFmtId="43" fontId="2" fillId="0" borderId="0" applyFont="0" applyFill="0" applyBorder="0" applyAlignment="0" applyProtection="0"/>
    <xf numFmtId="0" fontId="3" fillId="2" borderId="1" applyNumberFormat="0" applyAlignment="0" applyProtection="0"/>
    <xf numFmtId="0" fontId="4" fillId="3"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5" fillId="5" borderId="0" applyNumberFormat="0" applyBorder="0" applyAlignment="0" applyProtection="0"/>
    <xf numFmtId="0" fontId="7" fillId="0" borderId="0" applyNumberFormat="0" applyFill="0" applyBorder="0" applyAlignment="0" applyProtection="0"/>
    <xf numFmtId="0" fontId="5"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cellStyleXfs>
  <cellXfs count="183">
    <xf numFmtId="0" fontId="0" fillId="0" borderId="0" xfId="0"/>
    <xf numFmtId="0" fontId="1" fillId="0" borderId="0" xfId="0" applyFont="1"/>
    <xf numFmtId="0" fontId="0" fillId="0" borderId="0" xfId="0" applyAlignment="1">
      <alignment horizontal="center"/>
    </xf>
    <xf numFmtId="0" fontId="1" fillId="4" borderId="0" xfId="0" applyFont="1" applyFill="1"/>
    <xf numFmtId="0" fontId="1" fillId="4"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164" fontId="3" fillId="2" borderId="1" xfId="2" applyNumberFormat="1" applyAlignment="1">
      <alignment horizontal="center"/>
    </xf>
    <xf numFmtId="0" fontId="1" fillId="0" borderId="0" xfId="0" applyFont="1" applyAlignment="1">
      <alignment horizontal="center"/>
    </xf>
    <xf numFmtId="164" fontId="4" fillId="3" borderId="1" xfId="3" applyNumberFormat="1" applyAlignment="1">
      <alignment horizontal="center"/>
    </xf>
    <xf numFmtId="0" fontId="0" fillId="0" borderId="0" xfId="0" applyFont="1" applyAlignment="1">
      <alignment horizontal="left" wrapText="1"/>
    </xf>
    <xf numFmtId="0" fontId="0" fillId="0" borderId="0" xfId="0" applyAlignment="1">
      <alignment horizontal="right"/>
    </xf>
    <xf numFmtId="0" fontId="1" fillId="0" borderId="0" xfId="0" applyFont="1" applyAlignment="1">
      <alignment horizontal="right"/>
    </xf>
    <xf numFmtId="167" fontId="0" fillId="0" borderId="0" xfId="0" applyNumberFormat="1"/>
    <xf numFmtId="0" fontId="1" fillId="0" borderId="0" xfId="0" applyFont="1" applyAlignment="1">
      <alignment horizontal="left"/>
    </xf>
    <xf numFmtId="0" fontId="3" fillId="2" borderId="1" xfId="2"/>
    <xf numFmtId="0" fontId="4" fillId="3" borderId="1" xfId="3"/>
    <xf numFmtId="0" fontId="5" fillId="5" borderId="0" xfId="6"/>
    <xf numFmtId="0" fontId="0" fillId="0" borderId="0" xfId="0" applyAlignment="1">
      <alignment horizontal="left"/>
    </xf>
    <xf numFmtId="9" fontId="5" fillId="5" borderId="0" xfId="5" applyFont="1" applyFill="1" applyAlignment="1">
      <alignment horizontal="center"/>
    </xf>
    <xf numFmtId="0" fontId="5" fillId="5" borderId="1" xfId="6" applyBorder="1" applyAlignment="1">
      <alignment horizontal="center"/>
    </xf>
    <xf numFmtId="0" fontId="1" fillId="0" borderId="0" xfId="0" applyFont="1" applyAlignment="1">
      <alignment horizontal="left" wrapText="1"/>
    </xf>
    <xf numFmtId="0" fontId="0" fillId="0" borderId="0" xfId="0" applyFont="1" applyAlignment="1">
      <alignment horizontal="right"/>
    </xf>
    <xf numFmtId="168" fontId="0" fillId="6" borderId="5" xfId="0" applyNumberFormat="1" applyFill="1" applyBorder="1" applyAlignment="1">
      <alignment vertical="top"/>
    </xf>
    <xf numFmtId="164" fontId="0" fillId="0" borderId="0" xfId="0" applyNumberFormat="1" applyAlignment="1">
      <alignment horizontal="center"/>
    </xf>
    <xf numFmtId="2" fontId="0" fillId="0" borderId="0" xfId="0" applyNumberFormat="1" applyAlignment="1">
      <alignment horizontal="center"/>
    </xf>
    <xf numFmtId="169" fontId="5" fillId="5" borderId="1" xfId="4" applyNumberFormat="1" applyFont="1" applyFill="1" applyBorder="1" applyAlignment="1">
      <alignment horizontal="center"/>
    </xf>
    <xf numFmtId="0" fontId="0" fillId="0" borderId="0" xfId="0" applyFont="1"/>
    <xf numFmtId="169" fontId="4" fillId="3" borderId="1" xfId="4" applyNumberFormat="1" applyFont="1" applyFill="1" applyBorder="1"/>
    <xf numFmtId="169" fontId="0" fillId="0" borderId="0" xfId="0" applyNumberFormat="1"/>
    <xf numFmtId="9" fontId="5" fillId="5" borderId="0" xfId="6" applyNumberFormat="1" applyAlignment="1">
      <alignment horizontal="center"/>
    </xf>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43" fontId="0" fillId="0" borderId="9" xfId="0" applyNumberFormat="1" applyBorder="1"/>
    <xf numFmtId="164" fontId="5" fillId="5" borderId="1" xfId="6" applyNumberFormat="1" applyBorder="1" applyAlignment="1">
      <alignment horizontal="center"/>
    </xf>
    <xf numFmtId="164" fontId="5" fillId="5" borderId="0" xfId="5" applyNumberFormat="1" applyFont="1" applyFill="1" applyAlignment="1">
      <alignment horizontal="center"/>
    </xf>
    <xf numFmtId="164" fontId="0" fillId="0" borderId="0" xfId="0" applyNumberFormat="1"/>
    <xf numFmtId="0" fontId="3" fillId="2" borderId="1" xfId="2" applyAlignment="1">
      <alignment horizontal="center"/>
    </xf>
    <xf numFmtId="0" fontId="6" fillId="0" borderId="0" xfId="0" applyFont="1"/>
    <xf numFmtId="2" fontId="0" fillId="0" borderId="9" xfId="0" applyNumberFormat="1" applyBorder="1" applyAlignment="1">
      <alignment horizontal="center"/>
    </xf>
    <xf numFmtId="2" fontId="5" fillId="5" borderId="1" xfId="6" applyNumberFormat="1" applyBorder="1" applyAlignment="1">
      <alignment horizontal="center"/>
    </xf>
    <xf numFmtId="166" fontId="0" fillId="0" borderId="9" xfId="1" applyNumberFormat="1" applyFont="1" applyBorder="1"/>
    <xf numFmtId="0" fontId="4" fillId="3" borderId="1" xfId="3" applyAlignment="1">
      <alignment horizontal="center"/>
    </xf>
    <xf numFmtId="2" fontId="4" fillId="3" borderId="1" xfId="3" applyNumberFormat="1" applyAlignment="1">
      <alignment horizontal="center"/>
    </xf>
    <xf numFmtId="0" fontId="1" fillId="0" borderId="9" xfId="0" applyFont="1" applyBorder="1" applyAlignment="1">
      <alignment horizontal="center"/>
    </xf>
    <xf numFmtId="171" fontId="0" fillId="0" borderId="0" xfId="0" applyNumberFormat="1" applyAlignment="1">
      <alignment horizontal="center"/>
    </xf>
    <xf numFmtId="0" fontId="1" fillId="0" borderId="0" xfId="0" applyFont="1" applyAlignment="1">
      <alignment wrapText="1"/>
    </xf>
    <xf numFmtId="0" fontId="1" fillId="6" borderId="9" xfId="0" applyFont="1" applyFill="1" applyBorder="1" applyAlignment="1">
      <alignment horizontal="center" vertical="center" wrapText="1"/>
    </xf>
    <xf numFmtId="0" fontId="1" fillId="6"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6" fontId="5" fillId="5" borderId="1" xfId="6" applyNumberFormat="1" applyBorder="1" applyAlignment="1">
      <alignment horizontal="center"/>
    </xf>
    <xf numFmtId="164" fontId="0" fillId="0" borderId="9" xfId="0" applyNumberFormat="1" applyBorder="1" applyAlignment="1">
      <alignment horizontal="center" vertical="top"/>
    </xf>
    <xf numFmtId="0" fontId="1" fillId="0" borderId="0" xfId="0" applyFont="1" applyAlignment="1">
      <alignment horizontal="left" wrapText="1"/>
    </xf>
    <xf numFmtId="167" fontId="4" fillId="3" borderId="1" xfId="4" applyNumberFormat="1" applyFont="1" applyFill="1" applyBorder="1" applyAlignment="1">
      <alignment horizontal="center"/>
    </xf>
    <xf numFmtId="164" fontId="4" fillId="3" borderId="1" xfId="3" applyNumberFormat="1" applyFont="1" applyAlignment="1">
      <alignment horizontal="center"/>
    </xf>
    <xf numFmtId="164" fontId="4" fillId="3" borderId="1" xfId="4" applyNumberFormat="1" applyFont="1" applyFill="1" applyBorder="1" applyAlignment="1">
      <alignment horizontal="center"/>
    </xf>
    <xf numFmtId="9" fontId="5" fillId="5" borderId="1" xfId="6" applyNumberFormat="1" applyBorder="1" applyAlignment="1">
      <alignment horizontal="center"/>
    </xf>
    <xf numFmtId="168" fontId="0" fillId="6" borderId="14" xfId="0" applyNumberFormat="1" applyFill="1" applyBorder="1" applyAlignment="1">
      <alignment vertical="top"/>
    </xf>
    <xf numFmtId="0" fontId="7" fillId="0" borderId="0" xfId="7"/>
    <xf numFmtId="0" fontId="1" fillId="6" borderId="9" xfId="0" applyFont="1" applyFill="1" applyBorder="1" applyAlignment="1">
      <alignment horizontal="center" wrapText="1"/>
    </xf>
    <xf numFmtId="0" fontId="1" fillId="6" borderId="0" xfId="0" applyFont="1" applyFill="1" applyAlignment="1">
      <alignment wrapText="1"/>
    </xf>
    <xf numFmtId="166" fontId="0" fillId="0" borderId="0" xfId="1" applyNumberFormat="1" applyFont="1" applyBorder="1" applyAlignment="1">
      <alignment horizontal="center"/>
    </xf>
    <xf numFmtId="170" fontId="0" fillId="0" borderId="0" xfId="0" applyNumberFormat="1" applyAlignment="1">
      <alignment horizontal="center"/>
    </xf>
    <xf numFmtId="170" fontId="1" fillId="0" borderId="0" xfId="0" applyNumberFormat="1" applyFont="1" applyAlignment="1">
      <alignment horizontal="center"/>
    </xf>
    <xf numFmtId="165" fontId="0" fillId="0" borderId="0" xfId="0" applyNumberFormat="1" applyFill="1" applyBorder="1" applyAlignment="1">
      <alignment horizontal="center"/>
    </xf>
    <xf numFmtId="170" fontId="0" fillId="0" borderId="0" xfId="0" applyNumberFormat="1" applyFill="1" applyBorder="1" applyAlignment="1">
      <alignment horizontal="center"/>
    </xf>
    <xf numFmtId="165" fontId="0" fillId="0" borderId="15" xfId="0" applyNumberFormat="1" applyFill="1" applyBorder="1" applyAlignment="1">
      <alignment horizontal="center"/>
    </xf>
    <xf numFmtId="0" fontId="1" fillId="8" borderId="9" xfId="0" applyFont="1" applyFill="1" applyBorder="1" applyAlignment="1">
      <alignment vertical="center" wrapText="1"/>
    </xf>
    <xf numFmtId="0" fontId="0" fillId="0" borderId="9" xfId="0" applyBorder="1" applyAlignment="1">
      <alignment wrapText="1"/>
    </xf>
    <xf numFmtId="0" fontId="0" fillId="0" borderId="0" xfId="0" applyAlignment="1">
      <alignment wrapText="1"/>
    </xf>
    <xf numFmtId="0" fontId="1" fillId="8" borderId="9" xfId="0" applyFont="1" applyFill="1" applyBorder="1" applyAlignment="1">
      <alignment horizontal="center" vertical="center"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4" fillId="3"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8" fillId="0" borderId="0" xfId="0" applyFont="1"/>
    <xf numFmtId="166" fontId="0" fillId="10" borderId="9" xfId="1" applyNumberFormat="1" applyFont="1" applyFill="1" applyBorder="1" applyAlignment="1">
      <alignment horizontal="center" vertical="top" wrapText="1"/>
    </xf>
    <xf numFmtId="0" fontId="0" fillId="10" borderId="9" xfId="0" applyFont="1" applyFill="1" applyBorder="1" applyAlignment="1">
      <alignment horizontal="center" vertical="top" wrapText="1"/>
    </xf>
    <xf numFmtId="0" fontId="0" fillId="10" borderId="9" xfId="0" applyFont="1" applyFill="1" applyBorder="1" applyAlignment="1">
      <alignment vertical="center" wrapText="1"/>
    </xf>
    <xf numFmtId="166" fontId="2" fillId="10" borderId="9" xfId="1" applyNumberFormat="1" applyFont="1" applyFill="1" applyBorder="1" applyAlignment="1">
      <alignment horizontal="center" vertical="top" wrapText="1"/>
    </xf>
    <xf numFmtId="0" fontId="2" fillId="10" borderId="9" xfId="0" applyFont="1" applyFill="1" applyBorder="1" applyAlignment="1">
      <alignment horizontal="center" vertical="top" wrapText="1"/>
    </xf>
    <xf numFmtId="0" fontId="2" fillId="10" borderId="9" xfId="0" applyFont="1" applyFill="1" applyBorder="1" applyAlignment="1">
      <alignment vertical="center"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7" borderId="9" xfId="1" applyNumberFormat="1" applyFont="1" applyFill="1" applyBorder="1" applyAlignment="1">
      <alignment horizontal="center" vertical="top"/>
    </xf>
    <xf numFmtId="0" fontId="0" fillId="7" borderId="9" xfId="0" applyFill="1" applyBorder="1" applyAlignment="1">
      <alignment horizontal="center" vertical="top"/>
    </xf>
    <xf numFmtId="0" fontId="0" fillId="7" borderId="9" xfId="0" applyFill="1" applyBorder="1" applyAlignment="1">
      <alignment vertical="top" wrapText="1"/>
    </xf>
    <xf numFmtId="166" fontId="0" fillId="11" borderId="9" xfId="1" applyNumberFormat="1" applyFont="1" applyFill="1" applyBorder="1" applyAlignment="1">
      <alignment horizontal="center" vertical="top"/>
    </xf>
    <xf numFmtId="0" fontId="0" fillId="11" borderId="9" xfId="0" applyFill="1" applyBorder="1" applyAlignment="1">
      <alignment horizontal="center" vertical="top"/>
    </xf>
    <xf numFmtId="0" fontId="0" fillId="11" borderId="9" xfId="0" applyFill="1" applyBorder="1" applyAlignment="1">
      <alignment vertical="top" wrapText="1"/>
    </xf>
    <xf numFmtId="0" fontId="0" fillId="11" borderId="9" xfId="0" applyFill="1" applyBorder="1" applyAlignment="1">
      <alignment horizontal="left" vertical="top" wrapText="1"/>
    </xf>
    <xf numFmtId="166" fontId="0" fillId="10" borderId="1" xfId="1" applyNumberFormat="1" applyFont="1" applyFill="1" applyBorder="1" applyAlignment="1">
      <alignment horizontal="center" vertical="top"/>
    </xf>
    <xf numFmtId="0" fontId="5" fillId="5" borderId="9" xfId="6" applyBorder="1" applyAlignment="1">
      <alignment horizontal="center"/>
    </xf>
    <xf numFmtId="164" fontId="4" fillId="3" borderId="16" xfId="3" applyNumberFormat="1" applyBorder="1" applyAlignment="1">
      <alignment horizontal="center"/>
    </xf>
    <xf numFmtId="2" fontId="4" fillId="3" borderId="16" xfId="3" applyNumberFormat="1" applyBorder="1" applyAlignment="1">
      <alignment horizontal="center"/>
    </xf>
    <xf numFmtId="164" fontId="4" fillId="3" borderId="17" xfId="3" applyNumberFormat="1" applyBorder="1" applyAlignment="1">
      <alignment horizontal="center"/>
    </xf>
    <xf numFmtId="164" fontId="5" fillId="5" borderId="9" xfId="6" applyNumberFormat="1" applyBorder="1" applyAlignment="1">
      <alignment horizontal="center"/>
    </xf>
    <xf numFmtId="2" fontId="5" fillId="5" borderId="9" xfId="6" applyNumberFormat="1"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1" fontId="4" fillId="3" borderId="1" xfId="3" applyNumberFormat="1" applyAlignment="1">
      <alignment horizontal="center"/>
    </xf>
    <xf numFmtId="166" fontId="4" fillId="3" borderId="1" xfId="1" applyNumberFormat="1" applyFont="1" applyFill="1" applyBorder="1" applyAlignment="1">
      <alignment horizontal="center" vertical="top" wrapText="1"/>
    </xf>
    <xf numFmtId="0" fontId="0" fillId="0" borderId="0" xfId="0" applyFont="1" applyAlignment="1">
      <alignment vertical="top"/>
    </xf>
    <xf numFmtId="0" fontId="1" fillId="6" borderId="0" xfId="0" applyFont="1" applyFill="1" applyBorder="1" applyAlignment="1">
      <alignment horizontal="center" vertical="center" wrapText="1"/>
    </xf>
    <xf numFmtId="0" fontId="0" fillId="10" borderId="0" xfId="0" applyFont="1" applyFill="1" applyBorder="1" applyAlignment="1">
      <alignment horizontal="center" vertical="center" wrapText="1"/>
    </xf>
    <xf numFmtId="0" fontId="0" fillId="9" borderId="0" xfId="0" applyFill="1" applyBorder="1" applyAlignment="1">
      <alignment horizontal="center" vertical="top" wrapText="1"/>
    </xf>
    <xf numFmtId="0" fontId="0" fillId="7" borderId="0" xfId="0" applyFill="1" applyBorder="1" applyAlignment="1">
      <alignment horizontal="center" vertical="top" wrapText="1"/>
    </xf>
    <xf numFmtId="0" fontId="0" fillId="11" borderId="0" xfId="0" applyFill="1" applyBorder="1" applyAlignment="1">
      <alignment horizontal="center" vertical="top" wrapText="1"/>
    </xf>
    <xf numFmtId="0" fontId="0" fillId="0" borderId="0" xfId="0" applyAlignment="1">
      <alignment horizontal="center" wrapText="1"/>
    </xf>
    <xf numFmtId="0" fontId="0" fillId="10" borderId="9" xfId="0" applyFont="1" applyFill="1" applyBorder="1" applyAlignment="1">
      <alignment horizontal="center" vertical="center" wrapText="1"/>
    </xf>
    <xf numFmtId="0" fontId="0" fillId="10" borderId="9" xfId="0" applyFill="1" applyBorder="1" applyAlignment="1">
      <alignment horizontal="center" vertical="top" wrapText="1"/>
    </xf>
    <xf numFmtId="0" fontId="0" fillId="9" borderId="9" xfId="0" applyFill="1" applyBorder="1" applyAlignment="1">
      <alignment horizontal="center" vertical="top" wrapText="1"/>
    </xf>
    <xf numFmtId="0" fontId="0" fillId="7" borderId="9" xfId="0" applyFill="1" applyBorder="1" applyAlignment="1">
      <alignment horizontal="center" vertical="top" wrapText="1"/>
    </xf>
    <xf numFmtId="0" fontId="0" fillId="11" borderId="9" xfId="0" applyFill="1" applyBorder="1" applyAlignment="1">
      <alignment horizontal="center" vertical="top" wrapText="1"/>
    </xf>
    <xf numFmtId="0" fontId="2" fillId="14" borderId="9" xfId="10" applyBorder="1" applyAlignment="1">
      <alignment horizontal="center"/>
    </xf>
    <xf numFmtId="0" fontId="2" fillId="14" borderId="1" xfId="10" applyBorder="1" applyAlignment="1">
      <alignment horizontal="center"/>
    </xf>
    <xf numFmtId="167" fontId="2" fillId="14" borderId="1" xfId="10" applyNumberFormat="1" applyBorder="1" applyAlignment="1">
      <alignment horizontal="center"/>
    </xf>
    <xf numFmtId="164" fontId="2" fillId="14" borderId="1" xfId="10" applyNumberFormat="1" applyBorder="1" applyAlignment="1">
      <alignment horizontal="center"/>
    </xf>
    <xf numFmtId="0" fontId="0" fillId="14" borderId="9" xfId="10" applyFont="1" applyBorder="1" applyAlignment="1">
      <alignment horizontal="center"/>
    </xf>
    <xf numFmtId="9" fontId="5" fillId="5" borderId="9" xfId="5" applyFont="1" applyFill="1" applyBorder="1" applyAlignment="1">
      <alignment horizontal="center"/>
    </xf>
    <xf numFmtId="164" fontId="5" fillId="5" borderId="9" xfId="5" applyNumberFormat="1" applyFont="1" applyFill="1" applyBorder="1" applyAlignment="1">
      <alignment horizontal="center"/>
    </xf>
    <xf numFmtId="164" fontId="2" fillId="16" borderId="1" xfId="12" applyNumberFormat="1" applyBorder="1" applyAlignment="1">
      <alignment horizontal="center"/>
    </xf>
    <xf numFmtId="164" fontId="2" fillId="16" borderId="10" xfId="12" applyNumberFormat="1" applyBorder="1" applyAlignment="1">
      <alignment horizontal="center"/>
    </xf>
    <xf numFmtId="0" fontId="5" fillId="12" borderId="0" xfId="8"/>
    <xf numFmtId="0" fontId="2" fillId="13" borderId="0" xfId="9"/>
    <xf numFmtId="0" fontId="2" fillId="13" borderId="0" xfId="9" applyAlignment="1">
      <alignment horizontal="center"/>
    </xf>
    <xf numFmtId="0" fontId="9" fillId="12" borderId="0" xfId="8" applyFont="1"/>
    <xf numFmtId="0" fontId="1" fillId="15" borderId="9" xfId="11" applyFont="1" applyBorder="1"/>
    <xf numFmtId="0" fontId="1" fillId="15" borderId="9" xfId="11" applyFont="1" applyBorder="1" applyAlignment="1">
      <alignment horizontal="center"/>
    </xf>
    <xf numFmtId="170" fontId="5" fillId="5" borderId="9" xfId="5" applyNumberFormat="1" applyFont="1" applyFill="1" applyBorder="1" applyAlignment="1">
      <alignment horizontal="center"/>
    </xf>
    <xf numFmtId="170" fontId="4" fillId="3" borderId="16" xfId="3" applyNumberFormat="1" applyBorder="1" applyAlignment="1">
      <alignment horizontal="center"/>
    </xf>
    <xf numFmtId="1" fontId="0" fillId="0" borderId="0" xfId="0" applyNumberFormat="1"/>
    <xf numFmtId="167" fontId="2" fillId="14" borderId="1" xfId="4" applyNumberFormat="1" applyFill="1" applyBorder="1" applyAlignment="1">
      <alignment horizontal="center"/>
    </xf>
    <xf numFmtId="0" fontId="7" fillId="0" borderId="0" xfId="7" applyAlignment="1">
      <alignment vertical="top"/>
    </xf>
    <xf numFmtId="0" fontId="0" fillId="0" borderId="0" xfId="0" applyAlignment="1">
      <alignment horizontal="left" vertical="top" wrapText="1"/>
    </xf>
    <xf numFmtId="0" fontId="0" fillId="0" borderId="0" xfId="0" applyFont="1" applyAlignment="1">
      <alignment horizontal="left" vertical="top" wrapText="1"/>
    </xf>
    <xf numFmtId="0" fontId="0" fillId="0" borderId="0" xfId="0" applyAlignment="1">
      <alignment horizontal="left" wrapText="1"/>
    </xf>
    <xf numFmtId="0" fontId="1" fillId="6" borderId="2" xfId="0" applyFont="1" applyFill="1" applyBorder="1" applyAlignment="1">
      <alignment horizontal="left" wrapText="1"/>
    </xf>
    <xf numFmtId="0" fontId="1" fillId="6" borderId="3" xfId="0" applyFont="1" applyFill="1" applyBorder="1" applyAlignment="1">
      <alignment horizontal="left" wrapText="1"/>
    </xf>
    <xf numFmtId="0" fontId="1" fillId="6" borderId="4" xfId="0" applyFont="1" applyFill="1" applyBorder="1" applyAlignment="1">
      <alignment horizontal="left" wrapText="1"/>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0" fontId="0" fillId="6" borderId="0" xfId="0" applyFont="1" applyFill="1" applyBorder="1" applyAlignment="1">
      <alignment vertical="top" wrapText="1"/>
    </xf>
    <xf numFmtId="0" fontId="0" fillId="6" borderId="6" xfId="0" applyFont="1" applyFill="1" applyBorder="1" applyAlignment="1">
      <alignment vertical="top" wrapText="1"/>
    </xf>
    <xf numFmtId="0" fontId="0" fillId="6" borderId="7" xfId="0" applyFont="1" applyFill="1" applyBorder="1" applyAlignment="1">
      <alignment horizontal="left" vertical="top" wrapText="1"/>
    </xf>
    <xf numFmtId="0" fontId="0" fillId="6" borderId="8" xfId="0" applyFont="1" applyFill="1" applyBorder="1" applyAlignment="1">
      <alignment horizontal="left" vertical="top" wrapText="1"/>
    </xf>
    <xf numFmtId="0" fontId="1" fillId="0" borderId="0" xfId="0" applyFont="1" applyAlignment="1">
      <alignment horizontal="left" vertical="top" wrapText="1"/>
    </xf>
    <xf numFmtId="0" fontId="2" fillId="16" borderId="9" xfId="12" applyBorder="1" applyAlignment="1">
      <alignment horizontal="center"/>
    </xf>
    <xf numFmtId="0" fontId="2" fillId="14" borderId="9" xfId="10" applyBorder="1" applyAlignment="1">
      <alignment horizontal="center"/>
    </xf>
    <xf numFmtId="0" fontId="1" fillId="14" borderId="9" xfId="10" applyFont="1" applyBorder="1" applyAlignment="1">
      <alignment horizontal="center"/>
    </xf>
    <xf numFmtId="0" fontId="0" fillId="14" borderId="9" xfId="10" applyFont="1" applyBorder="1" applyAlignment="1">
      <alignment horizontal="center"/>
    </xf>
    <xf numFmtId="0" fontId="9" fillId="5" borderId="9" xfId="6" applyFont="1" applyBorder="1" applyAlignment="1">
      <alignment horizontal="center"/>
    </xf>
    <xf numFmtId="0" fontId="5" fillId="5" borderId="9" xfId="6" applyBorder="1" applyAlignment="1">
      <alignment horizontal="center"/>
    </xf>
    <xf numFmtId="0" fontId="4" fillId="3" borderId="9" xfId="3" applyBorder="1" applyAlignment="1">
      <alignment horizontal="center"/>
    </xf>
    <xf numFmtId="0" fontId="1" fillId="0" borderId="0" xfId="0" applyFont="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0" fillId="14" borderId="9" xfId="10" applyFont="1" applyBorder="1" applyAlignment="1">
      <alignment horizontal="left"/>
    </xf>
    <xf numFmtId="0" fontId="2" fillId="14" borderId="9" xfId="10" applyBorder="1" applyAlignment="1">
      <alignment horizontal="left"/>
    </xf>
    <xf numFmtId="0" fontId="5" fillId="5" borderId="9" xfId="6" applyBorder="1" applyAlignment="1">
      <alignment horizontal="left"/>
    </xf>
    <xf numFmtId="0" fontId="6" fillId="0" borderId="0" xfId="0" applyFont="1" applyAlignment="1">
      <alignment horizontal="center"/>
    </xf>
    <xf numFmtId="0" fontId="1" fillId="7" borderId="7" xfId="0" applyFont="1" applyFill="1" applyBorder="1" applyAlignment="1">
      <alignment horizontal="center"/>
    </xf>
    <xf numFmtId="0" fontId="3" fillId="2" borderId="1" xfId="2" applyAlignment="1">
      <alignment horizontal="center"/>
    </xf>
  </cellXfs>
  <cellStyles count="13">
    <cellStyle name="40% - Accent1" xfId="9" builtinId="31"/>
    <cellStyle name="40% - Accent2" xfId="10" builtinId="35"/>
    <cellStyle name="40% - Accent5" xfId="11" builtinId="47"/>
    <cellStyle name="60% - Accent6" xfId="12" builtinId="52"/>
    <cellStyle name="Accent1" xfId="8" builtinId="29"/>
    <cellStyle name="Accent2" xfId="6" builtinId="33"/>
    <cellStyle name="Calculation" xfId="3" builtinId="22"/>
    <cellStyle name="Comma" xfId="1" builtinId="3"/>
    <cellStyle name="Currency" xfId="4" builtinId="4"/>
    <cellStyle name="Hyperlink" xfId="7" builtinId="8"/>
    <cellStyle name="Input" xfId="2" builtinId="20"/>
    <cellStyle name="Normal" xfId="0" builtinId="0"/>
    <cellStyle name="Percent" xfId="5" builtinId="5"/>
  </cellStyles>
  <dxfs count="36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7CE"/>
      <color rgb="FFFFC5C5"/>
      <color rgb="FFC20202"/>
      <color rgb="FF9C0006"/>
      <color rgb="FFFFCDCD"/>
      <color rgb="FFFFD3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'8.1-Trade'!$C$114:$G$114</c:f>
              <c:numCache>
                <c:formatCode>0.0</c:formatCode>
                <c:ptCount val="5"/>
                <c:pt idx="0">
                  <c:v>3.5</c:v>
                </c:pt>
                <c:pt idx="1">
                  <c:v>2.9</c:v>
                </c:pt>
                <c:pt idx="2">
                  <c:v>2</c:v>
                </c:pt>
                <c:pt idx="3">
                  <c:v>0.7</c:v>
                </c:pt>
                <c:pt idx="4">
                  <c:v>0.3</c:v>
                </c:pt>
              </c:numCache>
            </c:numRef>
          </c:val>
          <c:smooth val="0"/>
          <c:extLst>
            <c:ext xmlns:c16="http://schemas.microsoft.com/office/drawing/2014/chart" uri="{C3380CC4-5D6E-409C-BE32-E72D297353CC}">
              <c16:uniqueId val="{00000001-CC4C-4AEA-B975-7C4A7FB55A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'8.1-LawOfRiver'!$C$114:$G$114</c:f>
              <c:numCache>
                <c:formatCode>0.0</c:formatCode>
                <c:ptCount val="5"/>
                <c:pt idx="0">
                  <c:v>4.2</c:v>
                </c:pt>
                <c:pt idx="1">
                  <c:v>4.0256851225942052</c:v>
                </c:pt>
                <c:pt idx="2">
                  <c:v>0</c:v>
                </c:pt>
                <c:pt idx="3">
                  <c:v>0</c:v>
                </c:pt>
                <c:pt idx="4">
                  <c:v>0</c:v>
                </c:pt>
              </c:numCache>
            </c:numRef>
          </c:val>
          <c:smooth val="0"/>
          <c:extLst>
            <c:ext xmlns:c16="http://schemas.microsoft.com/office/drawing/2014/chart" uri="{C3380CC4-5D6E-409C-BE32-E72D297353CC}">
              <c16:uniqueId val="{00000000-CC4C-4AEA-B975-7C4A7FB55A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930815554670452"/>
          <c:y val="5.1466062498734325E-2"/>
          <c:w val="0.72346225204339731"/>
          <c:h val="0.790673604091938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17.162921521073159</c:v>
                </c:pt>
                <c:pt idx="7">
                  <c:v>18.865595442887294</c:v>
                </c:pt>
                <c:pt idx="8">
                  <c:v>20.49333624534794</c:v>
                </c:pt>
                <c:pt idx="9">
                  <c:v>22.034199186849051</c:v>
                </c:pt>
              </c:numCache>
            </c:numRef>
          </c:val>
          <c:smooth val="0"/>
          <c:extLst>
            <c:ext xmlns:c16="http://schemas.microsoft.com/office/drawing/2014/chart" uri="{C3380CC4-5D6E-409C-BE32-E72D297353CC}">
              <c16:uniqueId val="{00000001-AD2E-46B8-B905-5FA1321B6231}"/>
            </c:ext>
          </c:extLst>
        </c:ser>
        <c:ser>
          <c:idx val="0"/>
          <c:order val="1"/>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16.754210321597476</c:v>
                </c:pt>
                <c:pt idx="7">
                  <c:v>17.969298338763544</c:v>
                </c:pt>
                <c:pt idx="8">
                  <c:v>19.146197563430782</c:v>
                </c:pt>
                <c:pt idx="9">
                  <c:v>20.286611995596878</c:v>
                </c:pt>
              </c:numCache>
            </c:numRef>
          </c:val>
          <c:smooth val="0"/>
          <c:extLst>
            <c:ext xmlns:c16="http://schemas.microsoft.com/office/drawing/2014/chart" uri="{C3380CC4-5D6E-409C-BE32-E72D297353CC}">
              <c16:uniqueId val="{00000000-AD2E-46B8-B905-5FA1321B623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 Storage</a:t>
                </a:r>
              </a:p>
              <a:p>
                <a:pPr>
                  <a:defRPr sz="2000"/>
                </a:pPr>
                <a:r>
                  <a:rPr lang="en-US" sz="2000"/>
                  <a:t>(MAF )</a:t>
                </a:r>
              </a:p>
            </c:rich>
          </c:tx>
          <c:layout>
            <c:manualLayout>
              <c:xMode val="edge"/>
              <c:yMode val="edge"/>
              <c:x val="1.8766097817539344E-2"/>
              <c:y val="0.192735625186782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26376938291273899"/>
          <c:y val="0.34072046044076687"/>
          <c:w val="0.18930032190228599"/>
          <c:h val="0.19744484584574204"/>
        </c:manualLayout>
      </c:layout>
      <c:overlay val="0"/>
      <c:spPr>
        <a:solidFill>
          <a:sysClr val="window" lastClr="FFFFFF"/>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'8.1-Trade'!$C$30:$G$30</c:f>
              <c:numCache>
                <c:formatCode>0.0</c:formatCode>
                <c:ptCount val="5"/>
                <c:pt idx="0">
                  <c:v>5.0734237499999999</c:v>
                </c:pt>
                <c:pt idx="1">
                  <c:v>3.5040452368981789</c:v>
                </c:pt>
                <c:pt idx="2">
                  <c:v>1.8046756171877996</c:v>
                </c:pt>
                <c:pt idx="3">
                  <c:v>1.5073083708761699</c:v>
                </c:pt>
                <c:pt idx="4">
                  <c:v>0.82058243277347653</c:v>
                </c:pt>
              </c:numCache>
            </c:numRef>
          </c:val>
          <c:smooth val="0"/>
          <c:extLst>
            <c:ext xmlns:c16="http://schemas.microsoft.com/office/drawing/2014/chart" uri="{C3380CC4-5D6E-409C-BE32-E72D297353CC}">
              <c16:uniqueId val="{00000000-A243-4D6A-9A25-2CBF47155BF4}"/>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'8.1-LawOfRiver'!$C$30:$G$30</c:f>
              <c:numCache>
                <c:formatCode>0.0</c:formatCode>
                <c:ptCount val="5"/>
                <c:pt idx="0">
                  <c:v>5.0734237499999999</c:v>
                </c:pt>
                <c:pt idx="1">
                  <c:v>3.4040452368981784</c:v>
                </c:pt>
                <c:pt idx="2">
                  <c:v>0</c:v>
                </c:pt>
                <c:pt idx="3">
                  <c:v>0</c:v>
                </c:pt>
                <c:pt idx="4">
                  <c:v>0</c:v>
                </c:pt>
              </c:numCache>
            </c:numRef>
          </c:val>
          <c:smooth val="0"/>
          <c:extLst>
            <c:ext xmlns:c16="http://schemas.microsoft.com/office/drawing/2014/chart" uri="{C3380CC4-5D6E-409C-BE32-E72D297353CC}">
              <c16:uniqueId val="{00000001-A243-4D6A-9A25-2CBF47155BF4}"/>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'8.1-Trade'!$C$25:$G$25</c:f>
              <c:strCache>
                <c:ptCount val="5"/>
                <c:pt idx="0">
                  <c:v>Year 1</c:v>
                </c:pt>
                <c:pt idx="1">
                  <c:v>Year 2</c:v>
                </c:pt>
                <c:pt idx="2">
                  <c:v>Year 3</c:v>
                </c:pt>
                <c:pt idx="3">
                  <c:v>Year 4</c:v>
                </c:pt>
                <c:pt idx="4">
                  <c:v>Year 5</c:v>
                </c:pt>
              </c:strCache>
            </c:strRef>
          </c:cat>
          <c:val>
            <c:numRef>
              <c:f>'8.1-Trade'!$C$115:$G$115</c:f>
              <c:numCache>
                <c:formatCode>0.0</c:formatCode>
                <c:ptCount val="5"/>
                <c:pt idx="0">
                  <c:v>7</c:v>
                </c:pt>
                <c:pt idx="1">
                  <c:v>6.8</c:v>
                </c:pt>
                <c:pt idx="2">
                  <c:v>6.7</c:v>
                </c:pt>
                <c:pt idx="3">
                  <c:v>6.6</c:v>
                </c:pt>
                <c:pt idx="4">
                  <c:v>6.6</c:v>
                </c:pt>
              </c:numCache>
            </c:numRef>
          </c:val>
          <c:smooth val="0"/>
          <c:extLst>
            <c:ext xmlns:c16="http://schemas.microsoft.com/office/drawing/2014/chart" uri="{C3380CC4-5D6E-409C-BE32-E72D297353CC}">
              <c16:uniqueId val="{00000000-B987-46E0-BA8D-5A8EF0E19845}"/>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'8.1-Trade'!$C$25:$G$25</c:f>
              <c:strCache>
                <c:ptCount val="5"/>
                <c:pt idx="0">
                  <c:v>Year 1</c:v>
                </c:pt>
                <c:pt idx="1">
                  <c:v>Year 2</c:v>
                </c:pt>
                <c:pt idx="2">
                  <c:v>Year 3</c:v>
                </c:pt>
                <c:pt idx="3">
                  <c:v>Year 4</c:v>
                </c:pt>
                <c:pt idx="4">
                  <c:v>Year 5</c:v>
                </c:pt>
              </c:strCache>
            </c:strRef>
          </c:cat>
          <c:val>
            <c:numRef>
              <c:f>'8.1-LawOfRiver'!$C$115:$G$115</c:f>
              <c:numCache>
                <c:formatCode>0.0</c:formatCode>
                <c:ptCount val="5"/>
                <c:pt idx="0">
                  <c:v>7.2590000000000003</c:v>
                </c:pt>
                <c:pt idx="1">
                  <c:v>6.8870000000000005</c:v>
                </c:pt>
                <c:pt idx="2">
                  <c:v>6.4870000000000001</c:v>
                </c:pt>
                <c:pt idx="3">
                  <c:v>6.4290000000000003</c:v>
                </c:pt>
                <c:pt idx="4">
                  <c:v>6.4290000000000003</c:v>
                </c:pt>
              </c:numCache>
            </c:numRef>
          </c:val>
          <c:smooth val="0"/>
          <c:extLst>
            <c:ext xmlns:c16="http://schemas.microsoft.com/office/drawing/2014/chart" uri="{C3380CC4-5D6E-409C-BE32-E72D297353CC}">
              <c16:uniqueId val="{00000001-B987-46E0-BA8D-5A8EF0E19845}"/>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'8.1-LawOfRiver'!$C$31:$G$31</c:f>
              <c:numCache>
                <c:formatCode>0.0</c:formatCode>
                <c:ptCount val="5"/>
                <c:pt idx="0">
                  <c:v>4.2614069999999993</c:v>
                </c:pt>
                <c:pt idx="1">
                  <c:v>3.2109815232907888</c:v>
                </c:pt>
                <c:pt idx="2">
                  <c:v>2.5623520451145225</c:v>
                </c:pt>
                <c:pt idx="3">
                  <c:v>2.2299807300538657</c:v>
                </c:pt>
                <c:pt idx="4">
                  <c:v>1.9695642004172758</c:v>
                </c:pt>
              </c:numCache>
            </c:numRef>
          </c:val>
          <c:smooth val="0"/>
          <c:extLst>
            <c:ext xmlns:c16="http://schemas.microsoft.com/office/drawing/2014/chart" uri="{C3380CC4-5D6E-409C-BE32-E72D297353CC}">
              <c16:uniqueId val="{00000000-D877-4E0B-8DD9-991F585A264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'8.1-Trade'!$C$31:$G$31</c:f>
              <c:numCache>
                <c:formatCode>0.0</c:formatCode>
                <c:ptCount val="5"/>
                <c:pt idx="0">
                  <c:v>4.2614069999999993</c:v>
                </c:pt>
                <c:pt idx="1">
                  <c:v>4.0699815232907888</c:v>
                </c:pt>
                <c:pt idx="2">
                  <c:v>2.8610195042827629</c:v>
                </c:pt>
                <c:pt idx="3">
                  <c:v>0.86795057260783626</c:v>
                </c:pt>
                <c:pt idx="4">
                  <c:v>0.63775738801431459</c:v>
                </c:pt>
              </c:numCache>
            </c:numRef>
          </c:val>
          <c:smooth val="0"/>
          <c:extLst>
            <c:ext xmlns:c16="http://schemas.microsoft.com/office/drawing/2014/chart" uri="{C3380CC4-5D6E-409C-BE32-E72D297353CC}">
              <c16:uniqueId val="{00000001-D877-4E0B-8DD9-991F585A264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'8.1-Trade'!$C$29:$G$29</c:f>
              <c:numCache>
                <c:formatCode>0.0</c:formatCode>
                <c:ptCount val="5"/>
                <c:pt idx="0">
                  <c:v>21.1</c:v>
                </c:pt>
                <c:pt idx="1">
                  <c:v>19.278102320000027</c:v>
                </c:pt>
                <c:pt idx="2">
                  <c:v>16.611442566000601</c:v>
                </c:pt>
                <c:pt idx="3">
                  <c:v>14.115209246000601</c:v>
                </c:pt>
                <c:pt idx="4">
                  <c:v>13.103063047500001</c:v>
                </c:pt>
              </c:numCache>
            </c:numRef>
          </c:val>
          <c:smooth val="0"/>
          <c:extLst>
            <c:ext xmlns:c16="http://schemas.microsoft.com/office/drawing/2014/chart" uri="{C3380CC4-5D6E-409C-BE32-E72D297353CC}">
              <c16:uniqueId val="{00000000-146F-4E67-AE68-DB79AAE4A897}"/>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'8.1-LawOfRiver'!$C$29:$G$29</c:f>
              <c:numCache>
                <c:formatCode>0.0</c:formatCode>
                <c:ptCount val="5"/>
                <c:pt idx="0">
                  <c:v>21.1</c:v>
                </c:pt>
                <c:pt idx="1">
                  <c:v>18.371768986666694</c:v>
                </c:pt>
                <c:pt idx="2">
                  <c:v>14.310621491237981</c:v>
                </c:pt>
                <c:pt idx="3">
                  <c:v>13.769336675304046</c:v>
                </c:pt>
                <c:pt idx="4">
                  <c:v>13.411908284470714</c:v>
                </c:pt>
              </c:numCache>
            </c:numRef>
          </c:val>
          <c:smooth val="0"/>
          <c:extLst>
            <c:ext xmlns:c16="http://schemas.microsoft.com/office/drawing/2014/chart" uri="{C3380CC4-5D6E-409C-BE32-E72D297353CC}">
              <c16:uniqueId val="{00000001-146F-4E67-AE68-DB79AAE4A897}"/>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30107029724732687"/>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0-7A70-4488-AFB5-EE82F3CC5EA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1-7A70-4488-AFB5-EE82F3CC5EA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0282398752920586"/>
          <c:h val="0.202971143393766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97533772845323"/>
          <c:y val="4.4031242550446624E-2"/>
          <c:w val="0.74080001966455544"/>
          <c:h val="0.79067360409193843"/>
        </c:manualLayout>
      </c:layout>
      <c:lineChart>
        <c:grouping val="standard"/>
        <c:varyColors val="0"/>
        <c:ser>
          <c:idx val="0"/>
          <c:order val="0"/>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4.9519284043853409</c:v>
                </c:pt>
                <c:pt idx="8">
                  <c:v>6.1848350048055627</c:v>
                </c:pt>
                <c:pt idx="9">
                  <c:v>7.3613409808086034</c:v>
                </c:pt>
              </c:numCache>
            </c:numRef>
          </c:val>
          <c:smooth val="0"/>
          <c:extLst>
            <c:ext xmlns:c16="http://schemas.microsoft.com/office/drawing/2014/chart" uri="{C3380CC4-5D6E-409C-BE32-E72D297353CC}">
              <c16:uniqueId val="{00000000-66A1-42AF-BC1F-CF6F1223B61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5.4519284043853409</c:v>
                </c:pt>
                <c:pt idx="8">
                  <c:v>7.1609068947687797</c:v>
                </c:pt>
                <c:pt idx="9">
                  <c:v>8.7943918761707423</c:v>
                </c:pt>
              </c:numCache>
            </c:numRef>
          </c:val>
          <c:smooth val="0"/>
          <c:extLst>
            <c:ext xmlns:c16="http://schemas.microsoft.com/office/drawing/2014/chart" uri="{C3380CC4-5D6E-409C-BE32-E72D297353CC}">
              <c16:uniqueId val="{00000001-66A1-42AF-BC1F-CF6F1223B61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329374030883646E-2"/>
          <c:y val="4.7662190096618665E-2"/>
          <c:w val="0.90974433052796222"/>
          <c:h val="0.8459573756420646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6.7789999999999999</c:v>
                </c:pt>
                <c:pt idx="7">
                  <c:v>6.8870000000000005</c:v>
                </c:pt>
                <c:pt idx="8">
                  <c:v>6.8870000000000005</c:v>
                </c:pt>
                <c:pt idx="9">
                  <c:v>6.8870000000000005</c:v>
                </c:pt>
              </c:numCache>
            </c:numRef>
          </c:val>
          <c:smooth val="0"/>
          <c:extLst>
            <c:ext xmlns:c16="http://schemas.microsoft.com/office/drawing/2014/chart" uri="{C3380CC4-5D6E-409C-BE32-E72D297353CC}">
              <c16:uniqueId val="{00000000-0CAD-4C47-BAE4-5168D1A27369}"/>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6.3702888005243183</c:v>
                </c:pt>
                <c:pt idx="7">
                  <c:v>6.3859604978537057</c:v>
                </c:pt>
                <c:pt idx="8">
                  <c:v>6.4093097077066208</c:v>
                </c:pt>
                <c:pt idx="9">
                  <c:v>6.4093240851661299</c:v>
                </c:pt>
              </c:numCache>
            </c:numRef>
          </c:val>
          <c:smooth val="0"/>
          <c:extLst>
            <c:ext xmlns:c16="http://schemas.microsoft.com/office/drawing/2014/chart" uri="{C3380CC4-5D6E-409C-BE32-E72D297353CC}">
              <c16:uniqueId val="{00000001-0CAD-4C47-BAE4-5168D1A27369}"/>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850857759708025E-2"/>
          <c:y val="4.635017936459581E-2"/>
          <c:w val="0.9140122529167104"/>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0</c:v>
                </c:pt>
                <c:pt idx="8">
                  <c:v>0</c:v>
                </c:pt>
                <c:pt idx="9">
                  <c:v>0</c:v>
                </c:pt>
              </c:numCache>
            </c:numRef>
          </c:val>
          <c:smooth val="0"/>
          <c:extLst>
            <c:ext xmlns:c16="http://schemas.microsoft.com/office/drawing/2014/chart" uri="{C3380CC4-5D6E-409C-BE32-E72D297353CC}">
              <c16:uniqueId val="{00000000-052F-40FA-A317-8481C9398C82}"/>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9.1288800524318425E-2</c:v>
                </c:pt>
                <c:pt idx="8">
                  <c:v>7.9832364543001688E-2</c:v>
                </c:pt>
                <c:pt idx="9">
                  <c:v>8.6083721142300007E-2</c:v>
                </c:pt>
              </c:numCache>
            </c:numRef>
          </c:val>
          <c:smooth val="0"/>
          <c:extLst>
            <c:ext xmlns:c16="http://schemas.microsoft.com/office/drawing/2014/chart" uri="{C3380CC4-5D6E-409C-BE32-E72D297353CC}">
              <c16:uniqueId val="{00000001-052F-40FA-A317-8481C9398C82}"/>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B3C2C9A7-213B-4EBE-AC1D-DFB19ED49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7DC7EB4A-4DC5-4554-A45B-E439C5706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507EF4FC-A4EC-4B99-A55F-B141056DB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4147CD71-368D-40AE-A6D6-B11AC9539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D2A88F49-3B0E-436C-B274-610A32906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22222</xdr:colOff>
      <xdr:row>1</xdr:row>
      <xdr:rowOff>125412</xdr:rowOff>
    </xdr:from>
    <xdr:to>
      <xdr:col>14</xdr:col>
      <xdr:colOff>85725</xdr:colOff>
      <xdr:row>19</xdr:row>
      <xdr:rowOff>149225</xdr:rowOff>
    </xdr:to>
    <xdr:graphicFrame macro="">
      <xdr:nvGraphicFramePr>
        <xdr:cNvPr id="2" name="Chart 1">
          <a:extLst>
            <a:ext uri="{FF2B5EF4-FFF2-40B4-BE49-F238E27FC236}">
              <a16:creationId xmlns:a16="http://schemas.microsoft.com/office/drawing/2014/main" id="{EA89D67A-71FA-4776-8351-5D00EDED0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xdr:colOff>
      <xdr:row>19</xdr:row>
      <xdr:rowOff>153987</xdr:rowOff>
    </xdr:from>
    <xdr:to>
      <xdr:col>14</xdr:col>
      <xdr:colOff>88899</xdr:colOff>
      <xdr:row>37</xdr:row>
      <xdr:rowOff>152400</xdr:rowOff>
    </xdr:to>
    <xdr:graphicFrame macro="">
      <xdr:nvGraphicFramePr>
        <xdr:cNvPr id="3" name="Chart 1">
          <a:extLst>
            <a:ext uri="{FF2B5EF4-FFF2-40B4-BE49-F238E27FC236}">
              <a16:creationId xmlns:a16="http://schemas.microsoft.com/office/drawing/2014/main" id="{AB5A7745-4161-47D1-9B43-57B4318F9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98423</xdr:colOff>
      <xdr:row>1</xdr:row>
      <xdr:rowOff>141287</xdr:rowOff>
    </xdr:from>
    <xdr:to>
      <xdr:col>25</xdr:col>
      <xdr:colOff>247650</xdr:colOff>
      <xdr:row>19</xdr:row>
      <xdr:rowOff>142875</xdr:rowOff>
    </xdr:to>
    <xdr:graphicFrame macro="">
      <xdr:nvGraphicFramePr>
        <xdr:cNvPr id="4" name="Chart 1">
          <a:extLst>
            <a:ext uri="{FF2B5EF4-FFF2-40B4-BE49-F238E27FC236}">
              <a16:creationId xmlns:a16="http://schemas.microsoft.com/office/drawing/2014/main" id="{F52DFE0F-4483-4412-A1B6-0E67120C1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79374</xdr:colOff>
      <xdr:row>19</xdr:row>
      <xdr:rowOff>141287</xdr:rowOff>
    </xdr:from>
    <xdr:to>
      <xdr:col>25</xdr:col>
      <xdr:colOff>219075</xdr:colOff>
      <xdr:row>38</xdr:row>
      <xdr:rowOff>47625</xdr:rowOff>
    </xdr:to>
    <xdr:graphicFrame macro="">
      <xdr:nvGraphicFramePr>
        <xdr:cNvPr id="5" name="Chart 1">
          <a:extLst>
            <a:ext uri="{FF2B5EF4-FFF2-40B4-BE49-F238E27FC236}">
              <a16:creationId xmlns:a16="http://schemas.microsoft.com/office/drawing/2014/main" id="{FF227552-0364-4F61-A2AF-EEC2BDB8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485775</xdr:colOff>
      <xdr:row>6</xdr:row>
      <xdr:rowOff>28575</xdr:rowOff>
    </xdr:from>
    <xdr:to>
      <xdr:col>37</xdr:col>
      <xdr:colOff>514350</xdr:colOff>
      <xdr:row>24</xdr:row>
      <xdr:rowOff>30163</xdr:rowOff>
    </xdr:to>
    <xdr:graphicFrame macro="">
      <xdr:nvGraphicFramePr>
        <xdr:cNvPr id="6" name="Chart 1">
          <a:extLst>
            <a:ext uri="{FF2B5EF4-FFF2-40B4-BE49-F238E27FC236}">
              <a16:creationId xmlns:a16="http://schemas.microsoft.com/office/drawing/2014/main" id="{DE58208B-62C1-446B-B701-26FE424D6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270539</xdr:colOff>
      <xdr:row>3</xdr:row>
      <xdr:rowOff>61631</xdr:rowOff>
    </xdr:from>
    <xdr:to>
      <xdr:col>14</xdr:col>
      <xdr:colOff>143459</xdr:colOff>
      <xdr:row>9</xdr:row>
      <xdr:rowOff>102818</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a:blip xmlns:r="http://schemas.openxmlformats.org/officeDocument/2006/relationships" r:embed="rId1"/>
        <a:stretch>
          <a:fillRect/>
        </a:stretch>
      </xdr:blipFill>
      <xdr:spPr>
        <a:xfrm>
          <a:off x="7610392" y="599513"/>
          <a:ext cx="4752334" cy="4283361"/>
        </a:xfrm>
        <a:prstGeom prst="rect">
          <a:avLst/>
        </a:prstGeom>
        <a:ln w="12700">
          <a:solidFill>
            <a:schemeClr val="tx1"/>
          </a:solid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ding/raw/main/ModelMusings/PilotFlexAccounting-KeyIdeas.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59"/>
  <sheetViews>
    <sheetView topLeftCell="A13" zoomScale="150" zoomScaleNormal="150" workbookViewId="0">
      <selection activeCell="B24" sqref="B24:L24"/>
    </sheetView>
  </sheetViews>
  <sheetFormatPr defaultRowHeight="14.5" x14ac:dyDescent="0.35"/>
  <cols>
    <col min="1" max="1" width="3.54296875" customWidth="1"/>
    <col min="2" max="2" width="35.81640625" customWidth="1"/>
    <col min="3" max="3" width="7.81640625" customWidth="1"/>
    <col min="4" max="4" width="7" style="2" customWidth="1"/>
    <col min="5" max="5" width="7.54296875" customWidth="1"/>
    <col min="6" max="6" width="7.26953125" customWidth="1"/>
    <col min="7" max="7" width="7.6328125" customWidth="1"/>
    <col min="8" max="8" width="7.08984375" customWidth="1"/>
    <col min="9" max="9" width="7.36328125" customWidth="1"/>
    <col min="10" max="10" width="7.7265625" customWidth="1"/>
    <col min="13" max="13" width="3.81640625" customWidth="1"/>
  </cols>
  <sheetData>
    <row r="1" spans="1:18" x14ac:dyDescent="0.35">
      <c r="A1" s="1" t="s">
        <v>207</v>
      </c>
      <c r="B1" s="1"/>
      <c r="C1" s="2"/>
      <c r="D1"/>
    </row>
    <row r="2" spans="1:18" x14ac:dyDescent="0.35">
      <c r="A2" s="1"/>
      <c r="B2" s="1"/>
      <c r="C2" s="2"/>
      <c r="D2"/>
    </row>
    <row r="3" spans="1:18" x14ac:dyDescent="0.35">
      <c r="A3" s="1" t="s">
        <v>238</v>
      </c>
      <c r="B3" s="1"/>
      <c r="C3" s="2"/>
      <c r="D3"/>
      <c r="N3" s="1" t="s">
        <v>333</v>
      </c>
    </row>
    <row r="4" spans="1:18" s="83" customFormat="1" ht="60" customHeight="1" x14ac:dyDescent="0.35">
      <c r="A4" s="165" t="s">
        <v>335</v>
      </c>
      <c r="B4" s="165"/>
      <c r="C4" s="165"/>
      <c r="D4" s="165"/>
      <c r="E4" s="165"/>
      <c r="F4" s="165"/>
      <c r="G4" s="165"/>
      <c r="H4" s="165"/>
      <c r="I4" s="165"/>
      <c r="J4" s="165"/>
      <c r="K4" s="165"/>
      <c r="L4" s="165"/>
      <c r="N4" s="153" t="s">
        <v>334</v>
      </c>
      <c r="O4" s="153"/>
      <c r="P4" s="153"/>
      <c r="Q4" s="153"/>
      <c r="R4" s="153"/>
    </row>
    <row r="5" spans="1:18" s="32" customFormat="1" ht="16" customHeight="1" x14ac:dyDescent="0.35">
      <c r="A5" s="165" t="s">
        <v>336</v>
      </c>
      <c r="B5" s="165"/>
      <c r="C5" s="165"/>
      <c r="D5" s="165"/>
      <c r="E5" s="165"/>
      <c r="F5" s="165"/>
      <c r="G5" s="165"/>
      <c r="H5" s="165"/>
      <c r="I5" s="165"/>
      <c r="J5" s="165"/>
      <c r="K5" s="165"/>
      <c r="L5" s="165"/>
    </row>
    <row r="6" spans="1:18" s="32" customFormat="1" ht="32.5" customHeight="1" x14ac:dyDescent="0.35">
      <c r="A6" s="154" t="s">
        <v>232</v>
      </c>
      <c r="B6" s="154"/>
      <c r="C6" s="154"/>
      <c r="D6" s="154"/>
      <c r="E6" s="154"/>
      <c r="F6" s="154"/>
      <c r="G6" s="154"/>
      <c r="H6" s="154"/>
      <c r="I6" s="154"/>
      <c r="J6" s="154"/>
      <c r="K6" s="154"/>
      <c r="L6" s="154"/>
      <c r="N6" s="152" t="s">
        <v>337</v>
      </c>
    </row>
    <row r="7" spans="1:18" s="32" customFormat="1" ht="32.5" customHeight="1" x14ac:dyDescent="0.35">
      <c r="A7" s="154" t="s">
        <v>234</v>
      </c>
      <c r="B7" s="154"/>
      <c r="C7" s="154"/>
      <c r="D7" s="154"/>
      <c r="E7" s="154"/>
      <c r="F7" s="154"/>
      <c r="G7" s="154"/>
      <c r="H7" s="154"/>
      <c r="I7" s="154"/>
      <c r="J7" s="154"/>
      <c r="K7" s="154"/>
      <c r="L7" s="154"/>
    </row>
    <row r="8" spans="1:18" s="32" customFormat="1" ht="16.5" customHeight="1" x14ac:dyDescent="0.35">
      <c r="A8" s="154" t="s">
        <v>338</v>
      </c>
      <c r="B8" s="154"/>
      <c r="C8" s="154"/>
      <c r="D8" s="154"/>
      <c r="E8" s="154"/>
      <c r="F8" s="154"/>
      <c r="G8" s="154"/>
      <c r="H8" s="154"/>
      <c r="I8" s="154"/>
      <c r="J8" s="154"/>
      <c r="K8" s="154"/>
      <c r="L8" s="154"/>
    </row>
    <row r="9" spans="1:18" s="32" customFormat="1" ht="15" customHeight="1" x14ac:dyDescent="0.35">
      <c r="A9" s="154" t="s">
        <v>239</v>
      </c>
      <c r="B9" s="154"/>
      <c r="C9" s="154"/>
      <c r="D9" s="154"/>
      <c r="E9" s="154"/>
      <c r="F9" s="154"/>
      <c r="G9" s="154"/>
      <c r="H9" s="154"/>
      <c r="I9" s="154"/>
      <c r="J9" s="154"/>
      <c r="K9" s="154"/>
      <c r="L9" s="154"/>
    </row>
    <row r="10" spans="1:18" s="32" customFormat="1" ht="30" customHeight="1" x14ac:dyDescent="0.35">
      <c r="A10" s="154" t="s">
        <v>235</v>
      </c>
      <c r="B10" s="154"/>
      <c r="C10" s="154"/>
      <c r="D10" s="154"/>
      <c r="E10" s="154"/>
      <c r="F10" s="154"/>
      <c r="G10" s="154"/>
      <c r="H10" s="154"/>
      <c r="I10" s="154"/>
      <c r="J10" s="154"/>
      <c r="K10" s="154"/>
      <c r="L10" s="154"/>
    </row>
    <row r="11" spans="1:18" ht="69" customHeight="1" x14ac:dyDescent="0.35">
      <c r="A11" s="154" t="s">
        <v>236</v>
      </c>
      <c r="B11" s="154"/>
      <c r="C11" s="154"/>
      <c r="D11" s="154"/>
      <c r="E11" s="154"/>
      <c r="F11" s="154"/>
      <c r="G11" s="154"/>
      <c r="H11" s="154"/>
      <c r="I11" s="154"/>
      <c r="J11" s="154"/>
      <c r="K11" s="154"/>
      <c r="L11" s="154"/>
    </row>
    <row r="12" spans="1:18" ht="50.5" customHeight="1" x14ac:dyDescent="0.35">
      <c r="A12" s="154" t="s">
        <v>339</v>
      </c>
      <c r="B12" s="154"/>
      <c r="C12" s="154"/>
      <c r="D12" s="154"/>
      <c r="E12" s="154"/>
      <c r="F12" s="154"/>
      <c r="G12" s="154"/>
      <c r="H12" s="154"/>
      <c r="I12" s="154"/>
      <c r="J12" s="154"/>
      <c r="K12" s="154"/>
      <c r="L12" s="154"/>
    </row>
    <row r="13" spans="1:18" ht="48.5" customHeight="1" x14ac:dyDescent="0.35">
      <c r="A13" s="154" t="s">
        <v>201</v>
      </c>
      <c r="B13" s="154"/>
      <c r="C13" s="154"/>
      <c r="D13" s="154"/>
      <c r="E13" s="154"/>
      <c r="F13" s="154"/>
      <c r="G13" s="154"/>
      <c r="H13" s="154"/>
      <c r="I13" s="154"/>
      <c r="J13" s="154"/>
      <c r="K13" s="154"/>
      <c r="L13" s="154"/>
    </row>
    <row r="14" spans="1:18" ht="15.5" customHeight="1" x14ac:dyDescent="0.35">
      <c r="A14" s="154" t="s">
        <v>340</v>
      </c>
      <c r="B14" s="154"/>
      <c r="C14" s="154"/>
      <c r="D14" s="154"/>
      <c r="E14" s="154"/>
      <c r="F14" s="154"/>
      <c r="G14" s="154"/>
      <c r="H14" s="154"/>
      <c r="I14" s="154"/>
      <c r="J14" s="154"/>
      <c r="K14" s="154"/>
      <c r="L14" s="154"/>
    </row>
    <row r="15" spans="1:18" x14ac:dyDescent="0.35">
      <c r="B15" s="15"/>
      <c r="C15" s="15"/>
      <c r="D15" s="15"/>
      <c r="E15" s="15"/>
      <c r="F15" s="15"/>
      <c r="G15" s="15"/>
      <c r="H15" s="15"/>
      <c r="I15" s="15"/>
      <c r="J15" s="15"/>
      <c r="K15" s="15"/>
      <c r="L15" s="15"/>
    </row>
    <row r="16" spans="1:18" ht="16.5" customHeight="1" x14ac:dyDescent="0.35">
      <c r="A16" s="156" t="s">
        <v>202</v>
      </c>
      <c r="B16" s="157"/>
      <c r="C16" s="157"/>
      <c r="D16" s="157"/>
      <c r="E16" s="157"/>
      <c r="F16" s="157"/>
      <c r="G16" s="157"/>
      <c r="H16" s="157"/>
      <c r="I16" s="157"/>
      <c r="J16" s="157"/>
      <c r="K16" s="157"/>
      <c r="L16" s="158"/>
    </row>
    <row r="17" spans="1:12" ht="16.5" customHeight="1" x14ac:dyDescent="0.35">
      <c r="A17" s="28">
        <v>1</v>
      </c>
      <c r="B17" s="159" t="s">
        <v>142</v>
      </c>
      <c r="C17" s="159"/>
      <c r="D17" s="159"/>
      <c r="E17" s="159"/>
      <c r="F17" s="159"/>
      <c r="G17" s="159"/>
      <c r="H17" s="159"/>
      <c r="I17" s="159"/>
      <c r="J17" s="159"/>
      <c r="K17" s="159"/>
      <c r="L17" s="160"/>
    </row>
    <row r="18" spans="1:12" ht="16.5" customHeight="1" x14ac:dyDescent="0.35">
      <c r="A18" s="28">
        <v>2</v>
      </c>
      <c r="B18" s="159" t="s">
        <v>203</v>
      </c>
      <c r="C18" s="159"/>
      <c r="D18" s="159"/>
      <c r="E18" s="159"/>
      <c r="F18" s="159"/>
      <c r="G18" s="159"/>
      <c r="H18" s="159"/>
      <c r="I18" s="159"/>
      <c r="J18" s="159"/>
      <c r="K18" s="159"/>
      <c r="L18" s="160"/>
    </row>
    <row r="19" spans="1:12" ht="16.5" customHeight="1" x14ac:dyDescent="0.35">
      <c r="A19" s="28">
        <v>3</v>
      </c>
      <c r="B19" s="159" t="s">
        <v>92</v>
      </c>
      <c r="C19" s="159"/>
      <c r="D19" s="159"/>
      <c r="E19" s="159"/>
      <c r="F19" s="159"/>
      <c r="G19" s="159"/>
      <c r="H19" s="159"/>
      <c r="I19" s="159"/>
      <c r="J19" s="159"/>
      <c r="K19" s="159"/>
      <c r="L19" s="160"/>
    </row>
    <row r="20" spans="1:12" ht="32.5" customHeight="1" x14ac:dyDescent="0.35">
      <c r="A20" s="28">
        <v>4</v>
      </c>
      <c r="B20" s="159" t="s">
        <v>341</v>
      </c>
      <c r="C20" s="159"/>
      <c r="D20" s="159"/>
      <c r="E20" s="159"/>
      <c r="F20" s="159"/>
      <c r="G20" s="159"/>
      <c r="H20" s="159"/>
      <c r="I20" s="159"/>
      <c r="J20" s="159"/>
      <c r="K20" s="159"/>
      <c r="L20" s="160"/>
    </row>
    <row r="21" spans="1:12" ht="29" customHeight="1" x14ac:dyDescent="0.35">
      <c r="A21" s="28">
        <v>5</v>
      </c>
      <c r="B21" s="159" t="s">
        <v>342</v>
      </c>
      <c r="C21" s="159"/>
      <c r="D21" s="159"/>
      <c r="E21" s="159"/>
      <c r="F21" s="159"/>
      <c r="G21" s="159"/>
      <c r="H21" s="159"/>
      <c r="I21" s="159"/>
      <c r="J21" s="159"/>
      <c r="K21" s="159"/>
      <c r="L21" s="160"/>
    </row>
    <row r="22" spans="1:12" ht="16.5" customHeight="1" x14ac:dyDescent="0.35">
      <c r="A22" s="28">
        <v>6</v>
      </c>
      <c r="B22" s="159" t="s">
        <v>343</v>
      </c>
      <c r="C22" s="159"/>
      <c r="D22" s="159"/>
      <c r="E22" s="159"/>
      <c r="F22" s="159"/>
      <c r="G22" s="159"/>
      <c r="H22" s="159"/>
      <c r="I22" s="159"/>
      <c r="J22" s="159"/>
      <c r="K22" s="159"/>
      <c r="L22" s="160"/>
    </row>
    <row r="23" spans="1:12" ht="17.5" customHeight="1" x14ac:dyDescent="0.35">
      <c r="A23" s="28">
        <v>7</v>
      </c>
      <c r="B23" s="159" t="s">
        <v>344</v>
      </c>
      <c r="C23" s="159"/>
      <c r="D23" s="159"/>
      <c r="E23" s="159"/>
      <c r="F23" s="159"/>
      <c r="G23" s="159"/>
      <c r="H23" s="159"/>
      <c r="I23" s="159"/>
      <c r="J23" s="159"/>
      <c r="K23" s="159"/>
      <c r="L23" s="160"/>
    </row>
    <row r="24" spans="1:12" ht="31.5" customHeight="1" x14ac:dyDescent="0.35">
      <c r="A24" s="28">
        <v>8</v>
      </c>
      <c r="B24" s="159" t="s">
        <v>269</v>
      </c>
      <c r="C24" s="159"/>
      <c r="D24" s="159"/>
      <c r="E24" s="159"/>
      <c r="F24" s="159"/>
      <c r="G24" s="159"/>
      <c r="H24" s="159"/>
      <c r="I24" s="159"/>
      <c r="J24" s="159"/>
      <c r="K24" s="159"/>
      <c r="L24" s="160"/>
    </row>
    <row r="25" spans="1:12" ht="60.5" customHeight="1" x14ac:dyDescent="0.35">
      <c r="A25" s="28">
        <v>10</v>
      </c>
      <c r="B25" s="159" t="s">
        <v>270</v>
      </c>
      <c r="C25" s="159"/>
      <c r="D25" s="159"/>
      <c r="E25" s="159"/>
      <c r="F25" s="159"/>
      <c r="G25" s="159"/>
      <c r="H25" s="159"/>
      <c r="I25" s="159"/>
      <c r="J25" s="159"/>
      <c r="K25" s="159"/>
      <c r="L25" s="160"/>
    </row>
    <row r="26" spans="1:12" ht="16.5" customHeight="1" x14ac:dyDescent="0.35">
      <c r="A26" s="28">
        <v>11</v>
      </c>
      <c r="B26" s="159" t="s">
        <v>204</v>
      </c>
      <c r="C26" s="159"/>
      <c r="D26" s="159"/>
      <c r="E26" s="159"/>
      <c r="F26" s="159"/>
      <c r="G26" s="159"/>
      <c r="H26" s="159"/>
      <c r="I26" s="159"/>
      <c r="J26" s="159"/>
      <c r="K26" s="159"/>
      <c r="L26" s="160"/>
    </row>
    <row r="27" spans="1:12" ht="16.5" customHeight="1" x14ac:dyDescent="0.35">
      <c r="A27" s="28">
        <v>12</v>
      </c>
      <c r="B27" s="159" t="s">
        <v>271</v>
      </c>
      <c r="C27" s="159"/>
      <c r="D27" s="159"/>
      <c r="E27" s="159"/>
      <c r="F27" s="159"/>
      <c r="G27" s="159"/>
      <c r="H27" s="159"/>
      <c r="I27" s="159"/>
      <c r="J27" s="159"/>
      <c r="K27" s="159"/>
      <c r="L27" s="160"/>
    </row>
    <row r="28" spans="1:12" ht="32" customHeight="1" x14ac:dyDescent="0.35">
      <c r="A28" s="28">
        <v>13</v>
      </c>
      <c r="B28" s="159" t="s">
        <v>272</v>
      </c>
      <c r="C28" s="159"/>
      <c r="D28" s="159"/>
      <c r="E28" s="159"/>
      <c r="F28" s="159"/>
      <c r="G28" s="159"/>
      <c r="H28" s="159"/>
      <c r="I28" s="159"/>
      <c r="J28" s="159"/>
      <c r="K28" s="159"/>
      <c r="L28" s="160"/>
    </row>
    <row r="29" spans="1:12" ht="16.5" customHeight="1" x14ac:dyDescent="0.35">
      <c r="A29" s="28">
        <v>14</v>
      </c>
      <c r="B29" s="159" t="s">
        <v>273</v>
      </c>
      <c r="C29" s="159"/>
      <c r="D29" s="159"/>
      <c r="E29" s="159"/>
      <c r="F29" s="159"/>
      <c r="G29" s="159"/>
      <c r="H29" s="159"/>
      <c r="I29" s="159"/>
      <c r="J29" s="159"/>
      <c r="K29" s="159"/>
      <c r="L29" s="160"/>
    </row>
    <row r="30" spans="1:12" ht="16.5" customHeight="1" x14ac:dyDescent="0.35">
      <c r="A30" s="28">
        <v>15</v>
      </c>
      <c r="B30" s="161" t="s">
        <v>205</v>
      </c>
      <c r="C30" s="161"/>
      <c r="D30" s="161"/>
      <c r="E30" s="161"/>
      <c r="F30" s="161"/>
      <c r="G30" s="161"/>
      <c r="H30" s="161"/>
      <c r="I30" s="161"/>
      <c r="J30" s="161"/>
      <c r="K30" s="161"/>
      <c r="L30" s="162"/>
    </row>
    <row r="31" spans="1:12" ht="32" customHeight="1" x14ac:dyDescent="0.35">
      <c r="A31" s="28">
        <v>16</v>
      </c>
      <c r="B31" s="159" t="s">
        <v>206</v>
      </c>
      <c r="C31" s="159"/>
      <c r="D31" s="159"/>
      <c r="E31" s="159"/>
      <c r="F31" s="159"/>
      <c r="G31" s="159"/>
      <c r="H31" s="159"/>
      <c r="I31" s="159"/>
      <c r="J31" s="159"/>
      <c r="K31" s="159"/>
      <c r="L31" s="160"/>
    </row>
    <row r="32" spans="1:12" ht="31" customHeight="1" x14ac:dyDescent="0.35">
      <c r="A32" s="69">
        <v>17</v>
      </c>
      <c r="B32" s="163" t="s">
        <v>209</v>
      </c>
      <c r="C32" s="163"/>
      <c r="D32" s="163"/>
      <c r="E32" s="163"/>
      <c r="F32" s="163"/>
      <c r="G32" s="163"/>
      <c r="H32" s="163"/>
      <c r="I32" s="163"/>
      <c r="J32" s="163"/>
      <c r="K32" s="163"/>
      <c r="L32" s="164"/>
    </row>
    <row r="33" spans="1:12" x14ac:dyDescent="0.35">
      <c r="B33" s="26"/>
      <c r="C33" s="26"/>
      <c r="D33" s="26"/>
      <c r="E33" s="26"/>
      <c r="F33" s="26"/>
      <c r="G33" s="26"/>
      <c r="H33" s="26"/>
      <c r="I33" s="26"/>
      <c r="J33" s="26"/>
      <c r="K33" s="26"/>
      <c r="L33" s="26"/>
    </row>
    <row r="34" spans="1:12" x14ac:dyDescent="0.35">
      <c r="A34" s="1" t="s">
        <v>93</v>
      </c>
    </row>
    <row r="35" spans="1:12" x14ac:dyDescent="0.35">
      <c r="B35" s="2" t="s">
        <v>94</v>
      </c>
      <c r="C35" t="s">
        <v>155</v>
      </c>
    </row>
    <row r="36" spans="1:12" x14ac:dyDescent="0.35">
      <c r="B36" s="2" t="s">
        <v>158</v>
      </c>
      <c r="C36" t="s">
        <v>200</v>
      </c>
    </row>
    <row r="37" spans="1:12" x14ac:dyDescent="0.35">
      <c r="B37" s="2" t="s">
        <v>275</v>
      </c>
      <c r="C37" t="s">
        <v>278</v>
      </c>
    </row>
    <row r="38" spans="1:12" x14ac:dyDescent="0.35">
      <c r="B38" s="2" t="s">
        <v>276</v>
      </c>
      <c r="C38" t="s">
        <v>279</v>
      </c>
    </row>
    <row r="39" spans="1:12" x14ac:dyDescent="0.35">
      <c r="B39" s="2" t="s">
        <v>277</v>
      </c>
      <c r="C39" t="s">
        <v>274</v>
      </c>
    </row>
    <row r="40" spans="1:12" x14ac:dyDescent="0.35">
      <c r="B40" s="2" t="s">
        <v>220</v>
      </c>
      <c r="C40" t="s">
        <v>222</v>
      </c>
    </row>
    <row r="41" spans="1:12" x14ac:dyDescent="0.35">
      <c r="B41" s="2" t="s">
        <v>221</v>
      </c>
      <c r="C41" t="s">
        <v>143</v>
      </c>
    </row>
    <row r="42" spans="1:12" x14ac:dyDescent="0.35">
      <c r="B42" s="2" t="s">
        <v>156</v>
      </c>
      <c r="C42" t="s">
        <v>223</v>
      </c>
    </row>
    <row r="43" spans="1:12" x14ac:dyDescent="0.35">
      <c r="B43" s="2" t="s">
        <v>224</v>
      </c>
      <c r="C43" t="s">
        <v>225</v>
      </c>
    </row>
    <row r="44" spans="1:12" x14ac:dyDescent="0.35">
      <c r="B44" s="2" t="s">
        <v>257</v>
      </c>
      <c r="C44" t="s">
        <v>258</v>
      </c>
    </row>
    <row r="45" spans="1:12" x14ac:dyDescent="0.35">
      <c r="B45" s="2" t="s">
        <v>95</v>
      </c>
      <c r="C45" t="s">
        <v>96</v>
      </c>
    </row>
    <row r="46" spans="1:12" x14ac:dyDescent="0.35">
      <c r="B46" s="2" t="s">
        <v>97</v>
      </c>
      <c r="C46" t="s">
        <v>98</v>
      </c>
    </row>
    <row r="47" spans="1:12" x14ac:dyDescent="0.35">
      <c r="B47" s="2" t="s">
        <v>144</v>
      </c>
      <c r="C47" t="s">
        <v>145</v>
      </c>
    </row>
    <row r="49" spans="1:12" x14ac:dyDescent="0.35">
      <c r="A49" s="1" t="s">
        <v>211</v>
      </c>
    </row>
    <row r="50" spans="1:12" x14ac:dyDescent="0.35">
      <c r="A50" t="s">
        <v>212</v>
      </c>
    </row>
    <row r="51" spans="1:12" x14ac:dyDescent="0.35">
      <c r="A51" t="s">
        <v>213</v>
      </c>
    </row>
    <row r="52" spans="1:12" x14ac:dyDescent="0.35">
      <c r="A52" s="70" t="s">
        <v>214</v>
      </c>
    </row>
    <row r="53" spans="1:12" x14ac:dyDescent="0.35">
      <c r="A53" s="70" t="s">
        <v>216</v>
      </c>
    </row>
    <row r="54" spans="1:12" x14ac:dyDescent="0.35">
      <c r="A54" s="70"/>
    </row>
    <row r="55" spans="1:12" x14ac:dyDescent="0.35">
      <c r="A55" s="1" t="s">
        <v>215</v>
      </c>
    </row>
    <row r="56" spans="1:12" x14ac:dyDescent="0.35">
      <c r="A56" t="s">
        <v>237</v>
      </c>
    </row>
    <row r="58" spans="1:12" ht="16" customHeight="1" x14ac:dyDescent="0.35">
      <c r="A58" s="1" t="s">
        <v>49</v>
      </c>
    </row>
    <row r="59" spans="1:12" x14ac:dyDescent="0.35">
      <c r="A59" s="155" t="s">
        <v>233</v>
      </c>
      <c r="B59" s="155"/>
      <c r="C59" s="155"/>
      <c r="D59" s="155"/>
      <c r="E59" s="155"/>
      <c r="F59" s="155"/>
      <c r="G59" s="155"/>
      <c r="H59" s="155"/>
      <c r="I59" s="155"/>
      <c r="J59" s="155"/>
      <c r="K59" s="155"/>
      <c r="L59" s="155"/>
    </row>
  </sheetData>
  <mergeCells count="30">
    <mergeCell ref="A5:L5"/>
    <mergeCell ref="A11:L11"/>
    <mergeCell ref="A14:L14"/>
    <mergeCell ref="A13:L13"/>
    <mergeCell ref="A12:L12"/>
    <mergeCell ref="A6:L6"/>
    <mergeCell ref="A7:L7"/>
    <mergeCell ref="A8:L8"/>
    <mergeCell ref="B28:L28"/>
    <mergeCell ref="B20:L20"/>
    <mergeCell ref="B22:L22"/>
    <mergeCell ref="B23:L23"/>
    <mergeCell ref="B24:L24"/>
    <mergeCell ref="B27:L27"/>
    <mergeCell ref="N4:R4"/>
    <mergeCell ref="A10:L10"/>
    <mergeCell ref="A9:L9"/>
    <mergeCell ref="A59:L59"/>
    <mergeCell ref="A16:L16"/>
    <mergeCell ref="B21:L21"/>
    <mergeCell ref="B17:L17"/>
    <mergeCell ref="B19:L19"/>
    <mergeCell ref="B25:L25"/>
    <mergeCell ref="B26:L26"/>
    <mergeCell ref="B29:L29"/>
    <mergeCell ref="B30:L30"/>
    <mergeCell ref="B32:L32"/>
    <mergeCell ref="B31:L31"/>
    <mergeCell ref="A4:L4"/>
    <mergeCell ref="B18:L18"/>
  </mergeCells>
  <hyperlinks>
    <hyperlink ref="A52" r:id="rId1" xr:uid="{6B934EC2-E381-41EE-938C-08FAF5E51BBE}"/>
    <hyperlink ref="A53" r:id="rId2" xr:uid="{785DB934-D308-4A7B-B51A-B3D1C1CB613D}"/>
    <hyperlink ref="N6" r:id="rId3" display="https://github.com/dzeke/ColoradoRiverCoding/raw/main/ModelMusings/PilotFlexAccounting-KeyIdeas.pdf" xr:uid="{131A8731-68D5-4DE1-835C-AA341174042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003B-3255-4A90-8C7C-FB79680D879D}">
  <dimension ref="G1:AJ1"/>
  <sheetViews>
    <sheetView topLeftCell="I1" workbookViewId="0">
      <selection activeCell="AB30" sqref="AB30"/>
    </sheetView>
  </sheetViews>
  <sheetFormatPr defaultRowHeight="14.5" x14ac:dyDescent="0.35"/>
  <cols>
    <col min="7" max="7" width="7.90625" customWidth="1"/>
  </cols>
  <sheetData>
    <row r="1" spans="7:36" ht="36" x14ac:dyDescent="0.8">
      <c r="G1" s="47" t="s">
        <v>39</v>
      </c>
      <c r="P1" s="180" t="s">
        <v>40</v>
      </c>
      <c r="Q1" s="180"/>
      <c r="R1" s="180"/>
      <c r="S1" s="180"/>
      <c r="T1" s="180"/>
      <c r="U1" s="180"/>
      <c r="V1" s="180"/>
      <c r="W1" s="180"/>
      <c r="X1" s="180"/>
      <c r="Y1" s="180"/>
      <c r="AA1" s="180" t="s">
        <v>210</v>
      </c>
      <c r="AB1" s="180"/>
      <c r="AC1" s="180"/>
      <c r="AD1" s="180"/>
      <c r="AE1" s="180"/>
      <c r="AF1" s="180"/>
      <c r="AG1" s="180"/>
      <c r="AH1" s="180"/>
      <c r="AI1" s="180"/>
      <c r="AJ1" s="180"/>
    </row>
  </sheetData>
  <mergeCells count="2">
    <mergeCell ref="P1:Y1"/>
    <mergeCell ref="AA1:AJ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591BC-5A67-4114-9D7C-335F9B235457}">
  <dimension ref="A1:N142"/>
  <sheetViews>
    <sheetView topLeftCell="A42" zoomScale="150" zoomScaleNormal="150" workbookViewId="0">
      <selection activeCell="K89" sqref="K89:K90"/>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8.90625" customWidth="1"/>
    <col min="8" max="8" width="7.36328125" customWidth="1"/>
    <col min="9" max="9" width="7.7265625" customWidth="1"/>
    <col min="10" max="10" width="10.7265625" customWidth="1"/>
    <col min="11" max="11" width="10.54296875" customWidth="1"/>
    <col min="12" max="12" width="10.90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73" t="s">
        <v>151</v>
      </c>
      <c r="B3" s="173"/>
      <c r="C3" s="173"/>
      <c r="D3" s="173"/>
      <c r="E3" s="173"/>
      <c r="F3" s="173"/>
      <c r="G3" s="173"/>
      <c r="H3" s="118"/>
      <c r="I3" s="118"/>
      <c r="J3" s="118"/>
      <c r="K3" s="118"/>
    </row>
    <row r="4" spans="1:13" x14ac:dyDescent="0.35">
      <c r="A4" s="53" t="s">
        <v>38</v>
      </c>
      <c r="B4" s="53" t="s">
        <v>42</v>
      </c>
      <c r="C4" s="174" t="s">
        <v>43</v>
      </c>
      <c r="D4" s="175"/>
      <c r="E4" s="175"/>
      <c r="F4" s="175"/>
      <c r="G4" s="176"/>
      <c r="M4" s="1" t="s">
        <v>321</v>
      </c>
    </row>
    <row r="5" spans="1:13" x14ac:dyDescent="0.35">
      <c r="A5" s="133" t="s">
        <v>39</v>
      </c>
      <c r="B5" s="133"/>
      <c r="C5" s="177" t="s">
        <v>217</v>
      </c>
      <c r="D5" s="178"/>
      <c r="E5" s="178"/>
      <c r="F5" s="178"/>
      <c r="G5" s="178"/>
      <c r="M5" t="s">
        <v>322</v>
      </c>
    </row>
    <row r="6" spans="1:13" x14ac:dyDescent="0.35">
      <c r="A6" s="133" t="s">
        <v>40</v>
      </c>
      <c r="B6" s="133"/>
      <c r="C6" s="177" t="s">
        <v>218</v>
      </c>
      <c r="D6" s="178"/>
      <c r="E6" s="178"/>
      <c r="F6" s="178"/>
      <c r="G6" s="178"/>
      <c r="M6" t="s">
        <v>327</v>
      </c>
    </row>
    <row r="7" spans="1:13" x14ac:dyDescent="0.35">
      <c r="A7" s="133" t="s">
        <v>41</v>
      </c>
      <c r="B7" s="133"/>
      <c r="C7" s="177" t="s">
        <v>152</v>
      </c>
      <c r="D7" s="178"/>
      <c r="E7" s="178"/>
      <c r="F7" s="178"/>
      <c r="G7" s="178"/>
      <c r="M7" t="s">
        <v>328</v>
      </c>
    </row>
    <row r="8" spans="1:13" x14ac:dyDescent="0.35">
      <c r="A8" s="117" t="s">
        <v>157</v>
      </c>
      <c r="B8" s="117"/>
      <c r="C8" s="179" t="s">
        <v>332</v>
      </c>
      <c r="D8" s="179"/>
      <c r="E8" s="179"/>
      <c r="F8" s="179"/>
      <c r="G8" s="179"/>
    </row>
    <row r="9" spans="1:13" x14ac:dyDescent="0.35">
      <c r="A9" s="137" t="s">
        <v>148</v>
      </c>
      <c r="B9" s="133"/>
      <c r="C9" s="178" t="s">
        <v>219</v>
      </c>
      <c r="D9" s="178"/>
      <c r="E9" s="178"/>
      <c r="F9" s="178"/>
      <c r="G9" s="178"/>
    </row>
    <row r="10" spans="1:13" x14ac:dyDescent="0.35">
      <c r="A10" s="133"/>
      <c r="B10" s="133"/>
      <c r="C10" s="167"/>
      <c r="D10" s="167"/>
      <c r="E10" s="167"/>
      <c r="F10" s="167"/>
      <c r="G10" s="167"/>
    </row>
    <row r="11" spans="1:13" x14ac:dyDescent="0.35">
      <c r="A11" s="16"/>
      <c r="B11" s="2"/>
      <c r="C11"/>
    </row>
    <row r="12" spans="1:13" x14ac:dyDescent="0.35">
      <c r="A12" s="19" t="s">
        <v>45</v>
      </c>
      <c r="B12" s="166" t="s">
        <v>198</v>
      </c>
      <c r="C12" s="166"/>
      <c r="D12" s="166"/>
      <c r="E12" s="166"/>
      <c r="F12" s="166"/>
    </row>
    <row r="13" spans="1:13" x14ac:dyDescent="0.35">
      <c r="B13" s="168" t="s">
        <v>329</v>
      </c>
      <c r="C13" s="169"/>
      <c r="D13" s="169"/>
      <c r="E13" s="169"/>
      <c r="F13" s="169"/>
    </row>
    <row r="14" spans="1:13" x14ac:dyDescent="0.35">
      <c r="B14" s="170" t="s">
        <v>330</v>
      </c>
      <c r="C14" s="171"/>
      <c r="D14" s="171"/>
      <c r="E14" s="171"/>
      <c r="F14" s="171"/>
    </row>
    <row r="15" spans="1:13" x14ac:dyDescent="0.35">
      <c r="B15" s="172" t="s">
        <v>46</v>
      </c>
      <c r="C15" s="172"/>
      <c r="D15" s="172"/>
      <c r="E15" s="172"/>
      <c r="F15" s="172"/>
    </row>
    <row r="17" spans="1:14" x14ac:dyDescent="0.35">
      <c r="A17" s="1" t="s">
        <v>53</v>
      </c>
      <c r="D17" s="166" t="s">
        <v>154</v>
      </c>
      <c r="E17" s="166"/>
      <c r="F17" s="166"/>
      <c r="G17" s="166"/>
    </row>
    <row r="19" spans="1:14" x14ac:dyDescent="0.35">
      <c r="A19" s="1" t="s">
        <v>32</v>
      </c>
      <c r="B19" s="1" t="s">
        <v>110</v>
      </c>
      <c r="C19" s="13" t="s">
        <v>111</v>
      </c>
    </row>
    <row r="20" spans="1:14" x14ac:dyDescent="0.35">
      <c r="A20" t="s">
        <v>109</v>
      </c>
      <c r="B20" s="140">
        <v>5.73</v>
      </c>
      <c r="C20" s="140">
        <v>6</v>
      </c>
      <c r="D20" s="23" t="s">
        <v>112</v>
      </c>
    </row>
    <row r="21" spans="1:14" x14ac:dyDescent="0.35">
      <c r="A21" t="s">
        <v>141</v>
      </c>
      <c r="B21" s="140">
        <v>11</v>
      </c>
      <c r="C21" s="140">
        <v>10.1</v>
      </c>
      <c r="D21" s="11" t="s">
        <v>34</v>
      </c>
    </row>
    <row r="22" spans="1:14" x14ac:dyDescent="0.35">
      <c r="A22" t="s">
        <v>189</v>
      </c>
      <c r="B22" s="62">
        <v>3525</v>
      </c>
      <c r="C22" s="62">
        <v>1020</v>
      </c>
      <c r="D22" s="11"/>
    </row>
    <row r="23" spans="1:14" x14ac:dyDescent="0.35">
      <c r="A23" t="s">
        <v>175</v>
      </c>
      <c r="B23" s="140">
        <f>VLOOKUP(B22,'Powell-Elevation-Area'!$A$5:$B$689,2)/1000000</f>
        <v>5.9265762500000001</v>
      </c>
      <c r="C23" s="140">
        <f>VLOOKUP(C22,'Mead-Elevation-Area'!$A$5:$B$689,2)/1000000</f>
        <v>5.664593</v>
      </c>
      <c r="D23" s="11"/>
      <c r="E23" s="45"/>
    </row>
    <row r="25" spans="1:14" s="1" customFormat="1" x14ac:dyDescent="0.35">
      <c r="A25" s="146" t="s">
        <v>35</v>
      </c>
      <c r="B25" s="147" t="s">
        <v>48</v>
      </c>
      <c r="C25" s="147" t="s">
        <v>5</v>
      </c>
      <c r="D25" s="147" t="s">
        <v>6</v>
      </c>
      <c r="E25" s="147" t="s">
        <v>7</v>
      </c>
      <c r="F25" s="147" t="s">
        <v>8</v>
      </c>
      <c r="G25" s="147" t="s">
        <v>9</v>
      </c>
      <c r="H25" s="147" t="s">
        <v>10</v>
      </c>
      <c r="I25" s="147" t="s">
        <v>11</v>
      </c>
      <c r="J25" s="147" t="s">
        <v>12</v>
      </c>
      <c r="K25" s="147" t="s">
        <v>36</v>
      </c>
      <c r="L25" s="147" t="s">
        <v>37</v>
      </c>
      <c r="M25" s="147" t="s">
        <v>107</v>
      </c>
      <c r="N25" s="147" t="s">
        <v>172</v>
      </c>
    </row>
    <row r="26" spans="1:14" x14ac:dyDescent="0.35">
      <c r="A26" s="1" t="s">
        <v>44</v>
      </c>
      <c r="B26" s="1"/>
      <c r="C26" s="141">
        <v>12.4</v>
      </c>
      <c r="D26" s="141">
        <v>12.4</v>
      </c>
      <c r="E26" s="141">
        <v>12.4</v>
      </c>
      <c r="F26" s="141">
        <v>12.4</v>
      </c>
      <c r="G26" s="141">
        <v>12.4</v>
      </c>
      <c r="H26" s="141">
        <v>12.4</v>
      </c>
      <c r="I26" s="141">
        <v>14.4</v>
      </c>
      <c r="J26" s="141">
        <v>14.4</v>
      </c>
      <c r="K26" s="141">
        <v>14.4</v>
      </c>
      <c r="L26" s="141">
        <v>14.4</v>
      </c>
    </row>
    <row r="27" spans="1:14" x14ac:dyDescent="0.35">
      <c r="A27" s="1" t="s">
        <v>121</v>
      </c>
      <c r="B27" s="1"/>
      <c r="C27" s="140">
        <f>IF(C$26&lt;&gt;"",0.8,"")</f>
        <v>0.8</v>
      </c>
      <c r="D27" s="140">
        <f t="shared" ref="D27:L27" si="0">IF(D$26&lt;&gt;"",0.8,"")</f>
        <v>0.8</v>
      </c>
      <c r="E27" s="140">
        <f t="shared" si="0"/>
        <v>0.8</v>
      </c>
      <c r="F27" s="140">
        <f t="shared" si="0"/>
        <v>0.8</v>
      </c>
      <c r="G27" s="140">
        <f t="shared" si="0"/>
        <v>0.8</v>
      </c>
      <c r="H27" s="140">
        <f t="shared" si="0"/>
        <v>0.8</v>
      </c>
      <c r="I27" s="140">
        <f t="shared" si="0"/>
        <v>0.8</v>
      </c>
      <c r="J27" s="140">
        <f t="shared" si="0"/>
        <v>0.8</v>
      </c>
      <c r="K27" s="140">
        <f t="shared" si="0"/>
        <v>0.8</v>
      </c>
      <c r="L27" s="140">
        <f t="shared" si="0"/>
        <v>0.8</v>
      </c>
    </row>
    <row r="28" spans="1:14" x14ac:dyDescent="0.35">
      <c r="A28" s="1" t="s">
        <v>305</v>
      </c>
      <c r="B28" s="1"/>
      <c r="C28" s="140">
        <f>IF(C$26&lt;&gt;"",0.6,"")</f>
        <v>0.6</v>
      </c>
      <c r="D28" s="140">
        <f t="shared" ref="D28:L28" si="1">IF(D$26&lt;&gt;"",0.6,"")</f>
        <v>0.6</v>
      </c>
      <c r="E28" s="140">
        <f t="shared" si="1"/>
        <v>0.6</v>
      </c>
      <c r="F28" s="140">
        <f t="shared" si="1"/>
        <v>0.6</v>
      </c>
      <c r="G28" s="140">
        <f t="shared" si="1"/>
        <v>0.6</v>
      </c>
      <c r="H28" s="140">
        <f t="shared" si="1"/>
        <v>0.6</v>
      </c>
      <c r="I28" s="140">
        <f t="shared" si="1"/>
        <v>0.6</v>
      </c>
      <c r="J28" s="140">
        <f t="shared" si="1"/>
        <v>0.6</v>
      </c>
      <c r="K28" s="140">
        <f t="shared" si="1"/>
        <v>0.6</v>
      </c>
      <c r="L28" s="140">
        <f t="shared" si="1"/>
        <v>0.6</v>
      </c>
    </row>
    <row r="29" spans="1:14" x14ac:dyDescent="0.35">
      <c r="A29" s="1" t="s">
        <v>124</v>
      </c>
      <c r="B29" s="114">
        <f>SUM(B30:B35)-SUM(B21:C21)</f>
        <v>0</v>
      </c>
      <c r="C29" s="14">
        <f>IF(C$26&lt;&gt;"",SUM(B21:C21),"")</f>
        <v>21.1</v>
      </c>
      <c r="D29" s="14">
        <f ca="1">IF(D$26&lt;&gt;"",C127,"")</f>
        <v>19.771768986666689</v>
      </c>
      <c r="E29" s="14">
        <f t="shared" ref="E29:L29" ca="1" si="2">IF(E$26&lt;&gt;"",D127,"")</f>
        <v>18.485096677082968</v>
      </c>
      <c r="F29" s="14">
        <f t="shared" ca="1" si="2"/>
        <v>17.64557248875921</v>
      </c>
      <c r="G29" s="14">
        <f t="shared" ca="1" si="2"/>
        <v>16.818007223232012</v>
      </c>
      <c r="H29" s="14">
        <f t="shared" ca="1" si="2"/>
        <v>16.031446810749074</v>
      </c>
      <c r="I29" s="14">
        <f t="shared" ca="1" si="2"/>
        <v>15.364196731471313</v>
      </c>
      <c r="J29" s="14">
        <f t="shared" ca="1" si="2"/>
        <v>17.150261778614144</v>
      </c>
      <c r="K29" s="14">
        <f t="shared" ca="1" si="2"/>
        <v>18.854555983711691</v>
      </c>
      <c r="L29" s="14">
        <f t="shared" ca="1" si="2"/>
        <v>20.503427785401154</v>
      </c>
    </row>
    <row r="30" spans="1:14" x14ac:dyDescent="0.35">
      <c r="A30" t="str">
        <f t="shared" ref="A30:A35" si="3">IF(A5="","","    "&amp;A5&amp;" Balance")</f>
        <v xml:space="preserve">    Upper Basin Balance</v>
      </c>
      <c r="B30" s="115">
        <f>B21-B23</f>
        <v>5.0734237499999999</v>
      </c>
      <c r="C30" s="112">
        <f>IF(OR(C$26="",$A30=""),"",B30)</f>
        <v>5.0734237499999999</v>
      </c>
      <c r="D30" s="14">
        <f ca="1">IF(OR(D$26="",$A30=""),"",C121)</f>
        <v>4.8040452368981788</v>
      </c>
      <c r="E30" s="14">
        <f t="shared" ref="E30:L30" ca="1" si="4">IF(OR(E$26="",$A30=""),"",D121)</f>
        <v>4.5419931728564817</v>
      </c>
      <c r="F30" s="14">
        <f t="shared" ca="1" si="4"/>
        <v>4.3056329509183469</v>
      </c>
      <c r="G30" s="14">
        <f t="shared" ca="1" si="4"/>
        <v>4.0774992917764452</v>
      </c>
      <c r="H30" s="14">
        <f t="shared" ca="1" si="4"/>
        <v>3.8570559854908533</v>
      </c>
      <c r="I30" s="14">
        <f t="shared" ca="1" si="4"/>
        <v>3.6442700686244685</v>
      </c>
      <c r="J30" s="14">
        <f t="shared" ca="1" si="4"/>
        <v>5.4516808887639714</v>
      </c>
      <c r="K30" s="14">
        <f t="shared" ca="1" si="4"/>
        <v>7.1608058802111989</v>
      </c>
      <c r="L30" s="14">
        <f t="shared" ca="1" si="4"/>
        <v>8.7940838188319255</v>
      </c>
      <c r="N30" t="s">
        <v>177</v>
      </c>
    </row>
    <row r="31" spans="1:14" x14ac:dyDescent="0.35">
      <c r="A31" t="str">
        <f t="shared" si="3"/>
        <v xml:space="preserve">    Lower Basin Balance</v>
      </c>
      <c r="B31" s="115">
        <f>C21-C23-B32</f>
        <v>4.2614069999999993</v>
      </c>
      <c r="C31" s="112">
        <f t="shared" ref="C31:C35" si="5">IF(OR(C$26="",$A31=""),"",B31)</f>
        <v>4.2614069999999993</v>
      </c>
      <c r="D31" s="14">
        <f t="shared" ref="D31:L35" ca="1" si="6">IF(OR(D$26="",$A31=""),"",C122)</f>
        <v>3.1954259677352326</v>
      </c>
      <c r="E31" s="14">
        <f t="shared" ca="1" si="6"/>
        <v>2.1790217521941422</v>
      </c>
      <c r="F31" s="14">
        <f t="shared" ca="1" si="6"/>
        <v>1.5839021107246065</v>
      </c>
      <c r="G31" s="14">
        <f t="shared" ca="1" si="6"/>
        <v>1.0074050543230886</v>
      </c>
      <c r="H31" s="14">
        <f t="shared" ca="1" si="6"/>
        <v>0.44799122939848157</v>
      </c>
      <c r="I31" s="14">
        <f t="shared" ca="1" si="6"/>
        <v>0</v>
      </c>
      <c r="J31" s="14">
        <f t="shared" ca="1" si="6"/>
        <v>0</v>
      </c>
      <c r="K31" s="14">
        <f t="shared" ca="1" si="6"/>
        <v>0</v>
      </c>
      <c r="L31" s="14">
        <f t="shared" ca="1" si="6"/>
        <v>0</v>
      </c>
      <c r="N31" t="s">
        <v>174</v>
      </c>
    </row>
    <row r="32" spans="1:14" x14ac:dyDescent="0.35">
      <c r="A32" t="str">
        <f t="shared" si="3"/>
        <v xml:space="preserve">    Mexico Balance</v>
      </c>
      <c r="B32" s="116">
        <v>0.17399999999999999</v>
      </c>
      <c r="C32" s="113">
        <f t="shared" si="5"/>
        <v>0.17399999999999999</v>
      </c>
      <c r="D32" s="52">
        <f t="shared" ca="1" si="6"/>
        <v>0.16557297647772518</v>
      </c>
      <c r="E32" s="52">
        <f t="shared" ca="1" si="6"/>
        <v>0.15735694647678922</v>
      </c>
      <c r="F32" s="52">
        <f t="shared" ca="1" si="6"/>
        <v>0.13331262156070189</v>
      </c>
      <c r="G32" s="52">
        <f t="shared" ca="1" si="6"/>
        <v>0.12637807157692516</v>
      </c>
      <c r="H32" s="14">
        <f t="shared" ca="1" si="6"/>
        <v>0.1196747903041846</v>
      </c>
      <c r="I32" s="14">
        <f t="shared" ca="1" si="6"/>
        <v>9.7201857291289606E-2</v>
      </c>
      <c r="J32" s="14">
        <f t="shared" ca="1" si="6"/>
        <v>9.1856084294618778E-2</v>
      </c>
      <c r="K32" s="14">
        <f t="shared" ca="1" si="6"/>
        <v>8.7025297944937297E-2</v>
      </c>
      <c r="L32" s="14">
        <f t="shared" ca="1" si="6"/>
        <v>6.6619161013673489E-2</v>
      </c>
      <c r="N32" t="s">
        <v>173</v>
      </c>
    </row>
    <row r="33" spans="1:14" x14ac:dyDescent="0.35">
      <c r="A33" t="str">
        <f t="shared" si="3"/>
        <v xml:space="preserve">    Shared, Reserve Balance</v>
      </c>
      <c r="B33" s="115">
        <f>SUM(B23:C23)</f>
        <v>11.59116925</v>
      </c>
      <c r="C33" s="112">
        <f>IF(OR(C$26="",$A33=""),"",B33)</f>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xml:space="preserve">    Colorado River Delta Balance</v>
      </c>
      <c r="B34" s="139">
        <v>0</v>
      </c>
      <c r="C34" s="112">
        <f>IF(OR(C$26="",$A34=""),"",$B34)</f>
        <v>0</v>
      </c>
      <c r="D34" s="112">
        <f t="shared" ref="D34:L34" si="7">IF(OR(D$26="",$A34=""),"",$B34)</f>
        <v>0</v>
      </c>
      <c r="E34" s="112">
        <f t="shared" si="7"/>
        <v>0</v>
      </c>
      <c r="F34" s="112">
        <f t="shared" si="7"/>
        <v>0</v>
      </c>
      <c r="G34" s="112">
        <f t="shared" si="7"/>
        <v>0</v>
      </c>
      <c r="H34" s="112">
        <f t="shared" si="7"/>
        <v>0</v>
      </c>
      <c r="I34" s="112">
        <f t="shared" si="7"/>
        <v>0</v>
      </c>
      <c r="J34" s="112">
        <f t="shared" si="7"/>
        <v>0</v>
      </c>
      <c r="K34" s="112">
        <f t="shared" si="7"/>
        <v>0</v>
      </c>
      <c r="L34" s="112">
        <f t="shared" si="7"/>
        <v>0</v>
      </c>
      <c r="N34" t="s">
        <v>176</v>
      </c>
    </row>
    <row r="35" spans="1:14" x14ac:dyDescent="0.35">
      <c r="A35" t="str">
        <f t="shared" si="3"/>
        <v/>
      </c>
      <c r="B35" s="117"/>
      <c r="C35" s="112"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196</v>
      </c>
      <c r="C36"/>
    </row>
    <row r="37" spans="1:14" x14ac:dyDescent="0.35">
      <c r="A37" t="s">
        <v>113</v>
      </c>
      <c r="C37" s="14">
        <f>IF(C$26&lt;&gt;"",B21,"")</f>
        <v>11</v>
      </c>
      <c r="D37" s="14">
        <f ca="1">IF(D$26&lt;&gt;"",C129,"")</f>
        <v>9.8858844933333447</v>
      </c>
      <c r="E37" s="14">
        <f t="shared" ref="E37:L38" ca="1" si="8">IF(E$26&lt;&gt;"",D129,"")</f>
        <v>9.2425483385414839</v>
      </c>
      <c r="F37" s="14">
        <f t="shared" ca="1" si="8"/>
        <v>8.8227862443796052</v>
      </c>
      <c r="G37" s="14">
        <f t="shared" ca="1" si="8"/>
        <v>8.4090036116160061</v>
      </c>
      <c r="H37" s="14">
        <f t="shared" ca="1" si="8"/>
        <v>8.015723405374537</v>
      </c>
      <c r="I37" s="14">
        <f t="shared" ca="1" si="8"/>
        <v>7.6820983657356567</v>
      </c>
      <c r="J37" s="14">
        <f t="shared" ca="1" si="8"/>
        <v>8.5751308893070721</v>
      </c>
      <c r="K37" s="14">
        <f t="shared" ca="1" si="8"/>
        <v>9.4272779918558456</v>
      </c>
      <c r="L37" s="14">
        <f t="shared" ca="1" si="8"/>
        <v>10.251713892700577</v>
      </c>
    </row>
    <row r="38" spans="1:14" x14ac:dyDescent="0.35">
      <c r="A38" t="s">
        <v>114</v>
      </c>
      <c r="C38" s="14">
        <f>IF(C$26&lt;&gt;"",C21,"")</f>
        <v>10.1</v>
      </c>
      <c r="D38" s="14">
        <f ca="1">IF(D$26&lt;&gt;"",C130,"")</f>
        <v>9.8858844933333447</v>
      </c>
      <c r="E38" s="14">
        <f t="shared" ca="1" si="8"/>
        <v>9.2425483385414839</v>
      </c>
      <c r="F38" s="14">
        <f t="shared" ca="1" si="8"/>
        <v>8.8227862443796052</v>
      </c>
      <c r="G38" s="14">
        <f t="shared" ca="1" si="8"/>
        <v>8.4090036116160061</v>
      </c>
      <c r="H38" s="14">
        <f t="shared" ca="1" si="8"/>
        <v>8.015723405374537</v>
      </c>
      <c r="I38" s="14">
        <f t="shared" ca="1" si="8"/>
        <v>7.6820983657356567</v>
      </c>
      <c r="J38" s="14">
        <f t="shared" ca="1" si="8"/>
        <v>8.5751308893070721</v>
      </c>
      <c r="K38" s="14">
        <f t="shared" ca="1" si="8"/>
        <v>9.4272779918558456</v>
      </c>
      <c r="L38" s="14">
        <f t="shared" ca="1" si="8"/>
        <v>10.251713892700577</v>
      </c>
    </row>
    <row r="39" spans="1:14" x14ac:dyDescent="0.35">
      <c r="A39" s="1" t="s">
        <v>119</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0.90194624699942705</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35">
      <c r="A40" t="str">
        <f t="shared" ref="A40:A45" si="9">IF(A5="","","    "&amp;A5&amp;" Share")</f>
        <v xml:space="preserve">    Upper Basin Share</v>
      </c>
      <c r="B40" s="1"/>
      <c r="C40" s="14">
        <f t="shared" ref="C40:L45" si="10">IF(OR(C$26="",$A40=""),"",C$39*C30/C$29)</f>
        <v>0.24571184643515467</v>
      </c>
      <c r="D40" s="14">
        <f t="shared" ca="1" si="10"/>
        <v>0.23838539737502934</v>
      </c>
      <c r="E40" s="14">
        <f t="shared" ca="1" si="10"/>
        <v>0.23219355527146801</v>
      </c>
      <c r="F40" s="14">
        <f t="shared" ca="1" si="10"/>
        <v>0.22396699247523441</v>
      </c>
      <c r="G40" s="14">
        <f t="shared" ca="1" si="10"/>
        <v>0.21627663961892804</v>
      </c>
      <c r="H40" s="14">
        <f t="shared" ca="1" si="10"/>
        <v>0.20861925019972055</v>
      </c>
      <c r="I40" s="14">
        <f t="shared" ca="1" si="10"/>
        <v>0.20042251319383075</v>
      </c>
      <c r="J40" s="14">
        <f t="shared" ca="1" si="10"/>
        <v>0.28670834188610861</v>
      </c>
      <c r="K40" s="14">
        <f t="shared" ca="1" si="10"/>
        <v>0.36255539471260589</v>
      </c>
      <c r="L40" s="14">
        <f t="shared" ca="1" si="10"/>
        <v>0.42997151857234828</v>
      </c>
    </row>
    <row r="41" spans="1:14" x14ac:dyDescent="0.35">
      <c r="A41" t="str">
        <f t="shared" si="9"/>
        <v xml:space="preserve">    Lower Basin Share</v>
      </c>
      <c r="B41" s="1"/>
      <c r="C41" s="14">
        <f t="shared" si="10"/>
        <v>0.20638492544244763</v>
      </c>
      <c r="D41" s="14">
        <f t="shared" ca="1" si="10"/>
        <v>0.15856280520640656</v>
      </c>
      <c r="E41" s="14">
        <f t="shared" ca="1" si="10"/>
        <v>0.11139488510891446</v>
      </c>
      <c r="F41" s="14">
        <f t="shared" ca="1" si="10"/>
        <v>8.2390161018835353E-2</v>
      </c>
      <c r="G41" s="14">
        <f t="shared" ca="1" si="10"/>
        <v>5.3434265537100366E-2</v>
      </c>
      <c r="H41" s="14">
        <f t="shared" ca="1" si="10"/>
        <v>2.4230810940969127E-2</v>
      </c>
      <c r="I41" s="14">
        <f t="shared" ca="1" si="10"/>
        <v>0</v>
      </c>
      <c r="J41" s="14">
        <f t="shared" ca="1" si="10"/>
        <v>0</v>
      </c>
      <c r="K41" s="14">
        <f t="shared" ca="1" si="10"/>
        <v>0</v>
      </c>
      <c r="L41" s="14">
        <f t="shared" ca="1" si="10"/>
        <v>0</v>
      </c>
    </row>
    <row r="42" spans="1:14" x14ac:dyDescent="0.35">
      <c r="A42" t="str">
        <f t="shared" si="9"/>
        <v xml:space="preserve">    Mexico Share</v>
      </c>
      <c r="B42" s="1"/>
      <c r="C42" s="14">
        <f t="shared" si="10"/>
        <v>8.4270235222746598E-3</v>
      </c>
      <c r="D42" s="14">
        <f t="shared" ca="1" si="10"/>
        <v>8.2160300009359536E-3</v>
      </c>
      <c r="E42" s="14">
        <f t="shared" ca="1" si="10"/>
        <v>8.0443249160872966E-3</v>
      </c>
      <c r="F42" s="14">
        <f t="shared" ca="1" si="10"/>
        <v>6.934549983776757E-3</v>
      </c>
      <c r="G42" s="14">
        <f t="shared" ca="1" si="10"/>
        <v>6.7032812727405092E-3</v>
      </c>
      <c r="H42" s="14">
        <f t="shared" ca="1" si="10"/>
        <v>6.4729330128949414E-3</v>
      </c>
      <c r="I42" s="14">
        <f t="shared" ca="1" si="10"/>
        <v>5.3457729966708053E-3</v>
      </c>
      <c r="J42" s="14">
        <f t="shared" ca="1" si="10"/>
        <v>4.8307863496815494E-3</v>
      </c>
      <c r="K42" s="14">
        <f t="shared" ca="1" si="10"/>
        <v>4.4061369312637065E-3</v>
      </c>
      <c r="L42" s="14">
        <f t="shared" ca="1" si="10"/>
        <v>3.2572286570347539E-3</v>
      </c>
    </row>
    <row r="43" spans="1:14" x14ac:dyDescent="0.35">
      <c r="A43" t="str">
        <f t="shared" si="9"/>
        <v xml:space="preserve">    Shared, Reserve Share</v>
      </c>
      <c r="B43" s="1"/>
      <c r="C43" s="14">
        <f t="shared" si="10"/>
        <v>0.56137388460009618</v>
      </c>
      <c r="D43" s="14">
        <f t="shared" ca="1" si="10"/>
        <v>0.57517474366801769</v>
      </c>
      <c r="E43" s="14">
        <f t="shared" ca="1" si="10"/>
        <v>0.59255808969395352</v>
      </c>
      <c r="F43" s="14">
        <f t="shared" ca="1" si="10"/>
        <v>0.60294022871601494</v>
      </c>
      <c r="G43" s="14">
        <f t="shared" ca="1" si="10"/>
        <v>0.6148128927208395</v>
      </c>
      <c r="H43" s="14">
        <f t="shared" ca="1" si="10"/>
        <v>0.62693957437211578</v>
      </c>
      <c r="I43" s="14">
        <f t="shared" ca="1" si="10"/>
        <v>0.63747505760925061</v>
      </c>
      <c r="J43" s="14">
        <f t="shared" ca="1" si="10"/>
        <v>0.6095890394168354</v>
      </c>
      <c r="K43" s="14">
        <f t="shared" ca="1" si="10"/>
        <v>0.58686703883815161</v>
      </c>
      <c r="L43" s="14">
        <f t="shared" ca="1" si="10"/>
        <v>0.56673017304872475</v>
      </c>
    </row>
    <row r="44" spans="1:14" x14ac:dyDescent="0.35">
      <c r="A44" t="str">
        <f t="shared" si="9"/>
        <v xml:space="preserve">    Colorado River Delta Share</v>
      </c>
      <c r="B44" s="1"/>
      <c r="C44" s="14">
        <f t="shared" si="10"/>
        <v>0</v>
      </c>
      <c r="D44" s="14">
        <f t="shared" ca="1" si="10"/>
        <v>0</v>
      </c>
      <c r="E44" s="14">
        <f t="shared" ca="1" si="10"/>
        <v>0</v>
      </c>
      <c r="F44" s="14">
        <f t="shared" ca="1" si="10"/>
        <v>0</v>
      </c>
      <c r="G44" s="14">
        <f t="shared" ca="1" si="10"/>
        <v>0</v>
      </c>
      <c r="H44" s="14">
        <f t="shared" ca="1" si="10"/>
        <v>0</v>
      </c>
      <c r="I44" s="14">
        <f t="shared" ca="1" si="10"/>
        <v>0</v>
      </c>
      <c r="J44" s="14">
        <f t="shared" ca="1" si="10"/>
        <v>0</v>
      </c>
      <c r="K44" s="14">
        <f t="shared" ca="1" si="10"/>
        <v>0</v>
      </c>
      <c r="L44" s="14">
        <f t="shared" ca="1" si="10"/>
        <v>0</v>
      </c>
    </row>
    <row r="45" spans="1:14" x14ac:dyDescent="0.35">
      <c r="A45" t="str">
        <f t="shared" si="9"/>
        <v/>
      </c>
      <c r="B45" s="1"/>
      <c r="C45" s="14" t="str">
        <f t="shared" si="10"/>
        <v/>
      </c>
      <c r="D45" s="14" t="str">
        <f t="shared" si="10"/>
        <v/>
      </c>
      <c r="E45" s="14" t="str">
        <f t="shared" si="10"/>
        <v/>
      </c>
      <c r="F45" s="14" t="str">
        <f t="shared" si="10"/>
        <v/>
      </c>
      <c r="G45" s="14" t="str">
        <f t="shared" si="10"/>
        <v/>
      </c>
      <c r="H45" s="14" t="str">
        <f t="shared" si="10"/>
        <v/>
      </c>
      <c r="I45" s="14" t="str">
        <f t="shared" si="10"/>
        <v/>
      </c>
      <c r="J45" s="14" t="str">
        <f t="shared" si="10"/>
        <v/>
      </c>
      <c r="K45" s="14" t="str">
        <f t="shared" si="10"/>
        <v/>
      </c>
      <c r="L45" s="14" t="str">
        <f t="shared" si="10"/>
        <v/>
      </c>
    </row>
    <row r="46" spans="1:14" x14ac:dyDescent="0.35">
      <c r="A46" s="1" t="s">
        <v>259</v>
      </c>
      <c r="B46" s="75"/>
      <c r="C46" s="49">
        <f>IF(C$26&lt;&gt;"",1.5-0.21/9/2-VLOOKUP(C38,LowerBasinCuts!$C$5:$P$13,13),"")</f>
        <v>1.4473333333333334</v>
      </c>
      <c r="D46" s="49">
        <f ca="1">IF(D$26&lt;&gt;"",1.5-0.21/9/2-VLOOKUP(D38,LowerBasinCuts!$C$5:$P$13,13),"")</f>
        <v>1.4473333333333334</v>
      </c>
      <c r="E46" s="49">
        <f ca="1">IF(E$26&lt;&gt;"",1.5-0.21/9/2-VLOOKUP(E38,LowerBasinCuts!$C$5:$P$13,13),"")</f>
        <v>1.4083333333333332</v>
      </c>
      <c r="F46" s="49">
        <f ca="1">IF(F$26&lt;&gt;"",1.5-0.21/9/2-VLOOKUP(F38,LowerBasinCuts!$C$5:$P$13,13),"")</f>
        <v>1.4083333333333332</v>
      </c>
      <c r="G46" s="49">
        <f ca="1">IF(G$26&lt;&gt;"",1.5-0.21/9/2-VLOOKUP(G38,LowerBasinCuts!$C$5:$P$13,13),"")</f>
        <v>1.4083333333333332</v>
      </c>
      <c r="H46" s="49">
        <f ca="1">IF(H$26&lt;&gt;"",1.5-0.21/9/2-VLOOKUP(H38,LowerBasinCuts!$C$5:$P$13,13),"")</f>
        <v>1.4083333333333332</v>
      </c>
      <c r="I46" s="49">
        <f ca="1">IF(I$26&lt;&gt;"",1.5-0.21/9/2-VLOOKUP(I38,LowerBasinCuts!$C$5:$P$13,13),"")</f>
        <v>1.3843333333333332</v>
      </c>
      <c r="J46" s="49">
        <f ca="1">IF(J$26&lt;&gt;"",1.5-0.21/9/2-VLOOKUP(J38,LowerBasinCuts!$C$5:$P$13,13),"")</f>
        <v>1.4083333333333332</v>
      </c>
      <c r="K46" s="49">
        <f ca="1">IF(K$26&lt;&gt;"",1.5-0.21/9/2-VLOOKUP(K38,LowerBasinCuts!$C$5:$P$13,13),"")</f>
        <v>1.4083333333333332</v>
      </c>
      <c r="L46" s="49">
        <f ca="1">IF(L$26&lt;&gt;"",1.5-0.21/9/2-VLOOKUP(L38,LowerBasinCuts!$C$5:$P$13,13),"")</f>
        <v>1.4473333333333334</v>
      </c>
    </row>
    <row r="47" spans="1:14" x14ac:dyDescent="0.35">
      <c r="A47" s="1" t="s">
        <v>306</v>
      </c>
      <c r="B47" s="1"/>
      <c r="C47" s="51">
        <f>IF(C26="","",SUM(C26:C27)-C28)</f>
        <v>12.600000000000001</v>
      </c>
      <c r="D47" s="51">
        <f t="shared" ref="D47:L47" si="11">IF(D26="","",SUM(D26:D27)-D28)</f>
        <v>12.600000000000001</v>
      </c>
      <c r="E47" s="14">
        <f t="shared" si="11"/>
        <v>12.600000000000001</v>
      </c>
      <c r="F47" s="51">
        <f t="shared" si="11"/>
        <v>12.600000000000001</v>
      </c>
      <c r="G47" s="51">
        <f t="shared" si="11"/>
        <v>12.600000000000001</v>
      </c>
      <c r="H47" s="51">
        <f t="shared" si="11"/>
        <v>12.600000000000001</v>
      </c>
      <c r="I47" s="51">
        <f t="shared" si="11"/>
        <v>14.600000000000001</v>
      </c>
      <c r="J47" s="51">
        <f t="shared" si="11"/>
        <v>14.600000000000001</v>
      </c>
      <c r="K47" s="51">
        <f t="shared" si="11"/>
        <v>14.600000000000001</v>
      </c>
      <c r="L47" s="51">
        <f t="shared" si="11"/>
        <v>14.600000000000001</v>
      </c>
      <c r="M47" s="45"/>
      <c r="N47" s="45"/>
    </row>
    <row r="48" spans="1:14" x14ac:dyDescent="0.35">
      <c r="A48" t="str">
        <f t="shared" ref="A48:A53" si="12">IF(A5="","","    To "&amp;A5)</f>
        <v xml:space="preserve">    To Upper Basin</v>
      </c>
      <c r="B48" s="138" t="s">
        <v>147</v>
      </c>
      <c r="C48" s="112">
        <f>IF(OR(C$26="",$A48=""),"",IF(C$26&gt;SUM(MIN($B49,C26-C50/2)+C50/2),C$26-SUM(MIN($B49,C26-C50/2)+C50/2),0))</f>
        <v>4.1763333333333339</v>
      </c>
      <c r="D48" s="112">
        <f t="shared" ref="D48:L48" ca="1" si="13">IF(OR(D$26="",$A48=""),"",IF(D$26&gt;SUM(MIN($B49,D26-D50/2)+D50/2),D$26-SUM(MIN($B49,D26-D50/2)+D50/2),0))</f>
        <v>4.1763333333333339</v>
      </c>
      <c r="E48" s="112">
        <f t="shared" ca="1" si="13"/>
        <v>4.1958333333333346</v>
      </c>
      <c r="F48" s="112">
        <f t="shared" ca="1" si="13"/>
        <v>4.1958333333333346</v>
      </c>
      <c r="G48" s="112">
        <f t="shared" ca="1" si="13"/>
        <v>4.1958333333333346</v>
      </c>
      <c r="H48" s="112">
        <f t="shared" ca="1" si="13"/>
        <v>4.1958333333333346</v>
      </c>
      <c r="I48" s="112">
        <f t="shared" ca="1" si="13"/>
        <v>6.2078333333333333</v>
      </c>
      <c r="J48" s="112">
        <f t="shared" ca="1" si="13"/>
        <v>6.1958333333333346</v>
      </c>
      <c r="K48" s="112">
        <f t="shared" ca="1" si="13"/>
        <v>6.1958333333333346</v>
      </c>
      <c r="L48" s="112">
        <f t="shared" ca="1" si="13"/>
        <v>6.1763333333333339</v>
      </c>
      <c r="M48" s="29"/>
      <c r="N48" s="29"/>
    </row>
    <row r="49" spans="1:14" x14ac:dyDescent="0.35">
      <c r="A49" t="str">
        <f t="shared" si="12"/>
        <v xml:space="preserve">    To Lower Basin</v>
      </c>
      <c r="B49" s="139">
        <f>7.5</f>
        <v>7.5</v>
      </c>
      <c r="C49" s="112">
        <f>IF(OR(C$26="",$A49=""),"",C27-C28-C51-C50/2-C52+MIN($B49,C26-C50/2))</f>
        <v>6.3994038931776815</v>
      </c>
      <c r="D49" s="112">
        <f t="shared" ref="D49:L49" ca="1" si="14">IF(OR(D$26="",$A49=""),"",D27-D28-D51-D50/2+MIN($B49,D26-D50/2))</f>
        <v>6.4011585896653163</v>
      </c>
      <c r="E49" s="112">
        <f t="shared" ca="1" si="14"/>
        <v>6.4032752436393796</v>
      </c>
      <c r="F49" s="112">
        <f t="shared" ca="1" si="14"/>
        <v>6.3928931046173183</v>
      </c>
      <c r="G49" s="112">
        <f t="shared" ca="1" si="14"/>
        <v>6.3810204406124935</v>
      </c>
      <c r="H49" s="112">
        <f t="shared" ca="1" si="14"/>
        <v>6.3688937589612173</v>
      </c>
      <c r="I49" s="112">
        <f t="shared" ca="1" si="14"/>
        <v>6.3703582757240831</v>
      </c>
      <c r="J49" s="112">
        <f t="shared" ca="1" si="14"/>
        <v>6.3862442939164978</v>
      </c>
      <c r="K49" s="112">
        <f t="shared" ca="1" si="14"/>
        <v>6.4089662944951815</v>
      </c>
      <c r="L49" s="112">
        <f t="shared" ca="1" si="14"/>
        <v>6.4096031602846084</v>
      </c>
      <c r="M49" s="29"/>
      <c r="N49" s="29"/>
    </row>
    <row r="50" spans="1:14" x14ac:dyDescent="0.35">
      <c r="A50" t="str">
        <f t="shared" si="12"/>
        <v xml:space="preserve">    To Mexico</v>
      </c>
      <c r="B50" s="139" t="s">
        <v>185</v>
      </c>
      <c r="C50" s="112">
        <f>IF(OR(C$26="",$A50=""),"",IF(C$47&gt;SUM(C51:C52,C46),C46,C$47-SUM(C51:C52)))</f>
        <v>1.4473333333333334</v>
      </c>
      <c r="D50" s="112">
        <f t="shared" ref="D50:L50" ca="1" si="15">IF(OR(D$26="",$A50=""),"",IF(D$47&gt;SUM(D51:D52,D46),D46,D$47-SUM(D51:D52)))</f>
        <v>1.4473333333333334</v>
      </c>
      <c r="E50" s="112">
        <f t="shared" ca="1" si="15"/>
        <v>1.4083333333333332</v>
      </c>
      <c r="F50" s="112">
        <f t="shared" ca="1" si="15"/>
        <v>1.4083333333333332</v>
      </c>
      <c r="G50" s="112">
        <f t="shared" ca="1" si="15"/>
        <v>1.4083333333333332</v>
      </c>
      <c r="H50" s="112">
        <f t="shared" ca="1" si="15"/>
        <v>1.4083333333333332</v>
      </c>
      <c r="I50" s="112">
        <f t="shared" ca="1" si="15"/>
        <v>1.3843333333333332</v>
      </c>
      <c r="J50" s="112">
        <f t="shared" ca="1" si="15"/>
        <v>1.4083333333333332</v>
      </c>
      <c r="K50" s="112">
        <f t="shared" ca="1" si="15"/>
        <v>1.4083333333333332</v>
      </c>
      <c r="L50" s="112">
        <f t="shared" ca="1" si="15"/>
        <v>1.4473333333333334</v>
      </c>
      <c r="M50" s="29"/>
      <c r="N50" s="29"/>
    </row>
    <row r="51" spans="1:14" x14ac:dyDescent="0.35">
      <c r="A51" t="str">
        <f t="shared" si="12"/>
        <v xml:space="preserve">    To Shared, Reserve</v>
      </c>
      <c r="B51" s="139" t="s">
        <v>184</v>
      </c>
      <c r="C51" s="112">
        <f>IF(OR(C$26="",$A51=""),"",IF(C$47&gt;C43+C52,C43,C47-C52))</f>
        <v>0.56137388460009618</v>
      </c>
      <c r="D51" s="112">
        <f t="shared" ref="D51:K51" ca="1" si="16">IF(OR(D$26="",$A51=""),"",IF(D$47&gt;D43+D52,D43,D47-D52))</f>
        <v>0.57517474366801769</v>
      </c>
      <c r="E51" s="112">
        <f t="shared" ca="1" si="16"/>
        <v>0.59255808969395352</v>
      </c>
      <c r="F51" s="112">
        <f t="shared" ca="1" si="16"/>
        <v>0.60294022871601494</v>
      </c>
      <c r="G51" s="112">
        <f t="shared" ca="1" si="16"/>
        <v>0.6148128927208395</v>
      </c>
      <c r="H51" s="112">
        <f t="shared" ca="1" si="16"/>
        <v>0.62693957437211578</v>
      </c>
      <c r="I51" s="112">
        <f t="shared" ca="1" si="16"/>
        <v>0.63747505760925061</v>
      </c>
      <c r="J51" s="112">
        <f t="shared" ca="1" si="16"/>
        <v>0.6095890394168354</v>
      </c>
      <c r="K51" s="112">
        <f t="shared" ca="1" si="16"/>
        <v>0.58686703883815161</v>
      </c>
      <c r="L51" s="112">
        <f ca="1">IF(OR(L$26="",$A51=""),"",IF(L$47&gt;L43+L52,L43,L47-L52))</f>
        <v>0.56673017304872475</v>
      </c>
      <c r="M51" s="29"/>
      <c r="N51" s="29"/>
    </row>
    <row r="52" spans="1:14" x14ac:dyDescent="0.35">
      <c r="A52" t="str">
        <f t="shared" si="12"/>
        <v xml:space="preserve">    To Colorado River Delta</v>
      </c>
      <c r="B52" s="148">
        <f>0.21/9*(2/3)</f>
        <v>1.5555555555555553E-2</v>
      </c>
      <c r="C52" s="149">
        <f>IF(OR(C$26="",$A52=""),"",IF(C$47&gt;$B52,$B52,C47-$B52))</f>
        <v>1.5555555555555553E-2</v>
      </c>
      <c r="D52" s="149">
        <f t="shared" ref="D52:L52" si="17">IF(OR(D$26="",$A52=""),"",IF(D$47&gt;$B52,$B52,D47-$B52))</f>
        <v>1.5555555555555553E-2</v>
      </c>
      <c r="E52" s="149">
        <f t="shared" si="17"/>
        <v>1.5555555555555553E-2</v>
      </c>
      <c r="F52" s="149">
        <f t="shared" si="17"/>
        <v>1.5555555555555553E-2</v>
      </c>
      <c r="G52" s="149">
        <f t="shared" si="17"/>
        <v>1.5555555555555553E-2</v>
      </c>
      <c r="H52" s="149">
        <f t="shared" si="17"/>
        <v>1.5555555555555553E-2</v>
      </c>
      <c r="I52" s="149">
        <f t="shared" si="17"/>
        <v>1.5555555555555553E-2</v>
      </c>
      <c r="J52" s="149">
        <f t="shared" si="17"/>
        <v>1.5555555555555553E-2</v>
      </c>
      <c r="K52" s="149">
        <f t="shared" si="17"/>
        <v>1.5555555555555553E-2</v>
      </c>
      <c r="L52" s="149">
        <f t="shared" si="17"/>
        <v>1.5555555555555553E-2</v>
      </c>
      <c r="M52" s="29"/>
      <c r="N52" s="29"/>
    </row>
    <row r="53" spans="1:14" x14ac:dyDescent="0.35">
      <c r="A53" t="str">
        <f t="shared" si="12"/>
        <v/>
      </c>
      <c r="B53" s="139"/>
      <c r="C53" s="113"/>
      <c r="D53" s="113"/>
      <c r="E53" s="113"/>
      <c r="F53" s="113"/>
      <c r="G53" s="113"/>
      <c r="H53" s="113"/>
      <c r="I53" s="113"/>
      <c r="J53" s="113"/>
      <c r="K53" s="113"/>
      <c r="L53" s="113"/>
      <c r="M53" s="29"/>
      <c r="N53" s="29"/>
    </row>
    <row r="54" spans="1:14" x14ac:dyDescent="0.35">
      <c r="C54" s="150"/>
      <c r="D54" s="45"/>
      <c r="E54" s="45"/>
      <c r="F54" s="45"/>
      <c r="G54" s="45"/>
    </row>
    <row r="55" spans="1:14" x14ac:dyDescent="0.35">
      <c r="A55" s="142" t="s">
        <v>181</v>
      </c>
      <c r="B55" s="142"/>
      <c r="C55" s="142"/>
      <c r="D55" s="142"/>
      <c r="E55" s="142"/>
      <c r="F55" s="142"/>
      <c r="G55" s="142"/>
      <c r="H55" s="142"/>
      <c r="I55" s="142"/>
      <c r="J55" s="142"/>
      <c r="K55" s="142"/>
      <c r="L55" s="142"/>
      <c r="M55" s="142"/>
      <c r="N55" s="142"/>
    </row>
    <row r="56" spans="1:14" x14ac:dyDescent="0.35">
      <c r="A56" s="143" t="str">
        <f>IF(A$5="[Unused]","",A5)</f>
        <v>Upper Basin</v>
      </c>
      <c r="B56" s="143"/>
      <c r="C56" s="143"/>
      <c r="D56" s="143"/>
      <c r="E56" s="143"/>
      <c r="F56" s="143"/>
      <c r="G56" s="143"/>
      <c r="H56" s="143"/>
      <c r="I56" s="143"/>
      <c r="J56" s="143"/>
      <c r="K56" s="143"/>
      <c r="L56" s="143"/>
      <c r="M56" s="144" t="s">
        <v>107</v>
      </c>
      <c r="N56" s="143" t="s">
        <v>172</v>
      </c>
    </row>
    <row r="57" spans="1:14" x14ac:dyDescent="0.35">
      <c r="A57" s="32" t="str">
        <f>IF(A56="[Unused]","","   Volume of Sales(+) and Purchases(-) [maf]")</f>
        <v xml:space="preserve">   Volume of Sales(+) and Purchases(-) [maf]</v>
      </c>
      <c r="C57" s="134"/>
      <c r="D57" s="134"/>
      <c r="E57" s="134"/>
      <c r="F57" s="134"/>
      <c r="G57" s="134"/>
      <c r="H57" s="134"/>
      <c r="I57" s="134"/>
      <c r="J57" s="134"/>
      <c r="K57" s="134"/>
      <c r="L57" s="134"/>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35"/>
      <c r="D58" s="135"/>
      <c r="E58" s="135"/>
      <c r="F58" s="134"/>
      <c r="G58" s="135"/>
      <c r="H58" s="135"/>
      <c r="I58" s="135"/>
      <c r="J58" s="135"/>
      <c r="K58" s="135"/>
      <c r="L58" s="135"/>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18">IF(OR(C$26="",$A59=""),"",C$112)</f>
        <v>0</v>
      </c>
      <c r="D59" s="67">
        <f t="shared" ca="1" si="18"/>
        <v>0</v>
      </c>
      <c r="E59" s="67">
        <f t="shared" ca="1" si="18"/>
        <v>0</v>
      </c>
      <c r="F59" s="67">
        <f t="shared" ca="1" si="18"/>
        <v>0</v>
      </c>
      <c r="G59" s="67">
        <f t="shared" ca="1" si="18"/>
        <v>0</v>
      </c>
      <c r="H59" s="67">
        <f t="shared" ca="1" si="18"/>
        <v>0</v>
      </c>
      <c r="I59" s="67">
        <f t="shared" ca="1" si="18"/>
        <v>0</v>
      </c>
      <c r="J59" s="67">
        <f t="shared" ca="1" si="18"/>
        <v>0</v>
      </c>
      <c r="K59" s="67">
        <f t="shared" ca="1" si="18"/>
        <v>0</v>
      </c>
      <c r="L59" s="67">
        <f t="shared" ca="1" si="18"/>
        <v>0</v>
      </c>
      <c r="M59" t="str">
        <f t="shared" si="18"/>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19">IF(OR(D$26="",$A60=""),"",D30+D48-D40-D57)</f>
        <v>8.7419931728564819</v>
      </c>
      <c r="E60" s="14">
        <f t="shared" ca="1" si="19"/>
        <v>8.505632950918347</v>
      </c>
      <c r="F60" s="14">
        <f t="shared" ca="1" si="19"/>
        <v>8.2774992917764454</v>
      </c>
      <c r="G60" s="14">
        <f t="shared" ca="1" si="19"/>
        <v>8.0570559854908534</v>
      </c>
      <c r="H60" s="14">
        <f t="shared" ca="1" si="19"/>
        <v>7.8442700686244686</v>
      </c>
      <c r="I60" s="14">
        <f t="shared" ca="1" si="19"/>
        <v>9.6516808887639716</v>
      </c>
      <c r="J60" s="14">
        <f t="shared" ca="1" si="19"/>
        <v>11.360805880211199</v>
      </c>
      <c r="K60" s="14">
        <f t="shared" ca="1" si="19"/>
        <v>12.994083818831927</v>
      </c>
      <c r="L60" s="14">
        <f t="shared" ca="1" si="19"/>
        <v>14.540445633592912</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36">
        <f>IF(C60&gt;4.2,4.2,MAX(C60,0))</f>
        <v>4.2</v>
      </c>
      <c r="D61" s="136">
        <f t="shared" ref="D61:L61" ca="1" si="20">IF(D60&gt;4.2,4.2,MAX(D60,0))</f>
        <v>4.2</v>
      </c>
      <c r="E61" s="136">
        <f t="shared" ca="1" si="20"/>
        <v>4.2</v>
      </c>
      <c r="F61" s="136">
        <f t="shared" ca="1" si="20"/>
        <v>4.2</v>
      </c>
      <c r="G61" s="136">
        <f t="shared" ca="1" si="20"/>
        <v>4.2</v>
      </c>
      <c r="H61" s="136">
        <f t="shared" ca="1" si="20"/>
        <v>4.2</v>
      </c>
      <c r="I61" s="136">
        <f t="shared" ca="1" si="20"/>
        <v>4.2</v>
      </c>
      <c r="J61" s="136">
        <f t="shared" ca="1" si="20"/>
        <v>4.2</v>
      </c>
      <c r="K61" s="136">
        <f t="shared" ca="1" si="20"/>
        <v>4.2</v>
      </c>
      <c r="L61" s="136">
        <f t="shared" ca="1" si="20"/>
        <v>4.2</v>
      </c>
      <c r="N61" t="str">
        <f>IF(A61="","","Must be less than Available water")</f>
        <v>Must be less than Available water</v>
      </c>
    </row>
    <row r="62" spans="1:14" x14ac:dyDescent="0.35">
      <c r="A62" s="32" t="str">
        <f>IF(A61="","","   End of Year Balance [maf]")</f>
        <v xml:space="preserve">   End of Year Balance [maf]</v>
      </c>
      <c r="C62" s="66">
        <f>IF(OR(C$26="",$A62=""),"",C60-C61)</f>
        <v>4.8040452368981788</v>
      </c>
      <c r="D62" s="66">
        <f t="shared" ref="D62:L62" ca="1" si="21">IF(OR(D$26="",$A62=""),"",D60-D61)</f>
        <v>4.5419931728564817</v>
      </c>
      <c r="E62" s="66">
        <f t="shared" ca="1" si="21"/>
        <v>4.3056329509183469</v>
      </c>
      <c r="F62" s="66">
        <f t="shared" ca="1" si="21"/>
        <v>4.0774992917764452</v>
      </c>
      <c r="G62" s="66">
        <f t="shared" ca="1" si="21"/>
        <v>3.8570559854908533</v>
      </c>
      <c r="H62" s="66">
        <f t="shared" ca="1" si="21"/>
        <v>3.6442700686244685</v>
      </c>
      <c r="I62" s="66">
        <f t="shared" ca="1" si="21"/>
        <v>5.4516808887639714</v>
      </c>
      <c r="J62" s="66">
        <f t="shared" ca="1" si="21"/>
        <v>7.1608058802111989</v>
      </c>
      <c r="K62" s="66">
        <f t="shared" ca="1" si="21"/>
        <v>8.7940838188319255</v>
      </c>
      <c r="L62" s="66">
        <f t="shared" ca="1" si="21"/>
        <v>10.34044563359291</v>
      </c>
      <c r="N62" t="str">
        <f>IF(A62="","","Available water - Account Withdraw")</f>
        <v>Available water - Account Withdraw</v>
      </c>
    </row>
    <row r="63" spans="1:14" x14ac:dyDescent="0.35">
      <c r="C63"/>
    </row>
    <row r="64" spans="1:14" x14ac:dyDescent="0.35">
      <c r="A64" s="143" t="str">
        <f>IF(A$6="","[Unused]",A6)</f>
        <v>Lower Basin</v>
      </c>
      <c r="B64" s="143"/>
      <c r="C64" s="143"/>
      <c r="D64" s="143"/>
      <c r="E64" s="143"/>
      <c r="F64" s="143"/>
      <c r="G64" s="143"/>
      <c r="H64" s="143"/>
      <c r="I64" s="143"/>
      <c r="J64" s="143"/>
      <c r="K64" s="143"/>
      <c r="L64" s="143"/>
      <c r="M64" s="144" t="s">
        <v>107</v>
      </c>
      <c r="N64" s="143" t="s">
        <v>172</v>
      </c>
    </row>
    <row r="65" spans="1:14" x14ac:dyDescent="0.35">
      <c r="A65" s="32" t="str">
        <f>IF(A64="[Unused]","","   Volume of Sales(+) and Purchases(-) [maf]")</f>
        <v xml:space="preserve">   Volume of Sales(+) and Purchases(-) [maf]</v>
      </c>
      <c r="C65" s="134"/>
      <c r="D65" s="134"/>
      <c r="E65" s="134"/>
      <c r="F65" s="134"/>
      <c r="G65" s="134"/>
      <c r="H65" s="134"/>
      <c r="I65" s="134"/>
      <c r="J65" s="134"/>
      <c r="K65" s="134">
        <v>0.02</v>
      </c>
      <c r="L65" s="134"/>
      <c r="M65" s="67">
        <f>SUM(C65:L65)</f>
        <v>0.02</v>
      </c>
      <c r="N65" t="str">
        <f>IF(A65="","",N57)</f>
        <v>Add if multiple transactions, e.g.: 0.5 + 0.25</v>
      </c>
    </row>
    <row r="66" spans="1:14" x14ac:dyDescent="0.35">
      <c r="A66" s="32" t="str">
        <f>IF(A65="","","   Cash Intake(+) and Payments(-) [$ Mill]")</f>
        <v xml:space="preserve">   Cash Intake(+) and Payments(-) [$ Mill]</v>
      </c>
      <c r="C66" s="135"/>
      <c r="D66" s="135"/>
      <c r="E66" s="135"/>
      <c r="F66" s="135"/>
      <c r="G66" s="135"/>
      <c r="H66" s="135"/>
      <c r="I66" s="134"/>
      <c r="J66" s="134"/>
      <c r="K66" s="151">
        <v>7</v>
      </c>
      <c r="L66" s="134"/>
      <c r="M66" s="65">
        <f>SUM(C66:L66)</f>
        <v>7</v>
      </c>
      <c r="N66" t="str">
        <f t="shared" ref="N66:N70" si="22">IF(A66="","",N58)</f>
        <v>Add if multiple transactions, e.g.: $350*0.5 + $450*0.25</v>
      </c>
    </row>
    <row r="67" spans="1:14" x14ac:dyDescent="0.35">
      <c r="A67" s="32" t="str">
        <f>IF(A66="","","   Volume all players (should be zero)")</f>
        <v xml:space="preserve">   Volume all players (should be zero)</v>
      </c>
      <c r="C67" s="67">
        <f t="shared" ref="C67:M67" ca="1" si="23">IF(OR(C$26="",$A67=""),"",C$112)</f>
        <v>0</v>
      </c>
      <c r="D67" s="67">
        <f t="shared" ca="1" si="23"/>
        <v>0</v>
      </c>
      <c r="E67" s="67">
        <f t="shared" ca="1" si="23"/>
        <v>0</v>
      </c>
      <c r="F67" s="67">
        <f t="shared" ca="1" si="23"/>
        <v>0</v>
      </c>
      <c r="G67" s="67">
        <f t="shared" ca="1" si="23"/>
        <v>0</v>
      </c>
      <c r="H67" s="67">
        <f t="shared" ca="1" si="23"/>
        <v>0</v>
      </c>
      <c r="I67" s="67">
        <f t="shared" ca="1" si="23"/>
        <v>0</v>
      </c>
      <c r="J67" s="67">
        <f t="shared" ca="1" si="23"/>
        <v>0</v>
      </c>
      <c r="K67" s="67">
        <f t="shared" ca="1" si="23"/>
        <v>0</v>
      </c>
      <c r="L67" s="67">
        <f t="shared" ca="1" si="23"/>
        <v>0</v>
      </c>
      <c r="M67" t="str">
        <f t="shared" si="23"/>
        <v/>
      </c>
      <c r="N67" t="str">
        <f t="shared" si="22"/>
        <v>If non-zero, players need to change amount(s)</v>
      </c>
    </row>
    <row r="68" spans="1:14" x14ac:dyDescent="0.35">
      <c r="A68" s="1" t="str">
        <f>IF(A66="","","   Available Water [maf]")</f>
        <v xml:space="preserve">   Available Water [maf]</v>
      </c>
      <c r="C68" s="14">
        <f t="shared" ref="C68:L68" si="24">IF(OR(C$26="",$A68=""),"",C31+C49-C41-C65)</f>
        <v>10.454425967735233</v>
      </c>
      <c r="D68" s="14">
        <f t="shared" ca="1" si="24"/>
        <v>9.4380217521941425</v>
      </c>
      <c r="E68" s="14">
        <f t="shared" ca="1" si="24"/>
        <v>8.470902110724607</v>
      </c>
      <c r="F68" s="14">
        <f t="shared" ca="1" si="24"/>
        <v>7.894405054323089</v>
      </c>
      <c r="G68" s="14">
        <f t="shared" ca="1" si="24"/>
        <v>7.334991229398482</v>
      </c>
      <c r="H68" s="14">
        <f t="shared" ca="1" si="24"/>
        <v>6.7926541774187301</v>
      </c>
      <c r="I68" s="14">
        <f t="shared" ca="1" si="24"/>
        <v>6.3703582757240831</v>
      </c>
      <c r="J68" s="14">
        <f t="shared" ca="1" si="24"/>
        <v>6.3862442939164978</v>
      </c>
      <c r="K68" s="14">
        <f t="shared" ca="1" si="24"/>
        <v>6.3889662944951819</v>
      </c>
      <c r="L68" s="14">
        <f t="shared" ca="1" si="24"/>
        <v>6.4096031602846084</v>
      </c>
      <c r="N68" t="str">
        <f t="shared" si="22"/>
        <v>Available water = Account Balance + Available Inflow - Evaporation + Sales - Purchases</v>
      </c>
    </row>
    <row r="69" spans="1:14" x14ac:dyDescent="0.35">
      <c r="A69" s="1" t="str">
        <f>IF(A68="","","   Account Withdraw [maf]")</f>
        <v xml:space="preserve">   Account Withdraw [maf]</v>
      </c>
      <c r="C69" s="136">
        <f>IF(C27&lt;&gt;"",MIN(7.5-VLOOKUP(C38,LowerBasinCuts!$C$5:$P$13,14),C68),"")</f>
        <v>7.2590000000000003</v>
      </c>
      <c r="D69" s="136">
        <f ca="1">IF(D27&lt;&gt;"",MIN(7.5-VLOOKUP(D38,LowerBasinCuts!$C$5:$P$13,14),D68),"")</f>
        <v>7.2590000000000003</v>
      </c>
      <c r="E69" s="136">
        <f ca="1">IF(E27&lt;&gt;"",MIN(7.5-VLOOKUP(E38,LowerBasinCuts!$C$5:$P$13,14),E68),"")</f>
        <v>6.8870000000000005</v>
      </c>
      <c r="F69" s="136">
        <f ca="1">IF(F27&lt;&gt;"",MIN(7.5-VLOOKUP(F38,LowerBasinCuts!$C$5:$P$13,14),F68),"")</f>
        <v>6.8870000000000005</v>
      </c>
      <c r="G69" s="136">
        <f ca="1">IF(G27&lt;&gt;"",MIN(7.5-VLOOKUP(G38,LowerBasinCuts!$C$5:$P$13,14),G68),"")</f>
        <v>6.8870000000000005</v>
      </c>
      <c r="H69" s="136">
        <f ca="1">IF(H27&lt;&gt;"",MIN(7.5-VLOOKUP(H38,LowerBasinCuts!$C$5:$P$13,14),H68),"")</f>
        <v>6.7926541774187301</v>
      </c>
      <c r="I69" s="136">
        <f ca="1">IF(I27&lt;&gt;"",MIN(7.5-VLOOKUP(I38,LowerBasinCuts!$C$5:$P$13,14),I68),"")</f>
        <v>6.3703582757240831</v>
      </c>
      <c r="J69" s="136">
        <f ca="1">IF(J27&lt;&gt;"",MIN(7.5-VLOOKUP(J38,LowerBasinCuts!$C$5:$P$13,14),J68),"")</f>
        <v>6.3862442939164978</v>
      </c>
      <c r="K69" s="136">
        <f ca="1">IF(K27&lt;&gt;"",MIN(7.5-VLOOKUP(K38,LowerBasinCuts!$C$5:$P$13,14),K68),"")</f>
        <v>6.3889662944951819</v>
      </c>
      <c r="L69" s="136">
        <f ca="1">IF(L27&lt;&gt;"",MIN(7.5-VLOOKUP(L38,LowerBasinCuts!$C$5:$P$13,14),L68),"")</f>
        <v>6.4096031602846084</v>
      </c>
      <c r="N69" t="str">
        <f t="shared" si="22"/>
        <v>Must be less than Available water</v>
      </c>
    </row>
    <row r="70" spans="1:14" x14ac:dyDescent="0.35">
      <c r="A70" s="32" t="str">
        <f>IF(A69="","","   End of Year Balance [maf]")</f>
        <v xml:space="preserve">   End of Year Balance [maf]</v>
      </c>
      <c r="C70" s="66">
        <f>IF(OR(C$26="",$A70=""),"",C68-C69)</f>
        <v>3.1954259677352326</v>
      </c>
      <c r="D70" s="66">
        <f t="shared" ref="D70:L70" ca="1" si="25">IF(OR(D$26="",$A70=""),"",D68-D69)</f>
        <v>2.1790217521941422</v>
      </c>
      <c r="E70" s="66">
        <f t="shared" ca="1" si="25"/>
        <v>1.5839021107246065</v>
      </c>
      <c r="F70" s="66">
        <f t="shared" ca="1" si="25"/>
        <v>1.0074050543230886</v>
      </c>
      <c r="G70" s="66">
        <f t="shared" ca="1" si="25"/>
        <v>0.44799122939848157</v>
      </c>
      <c r="H70" s="66">
        <f t="shared" ca="1" si="25"/>
        <v>0</v>
      </c>
      <c r="I70" s="66">
        <f t="shared" ca="1" si="25"/>
        <v>0</v>
      </c>
      <c r="J70" s="66">
        <f t="shared" ca="1" si="25"/>
        <v>0</v>
      </c>
      <c r="K70" s="66">
        <f t="shared" ca="1" si="25"/>
        <v>0</v>
      </c>
      <c r="L70" s="66">
        <f t="shared" ca="1" si="25"/>
        <v>0</v>
      </c>
      <c r="N70" t="str">
        <f t="shared" si="22"/>
        <v>Available water - Account Withdraw</v>
      </c>
    </row>
    <row r="71" spans="1:14" x14ac:dyDescent="0.35">
      <c r="C71"/>
    </row>
    <row r="72" spans="1:14" x14ac:dyDescent="0.35">
      <c r="A72" s="143" t="str">
        <f>IF(A$7="","[Unused]",A7)</f>
        <v>Mexico</v>
      </c>
      <c r="B72" s="143"/>
      <c r="C72" s="143"/>
      <c r="D72" s="143"/>
      <c r="E72" s="143"/>
      <c r="F72" s="143"/>
      <c r="G72" s="143"/>
      <c r="H72" s="143"/>
      <c r="I72" s="143"/>
      <c r="J72" s="143"/>
      <c r="K72" s="143"/>
      <c r="L72" s="143"/>
      <c r="M72" s="144" t="s">
        <v>107</v>
      </c>
      <c r="N72" s="143" t="s">
        <v>172</v>
      </c>
    </row>
    <row r="73" spans="1:14" x14ac:dyDescent="0.35">
      <c r="A73" s="32" t="str">
        <f>IF(A72="[Unused]","","   Volume of Sales(+) and Purchases(-) [maf]")</f>
        <v xml:space="preserve">   Volume of Sales(+) and Purchases(-) [maf]</v>
      </c>
      <c r="C73" s="134"/>
      <c r="D73" s="134"/>
      <c r="E73" s="134">
        <v>1.6E-2</v>
      </c>
      <c r="F73" s="134"/>
      <c r="G73" s="134"/>
      <c r="H73" s="134">
        <v>1.6E-2</v>
      </c>
      <c r="I73" s="134"/>
      <c r="J73" s="134"/>
      <c r="K73" s="134">
        <v>1.6E-2</v>
      </c>
      <c r="L73" s="134"/>
      <c r="M73" s="67">
        <f>SUM(C73:L73)</f>
        <v>4.8000000000000001E-2</v>
      </c>
      <c r="N73" t="str">
        <f>IF(A73="","",N65)</f>
        <v>Add if multiple transactions, e.g.: 0.5 + 0.25</v>
      </c>
    </row>
    <row r="74" spans="1:14" x14ac:dyDescent="0.35">
      <c r="A74" s="32" t="str">
        <f>IF(A73="","","   Cash Intake(+) and Payments(-) [$ Mill]")</f>
        <v xml:space="preserve">   Cash Intake(+) and Payments(-) [$ Mill]</v>
      </c>
      <c r="C74" s="135"/>
      <c r="D74" s="135"/>
      <c r="E74" s="135">
        <v>5.6000000000000005</v>
      </c>
      <c r="F74" s="135"/>
      <c r="G74" s="135"/>
      <c r="H74" s="135">
        <v>5.6000000000000005</v>
      </c>
      <c r="I74" s="135"/>
      <c r="J74" s="135"/>
      <c r="K74" s="135">
        <v>5.6000000000000005</v>
      </c>
      <c r="L74" s="135"/>
      <c r="M74" s="65">
        <f>SUM(C74:L74)</f>
        <v>16.8</v>
      </c>
      <c r="N74" t="str">
        <f t="shared" ref="N74:N78" si="26">IF(A74="","",N66)</f>
        <v>Add if multiple transactions, e.g.: $350*0.5 + $450*0.25</v>
      </c>
    </row>
    <row r="75" spans="1:14" x14ac:dyDescent="0.35">
      <c r="A75" s="32" t="str">
        <f>IF(A74="","","   Volume all players (should be zero)")</f>
        <v xml:space="preserve">   Volume all players (should be zero)</v>
      </c>
      <c r="C75" s="67">
        <f t="shared" ref="C75:M75" ca="1" si="27">IF(OR(C$26="",$A75=""),"",C$112)</f>
        <v>0</v>
      </c>
      <c r="D75" s="67">
        <f t="shared" ca="1" si="27"/>
        <v>0</v>
      </c>
      <c r="E75" s="67">
        <f t="shared" ca="1" si="27"/>
        <v>0</v>
      </c>
      <c r="F75" s="67">
        <f t="shared" ca="1" si="27"/>
        <v>0</v>
      </c>
      <c r="G75" s="67">
        <f t="shared" ca="1" si="27"/>
        <v>0</v>
      </c>
      <c r="H75" s="67">
        <f t="shared" ca="1" si="27"/>
        <v>0</v>
      </c>
      <c r="I75" s="67">
        <f t="shared" ca="1" si="27"/>
        <v>0</v>
      </c>
      <c r="J75" s="67">
        <f t="shared" ca="1" si="27"/>
        <v>0</v>
      </c>
      <c r="K75" s="67">
        <f t="shared" ca="1" si="27"/>
        <v>0</v>
      </c>
      <c r="L75" s="67">
        <f t="shared" ca="1" si="27"/>
        <v>0</v>
      </c>
      <c r="M75" t="str">
        <f t="shared" si="27"/>
        <v/>
      </c>
      <c r="N75" t="str">
        <f t="shared" si="26"/>
        <v>If non-zero, players need to change amount(s)</v>
      </c>
    </row>
    <row r="76" spans="1:14" x14ac:dyDescent="0.35">
      <c r="A76" s="1" t="str">
        <f>IF(A74="","","   Available Water [maf]")</f>
        <v xml:space="preserve">   Available Water [maf]</v>
      </c>
      <c r="C76" s="14">
        <f t="shared" ref="C76:L76" si="28">IF(OR(C$26="",$A76=""),"",C32+C50-C42-C73)</f>
        <v>1.6129063098110585</v>
      </c>
      <c r="D76" s="14">
        <f t="shared" ca="1" si="28"/>
        <v>1.6046902798101226</v>
      </c>
      <c r="E76" s="14">
        <f t="shared" ca="1" si="28"/>
        <v>1.5416459548940351</v>
      </c>
      <c r="F76" s="14">
        <f ca="1">IF(OR(F$26="",$A76=""),"",F32+F50-F42-F73)</f>
        <v>1.5347114049102584</v>
      </c>
      <c r="G76" s="14">
        <f t="shared" ca="1" si="28"/>
        <v>1.5280081236375178</v>
      </c>
      <c r="H76" s="14">
        <f t="shared" ca="1" si="28"/>
        <v>1.5055351906246228</v>
      </c>
      <c r="I76" s="14">
        <f t="shared" ca="1" si="28"/>
        <v>1.476189417627952</v>
      </c>
      <c r="J76" s="14">
        <f t="shared" ca="1" si="28"/>
        <v>1.4953586312782705</v>
      </c>
      <c r="K76" s="14">
        <f t="shared" ca="1" si="28"/>
        <v>1.4749524943470067</v>
      </c>
      <c r="L76" s="14">
        <f t="shared" ca="1" si="28"/>
        <v>1.5106952656899721</v>
      </c>
      <c r="N76" t="str">
        <f t="shared" si="26"/>
        <v>Available water = Account Balance + Available Inflow - Evaporation + Sales - Purchases</v>
      </c>
    </row>
    <row r="77" spans="1:14" x14ac:dyDescent="0.35">
      <c r="A77" s="1" t="str">
        <f>IF(A76="","","   Account Withdraw [maf]")</f>
        <v xml:space="preserve">   Account Withdraw [maf]</v>
      </c>
      <c r="C77" s="136">
        <f>MIN(C46,C76)</f>
        <v>1.4473333333333334</v>
      </c>
      <c r="D77" s="136">
        <f t="shared" ref="D77:L77" ca="1" si="29">MIN(D46,D76)</f>
        <v>1.4473333333333334</v>
      </c>
      <c r="E77" s="136">
        <f t="shared" ca="1" si="29"/>
        <v>1.4083333333333332</v>
      </c>
      <c r="F77" s="136">
        <f t="shared" ca="1" si="29"/>
        <v>1.4083333333333332</v>
      </c>
      <c r="G77" s="136">
        <f t="shared" ca="1" si="29"/>
        <v>1.4083333333333332</v>
      </c>
      <c r="H77" s="136">
        <f t="shared" ca="1" si="29"/>
        <v>1.4083333333333332</v>
      </c>
      <c r="I77" s="136">
        <f t="shared" ca="1" si="29"/>
        <v>1.3843333333333332</v>
      </c>
      <c r="J77" s="136">
        <f t="shared" ca="1" si="29"/>
        <v>1.4083333333333332</v>
      </c>
      <c r="K77" s="136">
        <f t="shared" ca="1" si="29"/>
        <v>1.4083333333333332</v>
      </c>
      <c r="L77" s="136">
        <f t="shared" ca="1" si="29"/>
        <v>1.4473333333333334</v>
      </c>
      <c r="N77" t="str">
        <f t="shared" si="26"/>
        <v>Must be less than Available water</v>
      </c>
    </row>
    <row r="78" spans="1:14" x14ac:dyDescent="0.35">
      <c r="A78" s="32" t="str">
        <f>IF(A77="","","   End of Year Balance [maf]")</f>
        <v xml:space="preserve">   End of Year Balance [maf]</v>
      </c>
      <c r="C78" s="66">
        <f>IF(OR(C$26="",$A78=""),"",C76-C77)</f>
        <v>0.16557297647772518</v>
      </c>
      <c r="D78" s="66">
        <f t="shared" ref="D78:L78" ca="1" si="30">IF(OR(D$26="",$A78=""),"",D76-D77)</f>
        <v>0.15735694647678922</v>
      </c>
      <c r="E78" s="66">
        <f t="shared" ca="1" si="30"/>
        <v>0.13331262156070189</v>
      </c>
      <c r="F78" s="66">
        <f t="shared" ca="1" si="30"/>
        <v>0.12637807157692516</v>
      </c>
      <c r="G78" s="66">
        <f t="shared" ca="1" si="30"/>
        <v>0.1196747903041846</v>
      </c>
      <c r="H78" s="66">
        <f t="shared" ca="1" si="30"/>
        <v>9.7201857291289606E-2</v>
      </c>
      <c r="I78" s="66">
        <f t="shared" ca="1" si="30"/>
        <v>9.1856084294618778E-2</v>
      </c>
      <c r="J78" s="66">
        <f t="shared" ca="1" si="30"/>
        <v>8.7025297944937297E-2</v>
      </c>
      <c r="K78" s="66">
        <f t="shared" ca="1" si="30"/>
        <v>6.6619161013673489E-2</v>
      </c>
      <c r="L78" s="66">
        <f t="shared" ca="1" si="30"/>
        <v>6.3361932356638784E-2</v>
      </c>
      <c r="N78" t="str">
        <f t="shared" si="26"/>
        <v>Available water - Account Withdraw</v>
      </c>
    </row>
    <row r="79" spans="1:14" x14ac:dyDescent="0.35">
      <c r="C79"/>
    </row>
    <row r="80" spans="1:14" x14ac:dyDescent="0.35">
      <c r="A80" s="143" t="str">
        <f>IF(A$8="","[Unused]",A8)</f>
        <v>Shared, Reserve</v>
      </c>
      <c r="B80" s="143"/>
      <c r="C80" s="143"/>
      <c r="D80" s="143"/>
      <c r="E80" s="143"/>
      <c r="F80" s="143"/>
      <c r="G80" s="143"/>
      <c r="H80" s="143"/>
      <c r="I80" s="143"/>
      <c r="J80" s="143"/>
      <c r="K80" s="143"/>
      <c r="L80" s="143"/>
      <c r="M80" s="144" t="s">
        <v>107</v>
      </c>
      <c r="N80" s="143" t="s">
        <v>172</v>
      </c>
    </row>
    <row r="81" spans="1:14" x14ac:dyDescent="0.35">
      <c r="A81" s="32" t="str">
        <f>IF(A80="[Unused]","","   Volume of Sales(+) and Purchases(-) [maf]")</f>
        <v xml:space="preserve">   Volume of Sales(+) and Purchases(-) [maf]</v>
      </c>
      <c r="C81" s="134"/>
      <c r="D81" s="134"/>
      <c r="E81" s="134"/>
      <c r="F81" s="134"/>
      <c r="G81" s="134"/>
      <c r="H81" s="134"/>
      <c r="I81" s="134"/>
      <c r="J81" s="134"/>
      <c r="K81" s="134"/>
      <c r="L81" s="134"/>
      <c r="M81" s="67">
        <f>SUM(C81:L81)</f>
        <v>0</v>
      </c>
      <c r="N81" t="str">
        <f>IF(A81="","",N73)</f>
        <v>Add if multiple transactions, e.g.: 0.5 + 0.25</v>
      </c>
    </row>
    <row r="82" spans="1:14" x14ac:dyDescent="0.35">
      <c r="A82" s="32" t="str">
        <f>IF(A81="","","   Cash Intake(+) and Payments(-) [$ Mill]")</f>
        <v xml:space="preserve">   Cash Intake(+) and Payments(-) [$ Mill]</v>
      </c>
      <c r="C82" s="135"/>
      <c r="D82" s="135"/>
      <c r="E82" s="135"/>
      <c r="F82" s="135"/>
      <c r="G82" s="135"/>
      <c r="H82" s="135"/>
      <c r="I82" s="135"/>
      <c r="J82" s="135"/>
      <c r="K82" s="135"/>
      <c r="L82" s="135"/>
      <c r="M82" s="65">
        <f>SUM(C82:L82)</f>
        <v>0</v>
      </c>
      <c r="N82" t="str">
        <f t="shared" ref="N82:N86" si="31">IF(A82="","",N74)</f>
        <v>Add if multiple transactions, e.g.: $350*0.5 + $450*0.25</v>
      </c>
    </row>
    <row r="83" spans="1:14" x14ac:dyDescent="0.35">
      <c r="A83" s="32" t="str">
        <f>IF(A82="","","   Volume all players (should be zero)")</f>
        <v xml:space="preserve">   Volume all players (should be zero)</v>
      </c>
      <c r="C83" s="67">
        <f t="shared" ref="C83:M83" ca="1" si="32">IF(OR(C$26="",$A83=""),"",C$112)</f>
        <v>0</v>
      </c>
      <c r="D83" s="67">
        <f t="shared" ca="1" si="32"/>
        <v>0</v>
      </c>
      <c r="E83" s="67">
        <f t="shared" ca="1" si="32"/>
        <v>0</v>
      </c>
      <c r="F83" s="67">
        <f t="shared" ca="1" si="32"/>
        <v>0</v>
      </c>
      <c r="G83" s="67">
        <f t="shared" ca="1" si="32"/>
        <v>0</v>
      </c>
      <c r="H83" s="67">
        <f t="shared" ca="1" si="32"/>
        <v>0</v>
      </c>
      <c r="I83" s="67">
        <f t="shared" ca="1" si="32"/>
        <v>0</v>
      </c>
      <c r="J83" s="67">
        <f t="shared" ca="1" si="32"/>
        <v>0</v>
      </c>
      <c r="K83" s="67">
        <f t="shared" ca="1" si="32"/>
        <v>0</v>
      </c>
      <c r="L83" s="67">
        <f t="shared" ca="1" si="32"/>
        <v>0</v>
      </c>
      <c r="M83" t="str">
        <f t="shared" si="32"/>
        <v/>
      </c>
      <c r="N83" t="str">
        <f t="shared" si="31"/>
        <v>If non-zero, players need to change amount(s)</v>
      </c>
    </row>
    <row r="84" spans="1:14" x14ac:dyDescent="0.35">
      <c r="A84" s="1" t="str">
        <f>IF(A82="","","   Available Water [maf]")</f>
        <v xml:space="preserve">   Available Water [maf]</v>
      </c>
      <c r="C84" s="14">
        <f t="shared" ref="C84:L84" si="33">IF(OR(C$26="",$A84=""),"",C33+C51-C43-C81)</f>
        <v>11.59116925</v>
      </c>
      <c r="D84" s="14">
        <f t="shared" ca="1" si="33"/>
        <v>11.59116925</v>
      </c>
      <c r="E84" s="14">
        <f t="shared" ca="1" si="33"/>
        <v>11.59116925</v>
      </c>
      <c r="F84" s="14">
        <f t="shared" ca="1" si="33"/>
        <v>11.59116925</v>
      </c>
      <c r="G84" s="14">
        <f t="shared" ca="1" si="33"/>
        <v>11.59116925</v>
      </c>
      <c r="H84" s="14">
        <f t="shared" ca="1" si="33"/>
        <v>11.59116925</v>
      </c>
      <c r="I84" s="14">
        <f t="shared" ca="1" si="33"/>
        <v>11.59116925</v>
      </c>
      <c r="J84" s="14">
        <f t="shared" ca="1" si="33"/>
        <v>11.59116925</v>
      </c>
      <c r="K84" s="14">
        <f t="shared" ca="1" si="33"/>
        <v>11.59116925</v>
      </c>
      <c r="L84" s="14">
        <f t="shared" ca="1" si="33"/>
        <v>11.59116925</v>
      </c>
      <c r="N84" t="str">
        <f t="shared" si="31"/>
        <v>Available water = Account Balance + Available Inflow - Evaporation + Sales - Purchases</v>
      </c>
    </row>
    <row r="85" spans="1:14" x14ac:dyDescent="0.35">
      <c r="A85" s="1" t="str">
        <f>IF(A84="","","   Account Withdraw [maf]")</f>
        <v xml:space="preserve">   Account Withdraw [maf]</v>
      </c>
      <c r="C85" s="136"/>
      <c r="D85" s="136"/>
      <c r="E85" s="136"/>
      <c r="F85" s="136"/>
      <c r="G85" s="136"/>
      <c r="H85" s="136"/>
      <c r="I85" s="136"/>
      <c r="J85" s="136"/>
      <c r="K85" s="136"/>
      <c r="L85" s="136"/>
      <c r="N85" t="str">
        <f t="shared" si="31"/>
        <v>Must be less than Available water</v>
      </c>
    </row>
    <row r="86" spans="1:14" x14ac:dyDescent="0.35">
      <c r="A86" s="32" t="str">
        <f>IF(A85="","","   End of Year Balance [maf]")</f>
        <v xml:space="preserve">   End of Year Balance [maf]</v>
      </c>
      <c r="C86" s="66">
        <f>IF(OR(C$26="",$A86=""),"",C84-C85)</f>
        <v>11.59116925</v>
      </c>
      <c r="D86" s="66">
        <f t="shared" ref="D86:L86" ca="1" si="34">IF(OR(D$26="",$A86=""),"",D84-D85)</f>
        <v>11.59116925</v>
      </c>
      <c r="E86" s="66">
        <f t="shared" ca="1" si="34"/>
        <v>11.59116925</v>
      </c>
      <c r="F86" s="66">
        <f t="shared" ca="1" si="34"/>
        <v>11.59116925</v>
      </c>
      <c r="G86" s="66">
        <f t="shared" ca="1" si="34"/>
        <v>11.59116925</v>
      </c>
      <c r="H86" s="66">
        <f t="shared" ca="1" si="34"/>
        <v>11.59116925</v>
      </c>
      <c r="I86" s="66">
        <f t="shared" ca="1" si="34"/>
        <v>11.59116925</v>
      </c>
      <c r="J86" s="66">
        <f t="shared" ca="1" si="34"/>
        <v>11.59116925</v>
      </c>
      <c r="K86" s="66">
        <f t="shared" ca="1" si="34"/>
        <v>11.59116925</v>
      </c>
      <c r="L86" s="66">
        <f t="shared" ca="1" si="34"/>
        <v>11.59116925</v>
      </c>
      <c r="N86" t="str">
        <f t="shared" si="31"/>
        <v>Available water - Account Withdraw</v>
      </c>
    </row>
    <row r="87" spans="1:14" x14ac:dyDescent="0.35">
      <c r="C87"/>
    </row>
    <row r="88" spans="1:14" x14ac:dyDescent="0.35">
      <c r="A88" s="143" t="str">
        <f>IF(A$9="","[Unused]",A9)</f>
        <v>Colorado River Delta</v>
      </c>
      <c r="B88" s="143"/>
      <c r="C88" s="143"/>
      <c r="D88" s="143"/>
      <c r="E88" s="143"/>
      <c r="F88" s="143"/>
      <c r="G88" s="143"/>
      <c r="H88" s="143"/>
      <c r="I88" s="143"/>
      <c r="J88" s="143"/>
      <c r="K88" s="143"/>
      <c r="L88" s="143"/>
      <c r="M88" s="144" t="s">
        <v>107</v>
      </c>
      <c r="N88" s="143" t="s">
        <v>172</v>
      </c>
    </row>
    <row r="89" spans="1:14" x14ac:dyDescent="0.35">
      <c r="A89" s="32" t="str">
        <f>IF(A88="[Unused]","","   Volume of Sales(+) and Purchases(-) [maf]")</f>
        <v xml:space="preserve">   Volume of Sales(+) and Purchases(-) [maf]</v>
      </c>
      <c r="C89" s="134"/>
      <c r="D89" s="134"/>
      <c r="E89" s="134">
        <f>-E73</f>
        <v>-1.6E-2</v>
      </c>
      <c r="F89" s="134"/>
      <c r="G89" s="134"/>
      <c r="H89" s="134">
        <f>-H73</f>
        <v>-1.6E-2</v>
      </c>
      <c r="I89" s="134"/>
      <c r="J89" s="134"/>
      <c r="K89" s="134">
        <f>-SUM(K73,K65)</f>
        <v>-3.6000000000000004E-2</v>
      </c>
      <c r="L89" s="134"/>
      <c r="M89" s="67">
        <f>SUM(C89:L89)</f>
        <v>-6.8000000000000005E-2</v>
      </c>
      <c r="N89" t="str">
        <f>IF(A89="","",N81)</f>
        <v>Add if multiple transactions, e.g.: 0.5 + 0.25</v>
      </c>
    </row>
    <row r="90" spans="1:14" x14ac:dyDescent="0.35">
      <c r="A90" s="32" t="str">
        <f>IF(A89="","","   Cash Intake(+) and Payments(-) [$ Mill]")</f>
        <v xml:space="preserve">   Cash Intake(+) and Payments(-) [$ Mill]</v>
      </c>
      <c r="C90" s="135"/>
      <c r="D90" s="135"/>
      <c r="E90" s="135">
        <f>-E74</f>
        <v>-5.6000000000000005</v>
      </c>
      <c r="F90" s="135"/>
      <c r="G90" s="135"/>
      <c r="H90" s="135">
        <f>-H74</f>
        <v>-5.6000000000000005</v>
      </c>
      <c r="I90" s="135"/>
      <c r="J90" s="135"/>
      <c r="K90" s="134">
        <f>-SUM(K74,K66)</f>
        <v>-12.600000000000001</v>
      </c>
      <c r="L90" s="135"/>
      <c r="M90" s="65">
        <f>SUM(C90:L90)</f>
        <v>-23.800000000000004</v>
      </c>
      <c r="N90" t="str">
        <f t="shared" ref="N90:N94" si="35">IF(A90="","",N82)</f>
        <v>Add if multiple transactions, e.g.: $350*0.5 + $450*0.25</v>
      </c>
    </row>
    <row r="91" spans="1:14" x14ac:dyDescent="0.35">
      <c r="A91" s="32" t="str">
        <f>IF(A90="","","   Volume all players (should be zero)")</f>
        <v xml:space="preserve">   Volume all players (should be zero)</v>
      </c>
      <c r="C91" s="67">
        <f t="shared" ref="C91:M91" ca="1" si="36">IF(OR(C$26="",$A91=""),"",C$112)</f>
        <v>0</v>
      </c>
      <c r="D91" s="67">
        <f t="shared" ca="1" si="36"/>
        <v>0</v>
      </c>
      <c r="E91" s="67">
        <f t="shared" ca="1" si="36"/>
        <v>0</v>
      </c>
      <c r="F91" s="67">
        <f t="shared" ca="1" si="36"/>
        <v>0</v>
      </c>
      <c r="G91" s="67">
        <f t="shared" ca="1" si="36"/>
        <v>0</v>
      </c>
      <c r="H91" s="67">
        <f t="shared" ca="1" si="36"/>
        <v>0</v>
      </c>
      <c r="I91" s="67">
        <f t="shared" ca="1" si="36"/>
        <v>0</v>
      </c>
      <c r="J91" s="67">
        <f t="shared" ca="1" si="36"/>
        <v>0</v>
      </c>
      <c r="K91" s="67">
        <f t="shared" ca="1" si="36"/>
        <v>0</v>
      </c>
      <c r="L91" s="67">
        <f t="shared" ca="1" si="36"/>
        <v>0</v>
      </c>
      <c r="M91" t="str">
        <f t="shared" si="36"/>
        <v/>
      </c>
      <c r="N91" t="str">
        <f t="shared" si="35"/>
        <v>If non-zero, players need to change amount(s)</v>
      </c>
    </row>
    <row r="92" spans="1:14" x14ac:dyDescent="0.35">
      <c r="A92" s="1" t="str">
        <f>IF(A90="","","   Available Water [maf]")</f>
        <v xml:space="preserve">   Available Water [maf]</v>
      </c>
      <c r="C92" s="14">
        <f t="shared" ref="C92:L92" si="37">IF(OR(C$26="",$A92=""),"",C34+C52-C44-C89)</f>
        <v>1.5555555555555553E-2</v>
      </c>
      <c r="D92" s="14">
        <f t="shared" ca="1" si="37"/>
        <v>1.5555555555555553E-2</v>
      </c>
      <c r="E92" s="14">
        <f t="shared" ca="1" si="37"/>
        <v>3.1555555555555552E-2</v>
      </c>
      <c r="F92" s="14">
        <f t="shared" ca="1" si="37"/>
        <v>1.5555555555555553E-2</v>
      </c>
      <c r="G92" s="14">
        <f t="shared" ca="1" si="37"/>
        <v>1.5555555555555553E-2</v>
      </c>
      <c r="H92" s="14">
        <f t="shared" ca="1" si="37"/>
        <v>3.1555555555555552E-2</v>
      </c>
      <c r="I92" s="14">
        <f t="shared" ca="1" si="37"/>
        <v>1.5555555555555553E-2</v>
      </c>
      <c r="J92" s="14">
        <f t="shared" ca="1" si="37"/>
        <v>1.5555555555555553E-2</v>
      </c>
      <c r="K92" s="14">
        <f t="shared" ca="1" si="37"/>
        <v>5.1555555555555556E-2</v>
      </c>
      <c r="L92" s="14">
        <f t="shared" ca="1" si="37"/>
        <v>1.5555555555555553E-2</v>
      </c>
      <c r="N92" t="str">
        <f t="shared" si="35"/>
        <v>Available water = Account Balance + Available Inflow - Evaporation + Sales - Purchases</v>
      </c>
    </row>
    <row r="93" spans="1:14" x14ac:dyDescent="0.35">
      <c r="A93" s="1" t="str">
        <f>IF(A92="","","   Account Withdraw [maf]")</f>
        <v xml:space="preserve">   Account Withdraw [maf]</v>
      </c>
      <c r="C93" s="136"/>
      <c r="D93" s="136"/>
      <c r="E93" s="136"/>
      <c r="F93" s="136"/>
      <c r="G93" s="136"/>
      <c r="H93" s="136"/>
      <c r="I93" s="136"/>
      <c r="J93" s="136"/>
      <c r="K93" s="136"/>
      <c r="L93" s="136"/>
      <c r="N93" t="str">
        <f t="shared" si="35"/>
        <v>Must be less than Available water</v>
      </c>
    </row>
    <row r="94" spans="1:14" x14ac:dyDescent="0.35">
      <c r="A94" s="32" t="str">
        <f>IF(A93="","","   End of Year Balance [maf]")</f>
        <v xml:space="preserve">   End of Year Balance [maf]</v>
      </c>
      <c r="C94" s="66">
        <f>IF(OR(C$26="",$A94=""),"",C92-C93)</f>
        <v>1.5555555555555553E-2</v>
      </c>
      <c r="D94" s="66">
        <f t="shared" ref="D94:L94" ca="1" si="38">IF(OR(D$26="",$A94=""),"",D92-D93)</f>
        <v>1.5555555555555553E-2</v>
      </c>
      <c r="E94" s="66">
        <f t="shared" ca="1" si="38"/>
        <v>3.1555555555555552E-2</v>
      </c>
      <c r="F94" s="66">
        <f t="shared" ca="1" si="38"/>
        <v>1.5555555555555553E-2</v>
      </c>
      <c r="G94" s="66">
        <f t="shared" ca="1" si="38"/>
        <v>1.5555555555555553E-2</v>
      </c>
      <c r="H94" s="66">
        <f t="shared" ca="1" si="38"/>
        <v>3.1555555555555552E-2</v>
      </c>
      <c r="I94" s="66">
        <f t="shared" ca="1" si="38"/>
        <v>1.5555555555555553E-2</v>
      </c>
      <c r="J94" s="66">
        <f t="shared" ca="1" si="38"/>
        <v>1.5555555555555553E-2</v>
      </c>
      <c r="K94" s="66">
        <f t="shared" ca="1" si="38"/>
        <v>5.1555555555555556E-2</v>
      </c>
      <c r="L94" s="66">
        <f t="shared" ca="1" si="38"/>
        <v>1.5555555555555553E-2</v>
      </c>
      <c r="N94" t="str">
        <f t="shared" si="35"/>
        <v>Available water - Account Withdraw</v>
      </c>
    </row>
    <row r="95" spans="1:14" x14ac:dyDescent="0.35">
      <c r="C95"/>
    </row>
    <row r="96" spans="1:14" x14ac:dyDescent="0.35">
      <c r="A96" s="143" t="str">
        <f>IF(A$10="","[Unused]",A10)</f>
        <v>[Unused]</v>
      </c>
      <c r="B96" s="143"/>
      <c r="C96" s="143"/>
      <c r="D96" s="143"/>
      <c r="E96" s="143"/>
      <c r="F96" s="143"/>
      <c r="G96" s="143"/>
      <c r="H96" s="143"/>
      <c r="I96" s="143"/>
      <c r="J96" s="143"/>
      <c r="K96" s="143"/>
      <c r="L96" s="143"/>
      <c r="M96" s="144" t="s">
        <v>107</v>
      </c>
      <c r="N96" s="143" t="s">
        <v>172</v>
      </c>
    </row>
    <row r="97" spans="1:14" x14ac:dyDescent="0.35">
      <c r="A97" s="32" t="str">
        <f>IF(A96="[Unused]","","   Volume of Sales(+) and Purchases(-) [maf]")</f>
        <v/>
      </c>
      <c r="C97" s="134"/>
      <c r="D97" s="134"/>
      <c r="E97" s="134"/>
      <c r="F97" s="134"/>
      <c r="G97" s="134"/>
      <c r="H97" s="134"/>
      <c r="I97" s="134"/>
      <c r="J97" s="134"/>
      <c r="K97" s="134"/>
      <c r="L97" s="134"/>
      <c r="M97" s="67">
        <f>SUM(C97:L97)</f>
        <v>0</v>
      </c>
      <c r="N97" t="str">
        <f>IF(A97="","",N89)</f>
        <v/>
      </c>
    </row>
    <row r="98" spans="1:14" x14ac:dyDescent="0.35">
      <c r="A98" s="32" t="str">
        <f>IF(A97="","","   Cash Intake(+) and Payments(-) [$ Mill]")</f>
        <v/>
      </c>
      <c r="C98" s="135"/>
      <c r="D98" s="135"/>
      <c r="E98" s="135"/>
      <c r="F98" s="135"/>
      <c r="G98" s="135"/>
      <c r="H98" s="135"/>
      <c r="I98" s="135"/>
      <c r="J98" s="135"/>
      <c r="K98" s="135"/>
      <c r="L98" s="135"/>
      <c r="M98" s="65">
        <f>SUM(C98:L98)</f>
        <v>0</v>
      </c>
      <c r="N98" t="str">
        <f t="shared" ref="N98:N102" si="39">IF(A98="","",N90)</f>
        <v/>
      </c>
    </row>
    <row r="99" spans="1:14" x14ac:dyDescent="0.35">
      <c r="A99" s="32" t="str">
        <f>IF(A98="","","   Volume all players (should be zero)")</f>
        <v/>
      </c>
      <c r="C99" s="67" t="str">
        <f t="shared" ref="C99:M99" si="40">IF(OR(C$26="",$A99=""),"",C$112)</f>
        <v/>
      </c>
      <c r="D99" s="67" t="str">
        <f t="shared" si="40"/>
        <v/>
      </c>
      <c r="E99" s="67" t="str">
        <f t="shared" si="40"/>
        <v/>
      </c>
      <c r="F99" s="67" t="str">
        <f t="shared" si="40"/>
        <v/>
      </c>
      <c r="G99" s="67" t="str">
        <f t="shared" si="40"/>
        <v/>
      </c>
      <c r="H99" s="67" t="str">
        <f t="shared" si="40"/>
        <v/>
      </c>
      <c r="I99" s="67" t="str">
        <f t="shared" si="40"/>
        <v/>
      </c>
      <c r="J99" s="67" t="str">
        <f t="shared" si="40"/>
        <v/>
      </c>
      <c r="K99" s="67" t="str">
        <f t="shared" si="40"/>
        <v/>
      </c>
      <c r="L99" s="67" t="str">
        <f t="shared" si="40"/>
        <v/>
      </c>
      <c r="M99" t="str">
        <f t="shared" si="40"/>
        <v/>
      </c>
      <c r="N99" t="str">
        <f t="shared" si="39"/>
        <v/>
      </c>
    </row>
    <row r="100" spans="1:14" x14ac:dyDescent="0.35">
      <c r="A100" s="1" t="str">
        <f>IF(A98="","","   Available Water [maf]")</f>
        <v/>
      </c>
      <c r="C100" s="14" t="str">
        <f t="shared" ref="C100:L100" si="41">IF(OR(C$26="",$A100=""),"",C35+C53-C45-C97)</f>
        <v/>
      </c>
      <c r="D100" s="14" t="str">
        <f t="shared" si="41"/>
        <v/>
      </c>
      <c r="E100" s="14" t="str">
        <f t="shared" si="41"/>
        <v/>
      </c>
      <c r="F100" s="14" t="str">
        <f t="shared" si="41"/>
        <v/>
      </c>
      <c r="G100" s="14" t="str">
        <f t="shared" si="41"/>
        <v/>
      </c>
      <c r="H100" s="14" t="str">
        <f t="shared" si="41"/>
        <v/>
      </c>
      <c r="I100" s="14" t="str">
        <f t="shared" si="41"/>
        <v/>
      </c>
      <c r="J100" s="14" t="str">
        <f t="shared" si="41"/>
        <v/>
      </c>
      <c r="K100" s="14" t="str">
        <f t="shared" si="41"/>
        <v/>
      </c>
      <c r="L100" s="14" t="str">
        <f t="shared" si="41"/>
        <v/>
      </c>
      <c r="N100" t="str">
        <f t="shared" si="39"/>
        <v/>
      </c>
    </row>
    <row r="101" spans="1:14" x14ac:dyDescent="0.35">
      <c r="A101" s="1" t="str">
        <f>IF(A100="","","   Account Withdraw [maf]")</f>
        <v/>
      </c>
      <c r="C101" s="136"/>
      <c r="D101" s="136"/>
      <c r="E101" s="136"/>
      <c r="F101" s="136"/>
      <c r="G101" s="136"/>
      <c r="H101" s="136"/>
      <c r="I101" s="136"/>
      <c r="J101" s="136"/>
      <c r="K101" s="136"/>
      <c r="L101" s="136"/>
      <c r="N101" t="str">
        <f t="shared" si="39"/>
        <v/>
      </c>
    </row>
    <row r="102" spans="1:14" x14ac:dyDescent="0.35">
      <c r="A102" s="32" t="str">
        <f>IF(A101="","","   End of Year Balance [maf]")</f>
        <v/>
      </c>
      <c r="C102" s="66" t="str">
        <f>IF(OR(C$26="",$A102=""),"",C100-C101)</f>
        <v/>
      </c>
      <c r="D102" s="66" t="str">
        <f t="shared" ref="D102:L102" si="42">IF(OR(D$26="",$A102=""),"",D100-D101)</f>
        <v/>
      </c>
      <c r="E102" s="66" t="str">
        <f t="shared" si="42"/>
        <v/>
      </c>
      <c r="F102" s="66" t="str">
        <f t="shared" si="42"/>
        <v/>
      </c>
      <c r="G102" s="66" t="str">
        <f t="shared" si="42"/>
        <v/>
      </c>
      <c r="H102" s="66" t="str">
        <f t="shared" si="42"/>
        <v/>
      </c>
      <c r="I102" s="66" t="str">
        <f t="shared" si="42"/>
        <v/>
      </c>
      <c r="J102" s="66" t="str">
        <f t="shared" si="42"/>
        <v/>
      </c>
      <c r="K102" s="66" t="str">
        <f t="shared" si="42"/>
        <v/>
      </c>
      <c r="L102" s="66" t="str">
        <f t="shared" si="42"/>
        <v/>
      </c>
      <c r="N102" t="str">
        <f t="shared" si="39"/>
        <v/>
      </c>
    </row>
    <row r="103" spans="1:14" x14ac:dyDescent="0.35">
      <c r="C103"/>
    </row>
    <row r="104" spans="1:14" x14ac:dyDescent="0.35">
      <c r="A104" s="145" t="s">
        <v>183</v>
      </c>
      <c r="B104" s="145"/>
      <c r="C104" s="145"/>
      <c r="D104" s="145"/>
      <c r="E104" s="145"/>
      <c r="F104" s="145"/>
      <c r="G104" s="145"/>
      <c r="H104" s="145"/>
      <c r="I104" s="145"/>
      <c r="J104" s="145"/>
      <c r="K104" s="145"/>
      <c r="L104" s="145"/>
      <c r="M104" s="145"/>
      <c r="N104" s="145"/>
    </row>
    <row r="105" spans="1:14" x14ac:dyDescent="0.35">
      <c r="A105" s="1" t="s">
        <v>149</v>
      </c>
      <c r="C105"/>
      <c r="M105" t="s">
        <v>182</v>
      </c>
      <c r="N105" t="s">
        <v>150</v>
      </c>
    </row>
    <row r="106" spans="1:14" x14ac:dyDescent="0.35">
      <c r="A106" t="str">
        <f t="shared" ref="A106:A111" si="43">IF(A5="","","    "&amp;A5)</f>
        <v xml:space="preserve">    Upper Basin</v>
      </c>
      <c r="B106" s="1"/>
      <c r="C106" s="67">
        <f t="shared" ref="C106:L111" ca="1" si="44">IF(OR(C$26="",$A106=""),"",OFFSET(C$57,8*(ROW(B106)-ROW(B$106)),0))</f>
        <v>0</v>
      </c>
      <c r="D106" s="67">
        <f t="shared" ca="1" si="44"/>
        <v>0</v>
      </c>
      <c r="E106" s="67">
        <f t="shared" ca="1" si="44"/>
        <v>0</v>
      </c>
      <c r="F106" s="67">
        <f t="shared" ca="1" si="44"/>
        <v>0</v>
      </c>
      <c r="G106" s="67">
        <f t="shared" ca="1" si="44"/>
        <v>0</v>
      </c>
      <c r="H106" s="67">
        <f t="shared" ca="1" si="44"/>
        <v>0</v>
      </c>
      <c r="I106" s="67">
        <f t="shared" ca="1" si="44"/>
        <v>0</v>
      </c>
      <c r="J106" s="67">
        <f t="shared" ca="1" si="44"/>
        <v>0</v>
      </c>
      <c r="K106" s="67">
        <f t="shared" ca="1" si="44"/>
        <v>0</v>
      </c>
      <c r="L106" s="67">
        <f t="shared" ca="1" si="44"/>
        <v>0</v>
      </c>
      <c r="M106" s="67">
        <f ca="1">IF(OR($A106=""),"",SUM(C106:L106))</f>
        <v>0</v>
      </c>
      <c r="N106" s="65">
        <f>IF(OR($A106=""),"",M58)</f>
        <v>0</v>
      </c>
    </row>
    <row r="107" spans="1:14" x14ac:dyDescent="0.35">
      <c r="A107" t="str">
        <f t="shared" si="43"/>
        <v xml:space="preserve">    Lower Basin</v>
      </c>
      <c r="B107" s="1"/>
      <c r="C107" s="67">
        <f t="shared" ca="1" si="44"/>
        <v>0</v>
      </c>
      <c r="D107" s="67">
        <f t="shared" ca="1" si="44"/>
        <v>0</v>
      </c>
      <c r="E107" s="67">
        <f t="shared" ca="1" si="44"/>
        <v>0</v>
      </c>
      <c r="F107" s="67">
        <f t="shared" ca="1" si="44"/>
        <v>0</v>
      </c>
      <c r="G107" s="67">
        <f t="shared" ca="1" si="44"/>
        <v>0</v>
      </c>
      <c r="H107" s="67">
        <f t="shared" ca="1" si="44"/>
        <v>0</v>
      </c>
      <c r="I107" s="67">
        <f t="shared" ca="1" si="44"/>
        <v>0</v>
      </c>
      <c r="J107" s="67">
        <f t="shared" ca="1" si="44"/>
        <v>0</v>
      </c>
      <c r="K107" s="67">
        <f t="shared" ca="1" si="44"/>
        <v>0.02</v>
      </c>
      <c r="L107" s="67">
        <f t="shared" ca="1" si="44"/>
        <v>0</v>
      </c>
      <c r="M107" s="67">
        <f t="shared" ref="M107:M111" ca="1" si="45">IF(OR($A107=""),"",SUM(C107:L107))</f>
        <v>0.02</v>
      </c>
      <c r="N107" s="65">
        <f>IF(OR($A107=""),"",M66)</f>
        <v>7</v>
      </c>
    </row>
    <row r="108" spans="1:14" x14ac:dyDescent="0.35">
      <c r="A108" t="str">
        <f t="shared" si="43"/>
        <v xml:space="preserve">    Mexico</v>
      </c>
      <c r="B108" s="1"/>
      <c r="C108" s="67">
        <f t="shared" ca="1" si="44"/>
        <v>0</v>
      </c>
      <c r="D108" s="67">
        <f t="shared" ca="1" si="44"/>
        <v>0</v>
      </c>
      <c r="E108" s="67">
        <f t="shared" ca="1" si="44"/>
        <v>1.6E-2</v>
      </c>
      <c r="F108" s="67">
        <f t="shared" ca="1" si="44"/>
        <v>0</v>
      </c>
      <c r="G108" s="67">
        <f t="shared" ca="1" si="44"/>
        <v>0</v>
      </c>
      <c r="H108" s="67">
        <f t="shared" ca="1" si="44"/>
        <v>1.6E-2</v>
      </c>
      <c r="I108" s="67">
        <f t="shared" ca="1" si="44"/>
        <v>0</v>
      </c>
      <c r="J108" s="67">
        <f t="shared" ca="1" si="44"/>
        <v>0</v>
      </c>
      <c r="K108" s="67">
        <f t="shared" ca="1" si="44"/>
        <v>1.6E-2</v>
      </c>
      <c r="L108" s="67">
        <f t="shared" ca="1" si="44"/>
        <v>0</v>
      </c>
      <c r="M108" s="67">
        <f t="shared" ca="1" si="45"/>
        <v>4.8000000000000001E-2</v>
      </c>
      <c r="N108" s="65">
        <f>IF(OR($A108=""),"",M74)</f>
        <v>16.8</v>
      </c>
    </row>
    <row r="109" spans="1:14" x14ac:dyDescent="0.35">
      <c r="A109" t="str">
        <f t="shared" si="43"/>
        <v xml:space="preserve">    Shared, Reserve</v>
      </c>
      <c r="B109" s="1"/>
      <c r="C109" s="67">
        <f t="shared" ca="1" si="44"/>
        <v>0</v>
      </c>
      <c r="D109" s="67">
        <f t="shared" ca="1" si="44"/>
        <v>0</v>
      </c>
      <c r="E109" s="67">
        <f t="shared" ca="1" si="44"/>
        <v>0</v>
      </c>
      <c r="F109" s="67">
        <f t="shared" ca="1" si="44"/>
        <v>0</v>
      </c>
      <c r="G109" s="67">
        <f t="shared" ca="1" si="44"/>
        <v>0</v>
      </c>
      <c r="H109" s="67">
        <f t="shared" ca="1" si="44"/>
        <v>0</v>
      </c>
      <c r="I109" s="67">
        <f t="shared" ca="1" si="44"/>
        <v>0</v>
      </c>
      <c r="J109" s="67">
        <f t="shared" ca="1" si="44"/>
        <v>0</v>
      </c>
      <c r="K109" s="67">
        <f t="shared" ca="1" si="44"/>
        <v>0</v>
      </c>
      <c r="L109" s="67">
        <f t="shared" ca="1" si="44"/>
        <v>0</v>
      </c>
      <c r="M109" s="67">
        <f t="shared" ca="1" si="45"/>
        <v>0</v>
      </c>
      <c r="N109" s="65">
        <f>IF(OR($A109=""),"",M82)</f>
        <v>0</v>
      </c>
    </row>
    <row r="110" spans="1:14" x14ac:dyDescent="0.35">
      <c r="A110" t="str">
        <f t="shared" si="43"/>
        <v xml:space="preserve">    Colorado River Delta</v>
      </c>
      <c r="B110" s="1"/>
      <c r="C110" s="67">
        <f t="shared" ca="1" si="44"/>
        <v>0</v>
      </c>
      <c r="D110" s="67">
        <f t="shared" ca="1" si="44"/>
        <v>0</v>
      </c>
      <c r="E110" s="67">
        <f t="shared" ca="1" si="44"/>
        <v>-1.6E-2</v>
      </c>
      <c r="F110" s="67">
        <f t="shared" ca="1" si="44"/>
        <v>0</v>
      </c>
      <c r="G110" s="67">
        <f t="shared" ca="1" si="44"/>
        <v>0</v>
      </c>
      <c r="H110" s="67">
        <f t="shared" ca="1" si="44"/>
        <v>-1.6E-2</v>
      </c>
      <c r="I110" s="67">
        <f t="shared" ca="1" si="44"/>
        <v>0</v>
      </c>
      <c r="J110" s="67">
        <f t="shared" ca="1" si="44"/>
        <v>0</v>
      </c>
      <c r="K110" s="67">
        <f t="shared" ca="1" si="44"/>
        <v>-3.6000000000000004E-2</v>
      </c>
      <c r="L110" s="67">
        <f t="shared" ca="1" si="44"/>
        <v>0</v>
      </c>
      <c r="M110" s="67">
        <f t="shared" ca="1" si="45"/>
        <v>-6.8000000000000005E-2</v>
      </c>
      <c r="N110" s="65">
        <f>IF(OR($A110=""),"",M90)</f>
        <v>-23.800000000000004</v>
      </c>
    </row>
    <row r="111" spans="1:14" x14ac:dyDescent="0.35">
      <c r="A111" t="str">
        <f t="shared" si="43"/>
        <v/>
      </c>
      <c r="B111" s="1"/>
      <c r="C111" s="67" t="str">
        <f t="shared" ca="1" si="44"/>
        <v/>
      </c>
      <c r="D111" s="67" t="str">
        <f t="shared" ca="1" si="44"/>
        <v/>
      </c>
      <c r="E111" s="67" t="str">
        <f t="shared" ca="1" si="44"/>
        <v/>
      </c>
      <c r="F111" s="67" t="str">
        <f t="shared" ca="1" si="44"/>
        <v/>
      </c>
      <c r="G111" s="67" t="str">
        <f t="shared" ca="1" si="44"/>
        <v/>
      </c>
      <c r="H111" s="67" t="str">
        <f t="shared" ca="1" si="44"/>
        <v/>
      </c>
      <c r="I111" s="67" t="str">
        <f t="shared" ca="1" si="44"/>
        <v/>
      </c>
      <c r="J111" s="67" t="str">
        <f t="shared" ca="1" si="44"/>
        <v/>
      </c>
      <c r="K111" s="67" t="str">
        <f t="shared" ca="1" si="44"/>
        <v/>
      </c>
      <c r="L111" s="67" t="str">
        <f t="shared" ca="1" si="44"/>
        <v/>
      </c>
      <c r="M111" s="67" t="str">
        <f t="shared" si="45"/>
        <v/>
      </c>
      <c r="N111" s="65" t="str">
        <f>IF(OR($A111=""),"",M98)</f>
        <v/>
      </c>
    </row>
    <row r="112" spans="1:14" x14ac:dyDescent="0.35">
      <c r="A112" t="s">
        <v>146</v>
      </c>
      <c r="B112" s="1"/>
      <c r="C112" s="51">
        <f ca="1">IF(C$26&lt;&gt;"",SUM(C106:C111),"")</f>
        <v>0</v>
      </c>
      <c r="D112" s="51">
        <f t="shared" ref="D112:L112" ca="1" si="46">IF(D$26&lt;&gt;"",SUM(D106:D111),"")</f>
        <v>0</v>
      </c>
      <c r="E112" s="119">
        <f t="shared" ca="1" si="46"/>
        <v>0</v>
      </c>
      <c r="F112" s="51">
        <f t="shared" ca="1" si="46"/>
        <v>0</v>
      </c>
      <c r="G112" s="51">
        <f t="shared" ca="1" si="46"/>
        <v>0</v>
      </c>
      <c r="H112" s="51">
        <f t="shared" ca="1" si="46"/>
        <v>0</v>
      </c>
      <c r="I112" s="51">
        <f t="shared" ca="1" si="46"/>
        <v>0</v>
      </c>
      <c r="J112" s="51">
        <f t="shared" ca="1" si="46"/>
        <v>0</v>
      </c>
      <c r="K112" s="51">
        <f t="shared" ca="1" si="46"/>
        <v>0</v>
      </c>
      <c r="L112" s="51">
        <f t="shared" ca="1" si="46"/>
        <v>0</v>
      </c>
      <c r="M112" s="34"/>
    </row>
    <row r="113" spans="1:12" x14ac:dyDescent="0.35">
      <c r="A113" s="1" t="s">
        <v>134</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47">IF(OR(C$26="",$A114=""),"",OFFSET(C$61,8*(ROW(B114)-ROW(B$114)),0))</f>
        <v>4.2</v>
      </c>
      <c r="D114" s="67">
        <f t="shared" ca="1" si="47"/>
        <v>4.2</v>
      </c>
      <c r="E114" s="67">
        <f t="shared" ca="1" si="47"/>
        <v>4.2</v>
      </c>
      <c r="F114" s="67">
        <f t="shared" ca="1" si="47"/>
        <v>4.2</v>
      </c>
      <c r="G114" s="67">
        <f t="shared" ca="1" si="47"/>
        <v>4.2</v>
      </c>
      <c r="H114" s="67">
        <f t="shared" ca="1" si="47"/>
        <v>4.2</v>
      </c>
      <c r="I114" s="67">
        <f t="shared" ca="1" si="47"/>
        <v>4.2</v>
      </c>
      <c r="J114" s="67">
        <f t="shared" ca="1" si="47"/>
        <v>4.2</v>
      </c>
      <c r="K114" s="67">
        <f t="shared" ca="1" si="47"/>
        <v>4.2</v>
      </c>
      <c r="L114" s="67">
        <f t="shared" ca="1" si="47"/>
        <v>4.2</v>
      </c>
    </row>
    <row r="115" spans="1:12" x14ac:dyDescent="0.35">
      <c r="A115" t="str">
        <f>IF(A6="","","    "&amp;A6&amp;" - Release from Mead")</f>
        <v xml:space="preserve">    Lower Basin - Release from Mead</v>
      </c>
      <c r="C115" s="67">
        <f t="shared" ca="1" si="47"/>
        <v>7.2590000000000003</v>
      </c>
      <c r="D115" s="67">
        <f t="shared" ca="1" si="47"/>
        <v>7.2590000000000003</v>
      </c>
      <c r="E115" s="67">
        <f t="shared" ca="1" si="47"/>
        <v>6.8870000000000005</v>
      </c>
      <c r="F115" s="67">
        <f t="shared" ca="1" si="47"/>
        <v>6.8870000000000005</v>
      </c>
      <c r="G115" s="67">
        <f t="shared" ca="1" si="47"/>
        <v>6.8870000000000005</v>
      </c>
      <c r="H115" s="67">
        <f t="shared" ca="1" si="47"/>
        <v>6.7926541774187301</v>
      </c>
      <c r="I115" s="67">
        <f t="shared" ca="1" si="47"/>
        <v>6.3703582757240831</v>
      </c>
      <c r="J115" s="67">
        <f t="shared" ca="1" si="47"/>
        <v>6.3862442939164978</v>
      </c>
      <c r="K115" s="67">
        <f t="shared" ca="1" si="47"/>
        <v>6.3889662944951819</v>
      </c>
      <c r="L115" s="67">
        <f t="shared" ca="1" si="47"/>
        <v>6.4096031602846084</v>
      </c>
    </row>
    <row r="116" spans="1:12" x14ac:dyDescent="0.35">
      <c r="A116" t="str">
        <f>IF(A7="","","    "&amp;A7&amp;" - Release from Mead")</f>
        <v xml:space="preserve">    Mexico - Release from Mead</v>
      </c>
      <c r="C116" s="67">
        <f t="shared" ca="1" si="47"/>
        <v>1.4473333333333334</v>
      </c>
      <c r="D116" s="67">
        <f t="shared" ca="1" si="47"/>
        <v>1.4473333333333334</v>
      </c>
      <c r="E116" s="67">
        <f t="shared" ca="1" si="47"/>
        <v>1.4083333333333332</v>
      </c>
      <c r="F116" s="67">
        <f t="shared" ca="1" si="47"/>
        <v>1.4083333333333332</v>
      </c>
      <c r="G116" s="67">
        <f t="shared" ca="1" si="47"/>
        <v>1.4083333333333332</v>
      </c>
      <c r="H116" s="67">
        <f t="shared" ca="1" si="47"/>
        <v>1.4083333333333332</v>
      </c>
      <c r="I116" s="67">
        <f t="shared" ca="1" si="47"/>
        <v>1.3843333333333332</v>
      </c>
      <c r="J116" s="67">
        <f t="shared" ca="1" si="47"/>
        <v>1.4083333333333332</v>
      </c>
      <c r="K116" s="67">
        <f t="shared" ca="1" si="47"/>
        <v>1.4083333333333332</v>
      </c>
      <c r="L116" s="67">
        <f t="shared" ca="1" si="47"/>
        <v>1.4473333333333334</v>
      </c>
    </row>
    <row r="117" spans="1:12" x14ac:dyDescent="0.35">
      <c r="A117" t="str">
        <f>IF(A8="","","    "&amp;A8&amp;" - Release from Mead")</f>
        <v xml:space="preserve">    Shared, Reserve - Release from Mead</v>
      </c>
      <c r="C117" s="67">
        <f t="shared" ca="1" si="47"/>
        <v>0</v>
      </c>
      <c r="D117" s="67">
        <f t="shared" ca="1" si="47"/>
        <v>0</v>
      </c>
      <c r="E117" s="67">
        <f t="shared" ca="1" si="47"/>
        <v>0</v>
      </c>
      <c r="F117" s="67">
        <f t="shared" ca="1" si="47"/>
        <v>0</v>
      </c>
      <c r="G117" s="67">
        <f t="shared" ca="1" si="47"/>
        <v>0</v>
      </c>
      <c r="H117" s="67">
        <f t="shared" ca="1" si="47"/>
        <v>0</v>
      </c>
      <c r="I117" s="67">
        <f t="shared" ca="1" si="47"/>
        <v>0</v>
      </c>
      <c r="J117" s="67">
        <f t="shared" ca="1" si="47"/>
        <v>0</v>
      </c>
      <c r="K117" s="67">
        <f t="shared" ca="1" si="47"/>
        <v>0</v>
      </c>
      <c r="L117" s="67">
        <f t="shared" ca="1" si="47"/>
        <v>0</v>
      </c>
    </row>
    <row r="118" spans="1:12" x14ac:dyDescent="0.35">
      <c r="A118" t="str">
        <f>IF(A9="","","    "&amp;A9&amp;" - Release from Mead")</f>
        <v xml:space="preserve">    Colorado River Delta - Release from Mead</v>
      </c>
      <c r="C118" s="67">
        <f t="shared" ca="1" si="47"/>
        <v>0</v>
      </c>
      <c r="D118" s="67">
        <f t="shared" ca="1" si="47"/>
        <v>0</v>
      </c>
      <c r="E118" s="67">
        <f t="shared" ca="1" si="47"/>
        <v>0</v>
      </c>
      <c r="F118" s="67">
        <f t="shared" ca="1" si="47"/>
        <v>0</v>
      </c>
      <c r="G118" s="67">
        <f t="shared" ca="1" si="47"/>
        <v>0</v>
      </c>
      <c r="H118" s="67">
        <f t="shared" ca="1" si="47"/>
        <v>0</v>
      </c>
      <c r="I118" s="67">
        <f t="shared" ca="1" si="47"/>
        <v>0</v>
      </c>
      <c r="J118" s="67">
        <f t="shared" ca="1" si="47"/>
        <v>0</v>
      </c>
      <c r="K118" s="67">
        <f t="shared" ca="1" si="47"/>
        <v>0</v>
      </c>
      <c r="L118" s="67">
        <f t="shared" ca="1" si="47"/>
        <v>0</v>
      </c>
    </row>
    <row r="119" spans="1:12" x14ac:dyDescent="0.35">
      <c r="A119" t="str">
        <f>IF(A10="","","    "&amp;A10&amp;" - Release from Mead")</f>
        <v/>
      </c>
      <c r="C119" s="67" t="str">
        <f t="shared" ca="1" si="47"/>
        <v/>
      </c>
      <c r="D119" s="67" t="str">
        <f t="shared" ca="1" si="47"/>
        <v/>
      </c>
      <c r="E119" s="67" t="str">
        <f t="shared" ca="1" si="47"/>
        <v/>
      </c>
      <c r="F119" s="67" t="str">
        <f t="shared" ca="1" si="47"/>
        <v/>
      </c>
      <c r="G119" s="67" t="str">
        <f t="shared" ca="1" si="47"/>
        <v/>
      </c>
      <c r="H119" s="67" t="str">
        <f t="shared" ca="1" si="47"/>
        <v/>
      </c>
      <c r="I119" s="67" t="str">
        <f t="shared" ca="1" si="47"/>
        <v/>
      </c>
      <c r="J119" s="67" t="str">
        <f t="shared" ca="1" si="47"/>
        <v/>
      </c>
      <c r="K119" s="67" t="str">
        <f t="shared" ca="1" si="47"/>
        <v/>
      </c>
      <c r="L119" s="67" t="str">
        <f t="shared" ca="1" si="47"/>
        <v/>
      </c>
    </row>
    <row r="120" spans="1:12" x14ac:dyDescent="0.35">
      <c r="A120" s="1" t="s">
        <v>139</v>
      </c>
      <c r="B120" s="1"/>
      <c r="D120" s="2"/>
      <c r="E120" s="2"/>
      <c r="F120" s="2"/>
      <c r="G120" s="2"/>
      <c r="H120" s="2"/>
      <c r="I120" s="2"/>
      <c r="J120" s="2"/>
      <c r="K120" s="2"/>
      <c r="L120" s="2"/>
    </row>
    <row r="121" spans="1:12" x14ac:dyDescent="0.35">
      <c r="A121" t="str">
        <f t="shared" ref="A121:A126" si="48">IF(A5="","","    "&amp;A5)</f>
        <v xml:space="preserve">    Upper Basin</v>
      </c>
      <c r="C121" s="67">
        <f t="shared" ref="C121:L126" ca="1" si="49">IF(OR(C$26="",$A121=""),"",OFFSET(C$62,8*(ROW(B121)-ROW(B$121)),0))</f>
        <v>4.8040452368981788</v>
      </c>
      <c r="D121" s="67">
        <f t="shared" ca="1" si="49"/>
        <v>4.5419931728564817</v>
      </c>
      <c r="E121" s="67">
        <f t="shared" ca="1" si="49"/>
        <v>4.3056329509183469</v>
      </c>
      <c r="F121" s="67">
        <f t="shared" ca="1" si="49"/>
        <v>4.0774992917764452</v>
      </c>
      <c r="G121" s="67">
        <f t="shared" ca="1" si="49"/>
        <v>3.8570559854908533</v>
      </c>
      <c r="H121" s="67">
        <f t="shared" ca="1" si="49"/>
        <v>3.6442700686244685</v>
      </c>
      <c r="I121" s="67">
        <f t="shared" ca="1" si="49"/>
        <v>5.4516808887639714</v>
      </c>
      <c r="J121" s="67">
        <f t="shared" ca="1" si="49"/>
        <v>7.1608058802111989</v>
      </c>
      <c r="K121" s="67">
        <f t="shared" ca="1" si="49"/>
        <v>8.7940838188319255</v>
      </c>
      <c r="L121" s="67">
        <f t="shared" ca="1" si="49"/>
        <v>10.34044563359291</v>
      </c>
    </row>
    <row r="122" spans="1:12" x14ac:dyDescent="0.35">
      <c r="A122" t="str">
        <f t="shared" si="48"/>
        <v xml:space="preserve">    Lower Basin</v>
      </c>
      <c r="C122" s="67">
        <f t="shared" ca="1" si="49"/>
        <v>3.1954259677352326</v>
      </c>
      <c r="D122" s="67">
        <f t="shared" ca="1" si="49"/>
        <v>2.1790217521941422</v>
      </c>
      <c r="E122" s="67">
        <f t="shared" ca="1" si="49"/>
        <v>1.5839021107246065</v>
      </c>
      <c r="F122" s="67">
        <f t="shared" ca="1" si="49"/>
        <v>1.0074050543230886</v>
      </c>
      <c r="G122" s="67">
        <f t="shared" ca="1" si="49"/>
        <v>0.44799122939848157</v>
      </c>
      <c r="H122" s="67">
        <f t="shared" ca="1" si="49"/>
        <v>0</v>
      </c>
      <c r="I122" s="67">
        <f t="shared" ca="1" si="49"/>
        <v>0</v>
      </c>
      <c r="J122" s="67">
        <f t="shared" ca="1" si="49"/>
        <v>0</v>
      </c>
      <c r="K122" s="67">
        <f t="shared" ca="1" si="49"/>
        <v>0</v>
      </c>
      <c r="L122" s="67">
        <f t="shared" ca="1" si="49"/>
        <v>0</v>
      </c>
    </row>
    <row r="123" spans="1:12" x14ac:dyDescent="0.35">
      <c r="A123" t="str">
        <f t="shared" si="48"/>
        <v xml:space="preserve">    Mexico</v>
      </c>
      <c r="C123" s="67">
        <f t="shared" ca="1" si="49"/>
        <v>0.16557297647772518</v>
      </c>
      <c r="D123" s="67">
        <f t="shared" ca="1" si="49"/>
        <v>0.15735694647678922</v>
      </c>
      <c r="E123" s="67">
        <f t="shared" ca="1" si="49"/>
        <v>0.13331262156070189</v>
      </c>
      <c r="F123" s="67">
        <f t="shared" ca="1" si="49"/>
        <v>0.12637807157692516</v>
      </c>
      <c r="G123" s="67">
        <f t="shared" ca="1" si="49"/>
        <v>0.1196747903041846</v>
      </c>
      <c r="H123" s="67">
        <f t="shared" ca="1" si="49"/>
        <v>9.7201857291289606E-2</v>
      </c>
      <c r="I123" s="67">
        <f t="shared" ca="1" si="49"/>
        <v>9.1856084294618778E-2</v>
      </c>
      <c r="J123" s="67">
        <f t="shared" ca="1" si="49"/>
        <v>8.7025297944937297E-2</v>
      </c>
      <c r="K123" s="67">
        <f t="shared" ca="1" si="49"/>
        <v>6.6619161013673489E-2</v>
      </c>
      <c r="L123" s="67">
        <f t="shared" ca="1" si="49"/>
        <v>6.3361932356638784E-2</v>
      </c>
    </row>
    <row r="124" spans="1:12" x14ac:dyDescent="0.35">
      <c r="A124" t="str">
        <f t="shared" si="48"/>
        <v xml:space="preserve">    Shared, Reserve</v>
      </c>
      <c r="C124" s="67">
        <f t="shared" ca="1" si="49"/>
        <v>11.59116925</v>
      </c>
      <c r="D124" s="67">
        <f t="shared" ca="1" si="49"/>
        <v>11.59116925</v>
      </c>
      <c r="E124" s="67">
        <f t="shared" ca="1" si="49"/>
        <v>11.59116925</v>
      </c>
      <c r="F124" s="67">
        <f t="shared" ca="1" si="49"/>
        <v>11.59116925</v>
      </c>
      <c r="G124" s="67">
        <f t="shared" ca="1" si="49"/>
        <v>11.59116925</v>
      </c>
      <c r="H124" s="67">
        <f t="shared" ca="1" si="49"/>
        <v>11.59116925</v>
      </c>
      <c r="I124" s="67">
        <f t="shared" ca="1" si="49"/>
        <v>11.59116925</v>
      </c>
      <c r="J124" s="67">
        <f t="shared" ca="1" si="49"/>
        <v>11.59116925</v>
      </c>
      <c r="K124" s="67">
        <f t="shared" ca="1" si="49"/>
        <v>11.59116925</v>
      </c>
      <c r="L124" s="67">
        <f t="shared" ca="1" si="49"/>
        <v>11.59116925</v>
      </c>
    </row>
    <row r="125" spans="1:12" x14ac:dyDescent="0.35">
      <c r="A125" t="str">
        <f t="shared" si="48"/>
        <v xml:space="preserve">    Colorado River Delta</v>
      </c>
      <c r="C125" s="67">
        <f t="shared" ca="1" si="49"/>
        <v>1.5555555555555553E-2</v>
      </c>
      <c r="D125" s="67">
        <f t="shared" ca="1" si="49"/>
        <v>1.5555555555555553E-2</v>
      </c>
      <c r="E125" s="67">
        <f t="shared" ca="1" si="49"/>
        <v>3.1555555555555552E-2</v>
      </c>
      <c r="F125" s="67">
        <f t="shared" ca="1" si="49"/>
        <v>1.5555555555555553E-2</v>
      </c>
      <c r="G125" s="67">
        <f t="shared" ca="1" si="49"/>
        <v>1.5555555555555553E-2</v>
      </c>
      <c r="H125" s="67">
        <f t="shared" ca="1" si="49"/>
        <v>3.1555555555555552E-2</v>
      </c>
      <c r="I125" s="67">
        <f t="shared" ca="1" si="49"/>
        <v>1.5555555555555553E-2</v>
      </c>
      <c r="J125" s="67">
        <f t="shared" ca="1" si="49"/>
        <v>1.5555555555555553E-2</v>
      </c>
      <c r="K125" s="67">
        <f t="shared" ca="1" si="49"/>
        <v>5.1555555555555556E-2</v>
      </c>
      <c r="L125" s="67">
        <f t="shared" ca="1" si="49"/>
        <v>1.5555555555555553E-2</v>
      </c>
    </row>
    <row r="126" spans="1:12" x14ac:dyDescent="0.35">
      <c r="A126" t="str">
        <f t="shared" si="48"/>
        <v/>
      </c>
      <c r="C126" s="67" t="str">
        <f t="shared" ca="1" si="49"/>
        <v/>
      </c>
      <c r="D126" s="67" t="str">
        <f t="shared" ca="1" si="49"/>
        <v/>
      </c>
      <c r="E126" s="67" t="str">
        <f t="shared" ca="1" si="49"/>
        <v/>
      </c>
      <c r="F126" s="67" t="str">
        <f t="shared" ca="1" si="49"/>
        <v/>
      </c>
      <c r="G126" s="67" t="str">
        <f t="shared" ca="1" si="49"/>
        <v/>
      </c>
      <c r="H126" s="67" t="str">
        <f t="shared" ca="1" si="49"/>
        <v/>
      </c>
      <c r="I126" s="67" t="str">
        <f t="shared" ca="1" si="49"/>
        <v/>
      </c>
      <c r="J126" s="67" t="str">
        <f t="shared" ca="1" si="49"/>
        <v/>
      </c>
      <c r="K126" s="67" t="str">
        <f t="shared" ca="1" si="49"/>
        <v/>
      </c>
      <c r="L126" s="67" t="str">
        <f t="shared" ca="1" si="49"/>
        <v/>
      </c>
    </row>
    <row r="127" spans="1:12" x14ac:dyDescent="0.35">
      <c r="A127" s="1" t="s">
        <v>123</v>
      </c>
      <c r="B127" s="1"/>
      <c r="C127" s="14">
        <f ca="1">IF(C$26&lt;&gt;"",SUM(C121:C126),"")</f>
        <v>19.771768986666689</v>
      </c>
      <c r="D127" s="14">
        <f t="shared" ref="D127:L127" ca="1" si="50">IF(D$26&lt;&gt;"",SUM(D121:D126),"")</f>
        <v>18.485096677082968</v>
      </c>
      <c r="E127" s="14">
        <f t="shared" ca="1" si="50"/>
        <v>17.64557248875921</v>
      </c>
      <c r="F127" s="14">
        <f t="shared" ca="1" si="50"/>
        <v>16.818007223232012</v>
      </c>
      <c r="G127" s="14">
        <f t="shared" ca="1" si="50"/>
        <v>16.031446810749074</v>
      </c>
      <c r="H127" s="14">
        <f t="shared" ca="1" si="50"/>
        <v>15.364196731471313</v>
      </c>
      <c r="I127" s="14">
        <f t="shared" ca="1" si="50"/>
        <v>17.150261778614144</v>
      </c>
      <c r="J127" s="14">
        <f t="shared" ca="1" si="50"/>
        <v>18.854555983711691</v>
      </c>
      <c r="K127" s="14">
        <f t="shared" ca="1" si="50"/>
        <v>20.503427785401154</v>
      </c>
      <c r="L127" s="14">
        <f t="shared" ca="1" si="50"/>
        <v>22.010532371505104</v>
      </c>
    </row>
    <row r="128" spans="1:12" x14ac:dyDescent="0.35">
      <c r="A128" s="1" t="s">
        <v>197</v>
      </c>
      <c r="B128" s="1"/>
      <c r="C128" s="68">
        <v>0.5</v>
      </c>
      <c r="D128" s="68">
        <v>0.5</v>
      </c>
      <c r="E128" s="68">
        <v>0.5</v>
      </c>
      <c r="F128" s="68">
        <v>0.5</v>
      </c>
      <c r="G128" s="68">
        <v>0.5</v>
      </c>
      <c r="H128" s="68">
        <v>0.5</v>
      </c>
      <c r="I128" s="68">
        <v>0.5</v>
      </c>
      <c r="J128" s="68">
        <v>0.5</v>
      </c>
      <c r="K128" s="68">
        <v>0.5</v>
      </c>
      <c r="L128" s="68">
        <v>0.5</v>
      </c>
    </row>
    <row r="129" spans="1:14" x14ac:dyDescent="0.35">
      <c r="A129" s="1" t="s">
        <v>193</v>
      </c>
      <c r="B129" s="1"/>
      <c r="C129" s="14">
        <f ca="1">IF(C26="","",C$128*C$127)</f>
        <v>9.8858844933333447</v>
      </c>
      <c r="D129" s="14">
        <f t="shared" ref="D129:L129" ca="1" si="51">IF(D26="","",D$128*D$127)</f>
        <v>9.2425483385414839</v>
      </c>
      <c r="E129" s="14">
        <f t="shared" ca="1" si="51"/>
        <v>8.8227862443796052</v>
      </c>
      <c r="F129" s="14">
        <f t="shared" ca="1" si="51"/>
        <v>8.4090036116160061</v>
      </c>
      <c r="G129" s="14">
        <f t="shared" ca="1" si="51"/>
        <v>8.015723405374537</v>
      </c>
      <c r="H129" s="14">
        <f t="shared" ca="1" si="51"/>
        <v>7.6820983657356567</v>
      </c>
      <c r="I129" s="14">
        <f t="shared" ca="1" si="51"/>
        <v>8.5751308893070721</v>
      </c>
      <c r="J129" s="14">
        <f t="shared" ca="1" si="51"/>
        <v>9.4272779918558456</v>
      </c>
      <c r="K129" s="14">
        <f t="shared" ca="1" si="51"/>
        <v>10.251713892700577</v>
      </c>
      <c r="L129" s="14">
        <f t="shared" ca="1" si="51"/>
        <v>11.005266185752552</v>
      </c>
    </row>
    <row r="130" spans="1:14" x14ac:dyDescent="0.35">
      <c r="A130" s="1" t="s">
        <v>194</v>
      </c>
      <c r="B130" s="1"/>
      <c r="C130" s="14">
        <f ca="1">IF(C27="","",(1-C$128)*C$127)</f>
        <v>9.8858844933333447</v>
      </c>
      <c r="D130" s="14">
        <f t="shared" ref="D130:L130" ca="1" si="52">IF(D27="","",(1-D$128)*D$127)</f>
        <v>9.2425483385414839</v>
      </c>
      <c r="E130" s="14">
        <f t="shared" ca="1" si="52"/>
        <v>8.8227862443796052</v>
      </c>
      <c r="F130" s="14">
        <f t="shared" ca="1" si="52"/>
        <v>8.4090036116160061</v>
      </c>
      <c r="G130" s="14">
        <f t="shared" ca="1" si="52"/>
        <v>8.015723405374537</v>
      </c>
      <c r="H130" s="14">
        <f t="shared" ca="1" si="52"/>
        <v>7.6820983657356567</v>
      </c>
      <c r="I130" s="14">
        <f t="shared" ca="1" si="52"/>
        <v>8.5751308893070721</v>
      </c>
      <c r="J130" s="14">
        <f t="shared" ca="1" si="52"/>
        <v>9.4272779918558456</v>
      </c>
      <c r="K130" s="14">
        <f t="shared" ca="1" si="52"/>
        <v>10.251713892700577</v>
      </c>
      <c r="L130" s="14">
        <f t="shared" ca="1" si="52"/>
        <v>11.005266185752552</v>
      </c>
    </row>
    <row r="131" spans="1:14" x14ac:dyDescent="0.35">
      <c r="A131" s="32" t="s">
        <v>282</v>
      </c>
      <c r="B131" s="1"/>
      <c r="C131" s="87">
        <f ca="1">IF(C$26&lt;&gt;"",VLOOKUP(C129*1000000,'Powell-Elevation-Area'!$B$5:$H$689,7),"")</f>
        <v>3579</v>
      </c>
      <c r="D131" s="87">
        <f ca="1">IF(D$26&lt;&gt;"",VLOOKUP(D129*1000000,'Powell-Elevation-Area'!$B$5:$H$689,7),"")</f>
        <v>3571.5</v>
      </c>
      <c r="E131" s="87">
        <f ca="1">IF(E$26&lt;&gt;"",VLOOKUP(E129*1000000,'Powell-Elevation-Area'!$B$5:$H$689,7),"")</f>
        <v>3566</v>
      </c>
      <c r="F131" s="87">
        <f ca="1">IF(F$26&lt;&gt;"",VLOOKUP(F129*1000000,'Powell-Elevation-Area'!$B$5:$H$689,7),"")</f>
        <v>3561</v>
      </c>
      <c r="G131" s="87">
        <f ca="1">IF(G$26&lt;&gt;"",VLOOKUP(G129*1000000,'Powell-Elevation-Area'!$B$5:$H$689,7),"")</f>
        <v>3555.5</v>
      </c>
      <c r="H131" s="87">
        <f ca="1">IF(H$26&lt;&gt;"",VLOOKUP(H129*1000000,'Powell-Elevation-Area'!$B$5:$H$689,7),"")</f>
        <v>3551</v>
      </c>
      <c r="I131" s="87">
        <f ca="1">IF(I$26&lt;&gt;"",VLOOKUP(I129*1000000,'Powell-Elevation-Area'!$B$5:$H$689,7),"")</f>
        <v>3563</v>
      </c>
      <c r="J131" s="87">
        <f ca="1">IF(J$26&lt;&gt;"",VLOOKUP(J129*1000000,'Powell-Elevation-Area'!$B$5:$H$689,7),"")</f>
        <v>3573.5</v>
      </c>
      <c r="K131" s="87">
        <f ca="1">IF(K$26&lt;&gt;"",VLOOKUP(K129*1000000,'Powell-Elevation-Area'!$B$5:$H$689,7),"")</f>
        <v>3583.5</v>
      </c>
      <c r="L131" s="87">
        <f ca="1">IF(L$26&lt;&gt;"",VLOOKUP(L129*1000000,'Powell-Elevation-Area'!$B$5:$H$689,7),"")</f>
        <v>3592</v>
      </c>
    </row>
    <row r="132" spans="1:14" x14ac:dyDescent="0.35">
      <c r="A132" s="32" t="s">
        <v>283</v>
      </c>
      <c r="B132" s="1"/>
      <c r="C132" s="87">
        <f ca="1">IF(C$26&lt;&gt;"",VLOOKUP(C130*1000000,'Mead-Elevation-Area'!$B$5:$H$689,7),"")</f>
        <v>1078</v>
      </c>
      <c r="D132" s="87">
        <f ca="1">IF(D$26&lt;&gt;"",VLOOKUP(D130*1000000,'Mead-Elevation-Area'!$B$5:$H$689,7),"")</f>
        <v>1070.5</v>
      </c>
      <c r="E132" s="87">
        <f ca="1">IF(E$26&lt;&gt;"",VLOOKUP(E130*1000000,'Mead-Elevation-Area'!$B$5:$H$689,7),"")</f>
        <v>1065</v>
      </c>
      <c r="F132" s="87">
        <f ca="1">IF(F$26&lt;&gt;"",VLOOKUP(F130*1000000,'Mead-Elevation-Area'!$B$5:$H$689,7),"")</f>
        <v>1059.5</v>
      </c>
      <c r="G132" s="87">
        <f ca="1">IF(G$26&lt;&gt;"",VLOOKUP(G130*1000000,'Mead-Elevation-Area'!$B$5:$H$689,7),"")</f>
        <v>1054.5</v>
      </c>
      <c r="H132" s="87">
        <f ca="1">IF(H$26&lt;&gt;"",VLOOKUP(H130*1000000,'Mead-Elevation-Area'!$B$5:$H$689,7),"")</f>
        <v>1049.5</v>
      </c>
      <c r="I132" s="87">
        <f ca="1">IF(I$26&lt;&gt;"",VLOOKUP(I130*1000000,'Mead-Elevation-Area'!$B$5:$H$689,7),"")</f>
        <v>1061.5</v>
      </c>
      <c r="J132" s="87">
        <f ca="1">IF(J$26&lt;&gt;"",VLOOKUP(J130*1000000,'Mead-Elevation-Area'!$B$5:$H$689,7),"")</f>
        <v>1072.5</v>
      </c>
      <c r="K132" s="87">
        <f ca="1">IF(K$26&lt;&gt;"",VLOOKUP(K130*1000000,'Mead-Elevation-Area'!$B$5:$H$689,7),"")</f>
        <v>1082.5</v>
      </c>
      <c r="L132" s="87">
        <f ca="1">IF(L$26&lt;&gt;"",VLOOKUP(L130*1000000,'Mead-Elevation-Area'!$B$5:$H$689,7),"")</f>
        <v>1091.5</v>
      </c>
    </row>
    <row r="133" spans="1:14" x14ac:dyDescent="0.35">
      <c r="A133" s="1" t="s">
        <v>295</v>
      </c>
      <c r="B133" s="1"/>
    </row>
    <row r="134" spans="1:14" x14ac:dyDescent="0.35">
      <c r="A134" s="32" t="s">
        <v>296</v>
      </c>
      <c r="B134" s="1"/>
      <c r="C134" s="14">
        <f ca="1">IF(C$26&lt;&gt;"",-C129+C37+C26-C61-VLOOKUP(C37*1000000,'Powell-Elevation-Area'!$B$5:$D$689,3)*$B$20/1000000,"")</f>
        <v>8.7912186266660832</v>
      </c>
      <c r="D134" s="14">
        <f ca="1">IF(D$26&lt;&gt;"",-D129+D37+D26-D61-VLOOKUP(D37*1000000,'Powell-Elevation-Area'!$B$5:$D$689,3)*$B$20/1000000,"")</f>
        <v>8.3552392837924323</v>
      </c>
      <c r="E134" s="14">
        <f ca="1">IF(E$26&lt;&gt;"",-E129+E37+E26-E61-VLOOKUP(E37*1000000,'Powell-Elevation-Area'!$B$5:$D$689,3)*$B$20/1000000,"")</f>
        <v>8.1524780156618775</v>
      </c>
      <c r="F134" s="14">
        <f ca="1">IF(F$26&lt;&gt;"",-F129+F37+F26-F61-VLOOKUP(F37*1000000,'Powell-Elevation-Area'!$B$5:$D$689,3)*$B$20/1000000,"")</f>
        <v>8.1617612687630245</v>
      </c>
      <c r="G134" s="14">
        <f ca="1">IF(G$26&lt;&gt;"",-G129+G37+G26-G61-VLOOKUP(G37*1000000,'Powell-Elevation-Area'!$B$5:$D$689,3)*$B$20/1000000,"")</f>
        <v>8.1551340372408969</v>
      </c>
      <c r="H134" s="14">
        <f ca="1">IF(H$26&lt;&gt;"",-H129+H37+H26-H61-VLOOKUP(H37*1000000,'Powell-Elevation-Area'!$B$5:$D$689,3)*$B$20/1000000,"")</f>
        <v>8.1095671070388811</v>
      </c>
      <c r="I134" s="14">
        <f ca="1">IF(I$26&lt;&gt;"",-I129+I37+I26-I61-VLOOKUP(I37*1000000,'Powell-Elevation-Area'!$B$5:$D$689,3)*$B$20/1000000,"")</f>
        <v>8.8942226839291578</v>
      </c>
      <c r="J134" s="14">
        <f ca="1">IF(J$26&lt;&gt;"",-J129+J37+J26-J61-VLOOKUP(J37*1000000,'Powell-Elevation-Area'!$B$5:$D$689,3)*$B$20/1000000,"")</f>
        <v>8.9041566504517995</v>
      </c>
      <c r="K134" s="14">
        <f ca="1">IF(K$26&lt;&gt;"",-K129+K37+K26-K61-VLOOKUP(K37*1000000,'Powell-Elevation-Area'!$B$5:$D$689,3)*$B$20/1000000,"")</f>
        <v>8.9027299426552702</v>
      </c>
      <c r="L134" s="14">
        <f ca="1">IF(L$26&lt;&gt;"",-L129+L37+L26-L61-VLOOKUP(L37*1000000,'Powell-Elevation-Area'!$B$5:$D$689,3)*$B$20/1000000,"")</f>
        <v>8.9458290669485976</v>
      </c>
      <c r="N134" t="s">
        <v>195</v>
      </c>
    </row>
    <row r="135" spans="1:14" x14ac:dyDescent="0.35">
      <c r="A135" s="32" t="s">
        <v>310</v>
      </c>
      <c r="B135" s="1"/>
      <c r="C135" s="87" t="str">
        <f ca="1">IF(C$26&lt;&gt;"",VLOOKUP(C131,PowellReleaseTemperature!$A$5:$B$11,2),"")</f>
        <v>&lt; 18</v>
      </c>
      <c r="D135" s="87" t="str">
        <f ca="1">IF(D$26&lt;&gt;"",VLOOKUP(D131,PowellReleaseTemperature!$A$5:$B$11,2),"")</f>
        <v>&lt; 18</v>
      </c>
      <c r="E135" s="87" t="str">
        <f ca="1">IF(E$26&lt;&gt;"",VLOOKUP(E131,PowellReleaseTemperature!$A$5:$B$11,2),"")</f>
        <v>&lt; 18</v>
      </c>
      <c r="F135" s="87" t="str">
        <f ca="1">IF(F$26&lt;&gt;"",VLOOKUP(F131,PowellReleaseTemperature!$A$5:$B$11,2),"")</f>
        <v>&lt; 18</v>
      </c>
      <c r="G135" s="87" t="str">
        <f ca="1">IF(G$26&lt;&gt;"",VLOOKUP(G131,PowellReleaseTemperature!$A$5:$B$11,2),"")</f>
        <v>&lt; 18</v>
      </c>
      <c r="H135" s="87" t="str">
        <f ca="1">IF(H$26&lt;&gt;"",VLOOKUP(H131,PowellReleaseTemperature!$A$5:$B$11,2),"")</f>
        <v>&lt; 18</v>
      </c>
      <c r="I135" s="87" t="str">
        <f ca="1">IF(I$26&lt;&gt;"",VLOOKUP(I131,PowellReleaseTemperature!$A$5:$B$11,2),"")</f>
        <v>&lt; 18</v>
      </c>
      <c r="J135" s="87" t="str">
        <f ca="1">IF(J$26&lt;&gt;"",VLOOKUP(J131,PowellReleaseTemperature!$A$5:$B$11,2),"")</f>
        <v>&lt; 18</v>
      </c>
      <c r="K135" s="87" t="str">
        <f ca="1">IF(K$26&lt;&gt;"",VLOOKUP(K131,PowellReleaseTemperature!$A$5:$B$11,2),"")</f>
        <v>&lt; 18</v>
      </c>
      <c r="L135" s="87" t="str">
        <f ca="1">IF(L$26&lt;&gt;"",VLOOKUP(L131,PowellReleaseTemperature!$A$5:$B$11,2),"")</f>
        <v>&lt; 18</v>
      </c>
      <c r="N135" t="s">
        <v>301</v>
      </c>
    </row>
    <row r="136" spans="1:14" s="89" customFormat="1" ht="62.5" customHeight="1" x14ac:dyDescent="0.35">
      <c r="A136" s="121" t="s">
        <v>311</v>
      </c>
      <c r="B136" s="88"/>
      <c r="C136" s="120" t="str">
        <f ca="1">IF(C$26&lt;&gt;"",VLOOKUP(C$131,PowellReleaseTemperature!$A$5:$E$11,5),"")</f>
        <v>May benefit or face invasion</v>
      </c>
      <c r="D136" s="120" t="str">
        <f ca="1">IF(D$26&lt;&gt;"",VLOOKUP(D$131,PowellReleaseTemperature!$A$5:$E$11,5),"")</f>
        <v>May benefit or face invasion</v>
      </c>
      <c r="E136" s="120" t="str">
        <f ca="1">IF(E$26&lt;&gt;"",VLOOKUP(E$131,PowellReleaseTemperature!$A$5:$E$11,5),"")</f>
        <v>May benefit or face invasion</v>
      </c>
      <c r="F136" s="120" t="str">
        <f ca="1">IF(F$26&lt;&gt;"",VLOOKUP(F$131,PowellReleaseTemperature!$A$5:$E$11,5),"")</f>
        <v>May benefit or face invasion</v>
      </c>
      <c r="G136" s="120" t="str">
        <f ca="1">IF(G$26&lt;&gt;"",VLOOKUP(G$131,PowellReleaseTemperature!$A$5:$E$11,5),"")</f>
        <v>May benefit or face invasion</v>
      </c>
      <c r="H136" s="120" t="str">
        <f ca="1">IF(H$26&lt;&gt;"",VLOOKUP(H$131,PowellReleaseTemperature!$A$5:$E$11,5),"")</f>
        <v>May benefit or face invasion</v>
      </c>
      <c r="I136" s="120" t="str">
        <f ca="1">IF(I$26&lt;&gt;"",VLOOKUP(I$131,PowellReleaseTemperature!$A$5:$E$11,5),"")</f>
        <v>May benefit or face invasion</v>
      </c>
      <c r="J136" s="120" t="str">
        <f ca="1">IF(J$26&lt;&gt;"",VLOOKUP(J$131,PowellReleaseTemperature!$A$5:$E$11,5),"")</f>
        <v>May benefit or face invasion</v>
      </c>
      <c r="K136" s="120" t="str">
        <f ca="1">IF(K$26&lt;&gt;"",VLOOKUP(K$131,PowellReleaseTemperature!$A$5:$E$11,5),"")</f>
        <v>May benefit or face invasion</v>
      </c>
      <c r="L136" s="120" t="str">
        <f ca="1">IF(L$26&lt;&gt;"",VLOOKUP(L$131,PowellReleaseTemperature!$A$5:$E$11,5),"")</f>
        <v>May benefit or face invasion</v>
      </c>
    </row>
    <row r="137" spans="1:14" s="89" customFormat="1" ht="32" customHeight="1" x14ac:dyDescent="0.35">
      <c r="A137" s="121" t="s">
        <v>317</v>
      </c>
      <c r="B137" s="88"/>
      <c r="C137" s="120" t="str">
        <f ca="1">IF(C$26&lt;&gt;"",VLOOKUP(C$131,PowellReleaseTemperature!$A$5:$F$11,6),"")</f>
        <v>Help grow + incubate</v>
      </c>
      <c r="D137" s="120" t="str">
        <f ca="1">IF(D$26&lt;&gt;"",VLOOKUP(D$131,PowellReleaseTemperature!$A$5:$F$11,6),"")</f>
        <v>Help grow + incubate</v>
      </c>
      <c r="E137" s="120" t="str">
        <f ca="1">IF(E$26&lt;&gt;"",VLOOKUP(E$131,PowellReleaseTemperature!$A$5:$F$11,6),"")</f>
        <v>Help grow + incubate</v>
      </c>
      <c r="F137" s="120" t="str">
        <f ca="1">IF(F$26&lt;&gt;"",VLOOKUP(F$131,PowellReleaseTemperature!$A$5:$F$11,6),"")</f>
        <v>Help grow + incubate</v>
      </c>
      <c r="G137" s="120" t="str">
        <f ca="1">IF(G$26&lt;&gt;"",VLOOKUP(G$131,PowellReleaseTemperature!$A$5:$F$11,6),"")</f>
        <v>Help grow + incubate</v>
      </c>
      <c r="H137" s="120" t="str">
        <f ca="1">IF(H$26&lt;&gt;"",VLOOKUP(H$131,PowellReleaseTemperature!$A$5:$F$11,6),"")</f>
        <v>Help grow + incubate</v>
      </c>
      <c r="I137" s="120" t="str">
        <f ca="1">IF(I$26&lt;&gt;"",VLOOKUP(I$131,PowellReleaseTemperature!$A$5:$F$11,6),"")</f>
        <v>Help grow + incubate</v>
      </c>
      <c r="J137" s="120" t="str">
        <f ca="1">IF(J$26&lt;&gt;"",VLOOKUP(J$131,PowellReleaseTemperature!$A$5:$F$11,6),"")</f>
        <v>Help grow + incubate</v>
      </c>
      <c r="K137" s="120" t="str">
        <f ca="1">IF(K$26&lt;&gt;"",VLOOKUP(K$131,PowellReleaseTemperature!$A$5:$F$11,6),"")</f>
        <v>Help grow + incubate</v>
      </c>
      <c r="L137" s="120" t="str">
        <f ca="1">IF(L$26&lt;&gt;"",VLOOKUP(L$131,PowellReleaseTemperature!$A$5:$F$11,6),"")</f>
        <v>Help grow + incubate</v>
      </c>
    </row>
    <row r="138" spans="1:14" x14ac:dyDescent="0.35">
      <c r="C138" s="29"/>
    </row>
    <row r="139" spans="1:14" x14ac:dyDescent="0.35">
      <c r="A139" s="1" t="s">
        <v>125</v>
      </c>
      <c r="C139" s="140">
        <f>IF(C$26&lt;&gt;"",0.2,"")</f>
        <v>0.2</v>
      </c>
      <c r="D139" s="140">
        <f t="shared" ref="D139:L139" si="53">IF(D$26&lt;&gt;"",0.2,"")</f>
        <v>0.2</v>
      </c>
      <c r="E139" s="140">
        <f t="shared" si="53"/>
        <v>0.2</v>
      </c>
      <c r="F139" s="140">
        <f t="shared" si="53"/>
        <v>0.2</v>
      </c>
      <c r="G139" s="140">
        <f t="shared" si="53"/>
        <v>0.2</v>
      </c>
      <c r="H139" s="140">
        <f t="shared" si="53"/>
        <v>0.2</v>
      </c>
      <c r="I139" s="140">
        <f t="shared" si="53"/>
        <v>0.2</v>
      </c>
      <c r="J139" s="140">
        <f t="shared" si="53"/>
        <v>0.2</v>
      </c>
      <c r="K139" s="140">
        <f t="shared" si="53"/>
        <v>0.2</v>
      </c>
      <c r="L139" s="140">
        <f t="shared" si="53"/>
        <v>0.2</v>
      </c>
    </row>
    <row r="140" spans="1:14" x14ac:dyDescent="0.35">
      <c r="A140" t="s">
        <v>126</v>
      </c>
      <c r="C140" s="14">
        <f t="shared" ref="C140:L140" ca="1" si="54">IF(C$26&lt;&gt;"",C115+C139,"")</f>
        <v>7.4590000000000005</v>
      </c>
      <c r="D140" s="14">
        <f t="shared" ca="1" si="54"/>
        <v>7.4590000000000005</v>
      </c>
      <c r="E140" s="14">
        <f t="shared" ca="1" si="54"/>
        <v>7.0870000000000006</v>
      </c>
      <c r="F140" s="14">
        <f t="shared" ca="1" si="54"/>
        <v>7.0870000000000006</v>
      </c>
      <c r="G140" s="14">
        <f t="shared" ca="1" si="54"/>
        <v>7.0870000000000006</v>
      </c>
      <c r="H140" s="14">
        <f t="shared" ca="1" si="54"/>
        <v>6.9926541774187303</v>
      </c>
      <c r="I140" s="14">
        <f t="shared" ca="1" si="54"/>
        <v>6.5703582757240833</v>
      </c>
      <c r="J140" s="14">
        <f t="shared" ca="1" si="54"/>
        <v>6.586244293916498</v>
      </c>
      <c r="K140" s="14">
        <f t="shared" ca="1" si="54"/>
        <v>6.5889662944951821</v>
      </c>
      <c r="L140" s="14">
        <f t="shared" ca="1" si="54"/>
        <v>6.6096031602846086</v>
      </c>
    </row>
    <row r="142" spans="1:14" x14ac:dyDescent="0.35">
      <c r="D142" s="18"/>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C77:L77">
    <cfRule type="cellIs" dxfId="61" priority="36" operator="greaterThan">
      <formula>$C$76</formula>
    </cfRule>
  </conditionalFormatting>
  <conditionalFormatting sqref="C85:L85">
    <cfRule type="cellIs" dxfId="60" priority="35" operator="greaterThan">
      <formula>$C$84</formula>
    </cfRule>
  </conditionalFormatting>
  <conditionalFormatting sqref="C93">
    <cfRule type="cellIs" dxfId="59" priority="34" operator="greaterThan">
      <formula>$C$92</formula>
    </cfRule>
  </conditionalFormatting>
  <conditionalFormatting sqref="D93">
    <cfRule type="cellIs" dxfId="58" priority="33" operator="greaterThan">
      <formula>$D$92</formula>
    </cfRule>
  </conditionalFormatting>
  <conditionalFormatting sqref="E93">
    <cfRule type="cellIs" dxfId="57" priority="32" operator="greaterThan">
      <formula>$E$92</formula>
    </cfRule>
  </conditionalFormatting>
  <conditionalFormatting sqref="F93">
    <cfRule type="cellIs" dxfId="56" priority="31" operator="greaterThan">
      <formula>$F$92</formula>
    </cfRule>
  </conditionalFormatting>
  <conditionalFormatting sqref="G93">
    <cfRule type="cellIs" dxfId="55" priority="30" operator="greaterThan">
      <formula>$G$92</formula>
    </cfRule>
  </conditionalFormatting>
  <conditionalFormatting sqref="H93">
    <cfRule type="cellIs" dxfId="54" priority="29" operator="greaterThan">
      <formula>$H$92</formula>
    </cfRule>
  </conditionalFormatting>
  <conditionalFormatting sqref="I93">
    <cfRule type="cellIs" dxfId="53" priority="28" operator="greaterThan">
      <formula>$I$92</formula>
    </cfRule>
  </conditionalFormatting>
  <conditionalFormatting sqref="J93">
    <cfRule type="cellIs" dxfId="52" priority="27" operator="greaterThan">
      <formula>$J$92</formula>
    </cfRule>
  </conditionalFormatting>
  <conditionalFormatting sqref="K93">
    <cfRule type="cellIs" dxfId="51" priority="26" operator="greaterThan">
      <formula>$K$92</formula>
    </cfRule>
  </conditionalFormatting>
  <conditionalFormatting sqref="L93">
    <cfRule type="cellIs" dxfId="50" priority="25" operator="greaterThan">
      <formula>$L$92</formula>
    </cfRule>
  </conditionalFormatting>
  <conditionalFormatting sqref="C101">
    <cfRule type="cellIs" dxfId="49" priority="24" operator="greaterThan">
      <formula>$C$100</formula>
    </cfRule>
  </conditionalFormatting>
  <conditionalFormatting sqref="D101">
    <cfRule type="cellIs" dxfId="48" priority="23" operator="greaterThan">
      <formula>$D$100</formula>
    </cfRule>
  </conditionalFormatting>
  <conditionalFormatting sqref="E101">
    <cfRule type="cellIs" dxfId="47" priority="22" operator="greaterThan">
      <formula>$E$100</formula>
    </cfRule>
  </conditionalFormatting>
  <conditionalFormatting sqref="F101">
    <cfRule type="cellIs" dxfId="46" priority="21" operator="greaterThan">
      <formula>$F$100</formula>
    </cfRule>
  </conditionalFormatting>
  <conditionalFormatting sqref="G101">
    <cfRule type="cellIs" dxfId="45" priority="20" operator="greaterThan">
      <formula>$G$100</formula>
    </cfRule>
  </conditionalFormatting>
  <conditionalFormatting sqref="H101">
    <cfRule type="cellIs" dxfId="44" priority="19" operator="greaterThan">
      <formula>$H$100</formula>
    </cfRule>
  </conditionalFormatting>
  <conditionalFormatting sqref="I101">
    <cfRule type="cellIs" dxfId="43" priority="18" operator="greaterThan">
      <formula>$I$100</formula>
    </cfRule>
  </conditionalFormatting>
  <conditionalFormatting sqref="J101">
    <cfRule type="cellIs" dxfId="42" priority="17" operator="greaterThan">
      <formula>$J$100</formula>
    </cfRule>
  </conditionalFormatting>
  <conditionalFormatting sqref="K101">
    <cfRule type="cellIs" dxfId="41" priority="16" operator="greaterThan">
      <formula>$K$100</formula>
    </cfRule>
  </conditionalFormatting>
  <conditionalFormatting sqref="L101">
    <cfRule type="cellIs" dxfId="40" priority="15" operator="greaterThan">
      <formula>$L$100</formula>
    </cfRule>
  </conditionalFormatting>
  <conditionalFormatting sqref="C61:L61">
    <cfRule type="cellIs" dxfId="39" priority="3" operator="greaterThan">
      <formula>$C$60</formula>
    </cfRule>
  </conditionalFormatting>
  <conditionalFormatting sqref="C69:L69">
    <cfRule type="cellIs" dxfId="3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F82557A4-5ECE-4816-9CFC-1D40A9DCB7DA}">
            <xm:f>PowellReleaseTemperature!$B$10</xm:f>
            <x14:dxf>
              <font>
                <color auto="1"/>
              </font>
              <fill>
                <patternFill>
                  <bgColor theme="4"/>
                </patternFill>
              </fill>
            </x14:dxf>
          </x14:cfRule>
          <x14:cfRule type="cellIs" priority="12" operator="equal" id="{5D257C92-7BE0-4181-993B-B07E2BEACEEB}">
            <xm:f>PowellReleaseTemperature!$B$9</xm:f>
            <x14:dxf>
              <font>
                <color theme="4" tint="-0.24994659260841701"/>
              </font>
              <fill>
                <patternFill>
                  <bgColor theme="8" tint="0.59996337778862885"/>
                </patternFill>
              </fill>
            </x14:dxf>
          </x14:cfRule>
          <x14:cfRule type="cellIs" priority="13" operator="equal" id="{D23A87FE-6381-45E3-87E3-D3E9EA021E05}">
            <xm:f>PowellReleaseTemperature!$B$8</xm:f>
            <x14:dxf>
              <font>
                <color rgb="FF9C0006"/>
              </font>
              <fill>
                <patternFill>
                  <bgColor rgb="FFFFC7CE"/>
                </patternFill>
              </fill>
            </x14:dxf>
          </x14:cfRule>
          <x14:cfRule type="cellIs" priority="14" operator="equal" id="{52DE4EE1-1D41-47F6-AF09-9BCB29BD4C6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742B601-52E2-47A4-97DF-62BCA4AAA59F}">
            <xm:f>PowellReleaseTemperature!$E$5</xm:f>
            <x14:dxf>
              <font>
                <color auto="1"/>
              </font>
              <fill>
                <patternFill>
                  <bgColor rgb="FFFF0000"/>
                </patternFill>
              </fill>
            </x14:dxf>
          </x14:cfRule>
          <x14:cfRule type="cellIs" priority="8" operator="equal" id="{D7FC2D02-069E-4179-92F6-DDE1B2B44066}">
            <xm:f>PowellReleaseTemperature!$E$8</xm:f>
            <x14:dxf>
              <font>
                <color rgb="FF9C0006"/>
              </font>
              <fill>
                <patternFill>
                  <bgColor rgb="FFFFC7CE"/>
                </patternFill>
              </fill>
            </x14:dxf>
          </x14:cfRule>
          <x14:cfRule type="cellIs" priority="9" operator="equal" id="{55242721-5DB1-47DE-8E5E-CCD7665C46FD}">
            <xm:f>PowellReleaseTemperature!$E$9</xm:f>
            <x14:dxf>
              <font>
                <color theme="4" tint="-0.24994659260841701"/>
              </font>
              <fill>
                <patternFill>
                  <bgColor theme="8" tint="0.59996337778862885"/>
                </patternFill>
              </fill>
            </x14:dxf>
          </x14:cfRule>
          <x14:cfRule type="cellIs" priority="10" operator="equal" id="{26F2D186-EFDE-406B-9CDC-72E67A00940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F8184D0B-0DF3-4366-9127-EBCDB9057D7B}">
            <xm:f>PowellReleaseTemperature!$F$10</xm:f>
            <x14:dxf>
              <font>
                <color auto="1"/>
              </font>
              <fill>
                <patternFill>
                  <bgColor theme="4"/>
                </patternFill>
              </fill>
            </x14:dxf>
          </x14:cfRule>
          <x14:cfRule type="cellIs" priority="5" operator="equal" id="{35A7A8E7-3E05-4EEF-8206-EADB0CF1CA23}">
            <xm:f>PowellReleaseTemperature!$F$9</xm:f>
            <x14:dxf>
              <font>
                <color theme="4" tint="-0.24994659260841701"/>
              </font>
              <fill>
                <patternFill>
                  <bgColor theme="8" tint="0.59996337778862885"/>
                </patternFill>
              </fill>
            </x14:dxf>
          </x14:cfRule>
          <x14:cfRule type="cellIs" priority="6" operator="equal" id="{2D096CD3-A250-4743-A45F-B6FE07A64D28}">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84E338E-0973-42DB-B45E-CEBBF6ACD1BB}">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I10" sqref="I10"/>
    </sheetView>
  </sheetViews>
  <sheetFormatPr defaultRowHeight="14.5" x14ac:dyDescent="0.35"/>
  <cols>
    <col min="1" max="1" width="7.54296875" customWidth="1"/>
    <col min="2" max="3" width="9.08984375" customWidth="1"/>
    <col min="4" max="4" width="8.6328125" style="2" customWidth="1"/>
    <col min="5" max="5" width="9" style="2" customWidth="1"/>
    <col min="6" max="6" width="8.7265625" style="2" customWidth="1"/>
    <col min="7" max="7" width="8.81640625" style="2" customWidth="1"/>
    <col min="8" max="8" width="8.7265625" style="2" customWidth="1"/>
    <col min="9" max="9" width="8.6328125" style="2" customWidth="1"/>
    <col min="10" max="10" width="8.81640625" style="2" customWidth="1"/>
    <col min="11" max="11" width="8.7265625" style="2" customWidth="1"/>
    <col min="12" max="12" width="11.1796875" customWidth="1"/>
    <col min="13" max="13" width="11.54296875" style="2" customWidth="1"/>
    <col min="14" max="14" width="11.1796875" style="2" customWidth="1"/>
    <col min="15" max="15" width="12.08984375" customWidth="1"/>
    <col min="16" max="16" width="8.90625" customWidth="1"/>
  </cols>
  <sheetData>
    <row r="1" spans="1:16" x14ac:dyDescent="0.35">
      <c r="A1" s="1" t="s">
        <v>240</v>
      </c>
    </row>
    <row r="3" spans="1:16" s="1" customFormat="1" x14ac:dyDescent="0.35">
      <c r="D3" s="181" t="s">
        <v>241</v>
      </c>
      <c r="E3" s="181"/>
      <c r="F3" s="181" t="s">
        <v>242</v>
      </c>
      <c r="G3" s="181"/>
      <c r="H3" s="181"/>
      <c r="I3" s="181" t="s">
        <v>243</v>
      </c>
      <c r="J3" s="181"/>
      <c r="K3" s="181"/>
      <c r="M3" s="181" t="s">
        <v>41</v>
      </c>
      <c r="N3" s="181"/>
      <c r="O3" s="181"/>
    </row>
    <row r="4" spans="1:16" s="72" customFormat="1" ht="42.5" customHeight="1" x14ac:dyDescent="0.35">
      <c r="A4" s="71" t="s">
        <v>128</v>
      </c>
      <c r="B4" s="71" t="s">
        <v>129</v>
      </c>
      <c r="C4" s="71" t="s">
        <v>252</v>
      </c>
      <c r="D4" s="71" t="s">
        <v>244</v>
      </c>
      <c r="E4" s="71" t="s">
        <v>245</v>
      </c>
      <c r="F4" s="71" t="s">
        <v>244</v>
      </c>
      <c r="G4" s="71" t="s">
        <v>245</v>
      </c>
      <c r="H4" s="71" t="s">
        <v>246</v>
      </c>
      <c r="I4" s="71" t="s">
        <v>244</v>
      </c>
      <c r="J4" s="71" t="s">
        <v>245</v>
      </c>
      <c r="K4" s="71" t="s">
        <v>246</v>
      </c>
      <c r="L4" s="71" t="s">
        <v>250</v>
      </c>
      <c r="M4" s="71" t="s">
        <v>248</v>
      </c>
      <c r="N4" s="71" t="s">
        <v>249</v>
      </c>
      <c r="O4" s="71" t="s">
        <v>247</v>
      </c>
      <c r="P4" s="71" t="s">
        <v>132</v>
      </c>
    </row>
    <row r="5" spans="1:16" x14ac:dyDescent="0.35">
      <c r="A5" s="39">
        <v>1025</v>
      </c>
      <c r="B5" s="40">
        <v>5.981122</v>
      </c>
      <c r="C5" s="29">
        <v>0</v>
      </c>
      <c r="D5" s="2">
        <v>480</v>
      </c>
      <c r="E5" s="2">
        <v>20</v>
      </c>
      <c r="F5" s="2">
        <v>240</v>
      </c>
      <c r="G5" s="2">
        <v>10</v>
      </c>
      <c r="H5" s="2">
        <v>350</v>
      </c>
      <c r="I5" s="9">
        <f t="shared" ref="I5:I13" si="0">SUM(D5,F5)</f>
        <v>720</v>
      </c>
      <c r="J5" s="2">
        <f t="shared" ref="J5:J13" si="1">SUM(E5,G5)</f>
        <v>30</v>
      </c>
      <c r="K5" s="2">
        <f t="shared" ref="K5:K13" si="2">H5</f>
        <v>350</v>
      </c>
      <c r="L5" s="30">
        <f t="shared" ref="L5:L13" si="3">SUM(I5:K5)/1000</f>
        <v>1.1000000000000001</v>
      </c>
      <c r="M5" s="2">
        <v>125</v>
      </c>
      <c r="N5" s="2">
        <v>150</v>
      </c>
      <c r="O5" s="2">
        <f t="shared" ref="O5:O13" si="4">SUM(M5:N5)/1000</f>
        <v>0.27500000000000002</v>
      </c>
      <c r="P5" s="74">
        <f t="shared" ref="P5:P13" si="5">SUM(L5,O5)</f>
        <v>1.375</v>
      </c>
    </row>
    <row r="6" spans="1:16" x14ac:dyDescent="0.35">
      <c r="A6" s="39">
        <v>1030</v>
      </c>
      <c r="B6" s="40">
        <v>6.305377</v>
      </c>
      <c r="C6" s="29">
        <f t="shared" ref="C6:C12" si="6">B5</f>
        <v>5.981122</v>
      </c>
      <c r="D6" s="2">
        <v>400</v>
      </c>
      <c r="E6" s="2">
        <v>17</v>
      </c>
      <c r="F6" s="2">
        <v>240</v>
      </c>
      <c r="G6" s="2">
        <v>10</v>
      </c>
      <c r="H6" s="2">
        <v>350</v>
      </c>
      <c r="I6" s="9">
        <f t="shared" si="0"/>
        <v>640</v>
      </c>
      <c r="J6" s="2">
        <f t="shared" si="1"/>
        <v>27</v>
      </c>
      <c r="K6" s="2">
        <f t="shared" si="2"/>
        <v>350</v>
      </c>
      <c r="L6" s="30">
        <f t="shared" si="3"/>
        <v>1.0169999999999999</v>
      </c>
      <c r="M6" s="2">
        <v>70</v>
      </c>
      <c r="N6" s="2">
        <v>101</v>
      </c>
      <c r="O6" s="2">
        <f t="shared" si="4"/>
        <v>0.17100000000000001</v>
      </c>
      <c r="P6" s="74">
        <f t="shared" si="5"/>
        <v>1.1879999999999999</v>
      </c>
    </row>
    <row r="7" spans="1:16" x14ac:dyDescent="0.35">
      <c r="A7" s="39">
        <v>1035</v>
      </c>
      <c r="B7" s="40">
        <v>6.6375080000000004</v>
      </c>
      <c r="C7" s="29">
        <f t="shared" si="6"/>
        <v>6.305377</v>
      </c>
      <c r="D7" s="2">
        <v>400</v>
      </c>
      <c r="E7" s="2">
        <v>17</v>
      </c>
      <c r="F7" s="2">
        <v>240</v>
      </c>
      <c r="G7" s="2">
        <v>10</v>
      </c>
      <c r="H7" s="2">
        <v>300</v>
      </c>
      <c r="I7" s="9">
        <f t="shared" si="0"/>
        <v>640</v>
      </c>
      <c r="J7" s="2">
        <f t="shared" si="1"/>
        <v>27</v>
      </c>
      <c r="K7" s="2">
        <f t="shared" si="2"/>
        <v>300</v>
      </c>
      <c r="L7" s="30">
        <f t="shared" si="3"/>
        <v>0.96699999999999997</v>
      </c>
      <c r="M7" s="2">
        <v>70</v>
      </c>
      <c r="N7" s="2">
        <v>92</v>
      </c>
      <c r="O7" s="2">
        <f t="shared" si="4"/>
        <v>0.16200000000000001</v>
      </c>
      <c r="P7" s="74">
        <f t="shared" si="5"/>
        <v>1.129</v>
      </c>
    </row>
    <row r="8" spans="1:16" x14ac:dyDescent="0.35">
      <c r="A8" s="39">
        <v>1040</v>
      </c>
      <c r="B8" s="40">
        <v>6.977665</v>
      </c>
      <c r="C8" s="29">
        <f t="shared" si="6"/>
        <v>6.6375080000000004</v>
      </c>
      <c r="D8" s="2">
        <v>400</v>
      </c>
      <c r="E8" s="2">
        <v>17</v>
      </c>
      <c r="F8" s="2">
        <v>240</v>
      </c>
      <c r="G8" s="2">
        <v>10</v>
      </c>
      <c r="H8" s="2">
        <v>250</v>
      </c>
      <c r="I8" s="9">
        <f t="shared" si="0"/>
        <v>640</v>
      </c>
      <c r="J8" s="2">
        <f t="shared" si="1"/>
        <v>27</v>
      </c>
      <c r="K8" s="2">
        <f t="shared" si="2"/>
        <v>250</v>
      </c>
      <c r="L8" s="30">
        <f t="shared" si="3"/>
        <v>0.91700000000000004</v>
      </c>
      <c r="M8" s="2">
        <v>70</v>
      </c>
      <c r="N8" s="2">
        <v>84</v>
      </c>
      <c r="O8" s="2">
        <f t="shared" si="4"/>
        <v>0.154</v>
      </c>
      <c r="P8" s="74">
        <f t="shared" si="5"/>
        <v>1.071</v>
      </c>
    </row>
    <row r="9" spans="1:16" x14ac:dyDescent="0.35">
      <c r="A9" s="39">
        <v>1045</v>
      </c>
      <c r="B9" s="40">
        <v>7.3260519999999998</v>
      </c>
      <c r="C9" s="29">
        <f t="shared" si="6"/>
        <v>6.977665</v>
      </c>
      <c r="D9" s="2">
        <v>400</v>
      </c>
      <c r="E9" s="2">
        <v>17</v>
      </c>
      <c r="F9" s="2">
        <v>240</v>
      </c>
      <c r="G9" s="2">
        <v>10</v>
      </c>
      <c r="H9" s="2">
        <v>200</v>
      </c>
      <c r="I9" s="9">
        <f t="shared" si="0"/>
        <v>640</v>
      </c>
      <c r="J9" s="2">
        <f t="shared" si="1"/>
        <v>27</v>
      </c>
      <c r="K9" s="2">
        <f t="shared" si="2"/>
        <v>200</v>
      </c>
      <c r="L9" s="30">
        <f t="shared" si="3"/>
        <v>0.86699999999999999</v>
      </c>
      <c r="M9" s="2">
        <v>70</v>
      </c>
      <c r="N9" s="2">
        <v>76</v>
      </c>
      <c r="O9" s="2">
        <f t="shared" si="4"/>
        <v>0.14599999999999999</v>
      </c>
      <c r="P9" s="74">
        <f t="shared" si="5"/>
        <v>1.0129999999999999</v>
      </c>
    </row>
    <row r="10" spans="1:16" x14ac:dyDescent="0.35">
      <c r="A10" s="39">
        <v>1050</v>
      </c>
      <c r="B10" s="40">
        <v>7.6828779999999997</v>
      </c>
      <c r="C10" s="29">
        <f t="shared" si="6"/>
        <v>7.3260519999999998</v>
      </c>
      <c r="D10" s="2">
        <v>400</v>
      </c>
      <c r="E10" s="2">
        <v>17</v>
      </c>
      <c r="F10" s="2">
        <v>192</v>
      </c>
      <c r="G10" s="2">
        <v>8</v>
      </c>
      <c r="H10" s="2">
        <v>0</v>
      </c>
      <c r="I10" s="9">
        <f t="shared" si="0"/>
        <v>592</v>
      </c>
      <c r="J10" s="2">
        <f t="shared" si="1"/>
        <v>25</v>
      </c>
      <c r="K10" s="2">
        <f t="shared" si="2"/>
        <v>0</v>
      </c>
      <c r="L10" s="30">
        <f t="shared" si="3"/>
        <v>0.61699999999999999</v>
      </c>
      <c r="M10" s="2">
        <v>70</v>
      </c>
      <c r="N10" s="2">
        <v>34</v>
      </c>
      <c r="O10" s="2">
        <f t="shared" si="4"/>
        <v>0.104</v>
      </c>
      <c r="P10" s="74">
        <f t="shared" si="5"/>
        <v>0.72099999999999997</v>
      </c>
    </row>
    <row r="11" spans="1:16" x14ac:dyDescent="0.35">
      <c r="A11" s="39">
        <v>1075</v>
      </c>
      <c r="B11" s="40">
        <v>9.6009879999900001</v>
      </c>
      <c r="C11" s="29">
        <f t="shared" si="6"/>
        <v>7.6828779999999997</v>
      </c>
      <c r="D11" s="2">
        <v>320</v>
      </c>
      <c r="E11" s="2">
        <v>13</v>
      </c>
      <c r="F11" s="2">
        <v>192</v>
      </c>
      <c r="G11" s="2">
        <v>8</v>
      </c>
      <c r="H11" s="2">
        <v>0</v>
      </c>
      <c r="I11" s="9">
        <f t="shared" si="0"/>
        <v>512</v>
      </c>
      <c r="J11" s="2">
        <f t="shared" si="1"/>
        <v>21</v>
      </c>
      <c r="K11" s="2">
        <f t="shared" si="2"/>
        <v>0</v>
      </c>
      <c r="L11" s="30">
        <f t="shared" si="3"/>
        <v>0.53300000000000003</v>
      </c>
      <c r="M11" s="2">
        <v>50</v>
      </c>
      <c r="N11" s="2">
        <v>30</v>
      </c>
      <c r="O11" s="74">
        <f t="shared" si="4"/>
        <v>0.08</v>
      </c>
      <c r="P11" s="74">
        <f t="shared" si="5"/>
        <v>0.61299999999999999</v>
      </c>
    </row>
    <row r="12" spans="1:16" x14ac:dyDescent="0.35">
      <c r="A12" s="39">
        <v>1090</v>
      </c>
      <c r="B12" s="40">
        <v>10.857008</v>
      </c>
      <c r="C12" s="29">
        <f t="shared" si="6"/>
        <v>9.6009879999900001</v>
      </c>
      <c r="D12" s="2">
        <v>0</v>
      </c>
      <c r="E12" s="2">
        <v>0</v>
      </c>
      <c r="F12" s="2">
        <v>192</v>
      </c>
      <c r="G12" s="2">
        <v>8</v>
      </c>
      <c r="H12" s="2">
        <v>0</v>
      </c>
      <c r="I12" s="9">
        <f t="shared" si="0"/>
        <v>192</v>
      </c>
      <c r="J12" s="2">
        <f t="shared" si="1"/>
        <v>8</v>
      </c>
      <c r="K12" s="2">
        <f t="shared" si="2"/>
        <v>0</v>
      </c>
      <c r="L12" s="30">
        <f t="shared" si="3"/>
        <v>0.2</v>
      </c>
      <c r="M12" s="2">
        <v>0</v>
      </c>
      <c r="N12" s="2">
        <v>41</v>
      </c>
      <c r="O12" s="2">
        <f t="shared" si="4"/>
        <v>4.1000000000000002E-2</v>
      </c>
      <c r="P12" s="74">
        <f t="shared" si="5"/>
        <v>0.24100000000000002</v>
      </c>
    </row>
    <row r="13" spans="1:16" x14ac:dyDescent="0.35">
      <c r="A13" s="39">
        <v>1090.0999999999999</v>
      </c>
      <c r="B13" s="40">
        <v>10.9</v>
      </c>
      <c r="C13" s="29">
        <f>B12</f>
        <v>10.857008</v>
      </c>
      <c r="D13" s="40">
        <v>0</v>
      </c>
      <c r="E13" s="40">
        <v>0</v>
      </c>
      <c r="F13" s="40">
        <v>0</v>
      </c>
      <c r="G13" s="40">
        <v>0</v>
      </c>
      <c r="H13" s="40">
        <v>0</v>
      </c>
      <c r="I13" s="40">
        <f t="shared" si="0"/>
        <v>0</v>
      </c>
      <c r="J13" s="40">
        <f t="shared" si="1"/>
        <v>0</v>
      </c>
      <c r="K13" s="40">
        <f t="shared" si="2"/>
        <v>0</v>
      </c>
      <c r="L13" s="41">
        <f t="shared" si="3"/>
        <v>0</v>
      </c>
      <c r="M13" s="37">
        <v>0</v>
      </c>
      <c r="N13" s="48">
        <v>0</v>
      </c>
      <c r="O13" s="2">
        <f t="shared" si="4"/>
        <v>0</v>
      </c>
      <c r="P13" s="50">
        <f t="shared" si="5"/>
        <v>0</v>
      </c>
    </row>
    <row r="14" spans="1:16" x14ac:dyDescent="0.35">
      <c r="B14" s="78"/>
    </row>
    <row r="15" spans="1:16" x14ac:dyDescent="0.35">
      <c r="B15" s="76"/>
      <c r="C15" s="77"/>
    </row>
    <row r="16" spans="1:16" x14ac:dyDescent="0.35">
      <c r="A16" t="s">
        <v>251</v>
      </c>
    </row>
    <row r="17" spans="1:16" x14ac:dyDescent="0.35">
      <c r="A17" s="73">
        <v>1091</v>
      </c>
    </row>
    <row r="18" spans="1:16" x14ac:dyDescent="0.35">
      <c r="A18" s="39">
        <v>1090</v>
      </c>
      <c r="D18" s="2">
        <v>0</v>
      </c>
      <c r="E18" s="2">
        <v>0</v>
      </c>
      <c r="F18" s="2">
        <v>192</v>
      </c>
      <c r="G18" s="2">
        <v>8</v>
      </c>
      <c r="H18" s="2">
        <v>0</v>
      </c>
      <c r="I18" s="9">
        <f>SUM(D18,F18)</f>
        <v>192</v>
      </c>
      <c r="J18" s="2">
        <f>SUM(E18,G18)</f>
        <v>8</v>
      </c>
      <c r="K18" s="2">
        <f>H18</f>
        <v>0</v>
      </c>
      <c r="L18" s="30">
        <f>SUM(I18:K18)/1000</f>
        <v>0.2</v>
      </c>
      <c r="M18" s="2">
        <v>0</v>
      </c>
      <c r="N18" s="2">
        <v>41</v>
      </c>
      <c r="O18" s="2">
        <f>SUM(M18:N18)/1000</f>
        <v>4.1000000000000002E-2</v>
      </c>
      <c r="P18" s="74">
        <f>SUM(L18,O18)</f>
        <v>0.24100000000000002</v>
      </c>
    </row>
    <row r="19" spans="1:16" x14ac:dyDescent="0.35">
      <c r="A19" s="39">
        <v>1075</v>
      </c>
      <c r="D19" s="2">
        <v>320</v>
      </c>
      <c r="E19" s="2">
        <v>13</v>
      </c>
      <c r="F19" s="2">
        <v>192</v>
      </c>
      <c r="G19" s="2">
        <v>8</v>
      </c>
      <c r="H19" s="2">
        <v>0</v>
      </c>
      <c r="I19" s="9">
        <f t="shared" ref="I19:I25" si="7">SUM(D19,F19)</f>
        <v>512</v>
      </c>
      <c r="J19" s="2">
        <f t="shared" ref="J19:J25" si="8">SUM(E19,G19)</f>
        <v>21</v>
      </c>
      <c r="K19" s="2">
        <f t="shared" ref="K19:K25" si="9">H19</f>
        <v>0</v>
      </c>
      <c r="L19" s="30">
        <f t="shared" ref="L19:L25" si="10">SUM(I19:K19)/1000</f>
        <v>0.53300000000000003</v>
      </c>
      <c r="M19" s="2">
        <v>50</v>
      </c>
      <c r="N19" s="2">
        <v>30</v>
      </c>
      <c r="O19" s="2">
        <f t="shared" ref="O19:O25" si="11">SUM(M19:N19)/1000</f>
        <v>0.08</v>
      </c>
      <c r="P19" s="74">
        <f t="shared" ref="P19:P25" si="12">SUM(L19,O19)</f>
        <v>0.61299999999999999</v>
      </c>
    </row>
    <row r="20" spans="1:16" x14ac:dyDescent="0.35">
      <c r="A20" s="39">
        <v>1050</v>
      </c>
      <c r="D20" s="2">
        <v>400</v>
      </c>
      <c r="E20" s="2">
        <v>17</v>
      </c>
      <c r="F20" s="2">
        <v>192</v>
      </c>
      <c r="G20" s="2">
        <v>8</v>
      </c>
      <c r="H20" s="2">
        <v>0</v>
      </c>
      <c r="I20" s="9">
        <f t="shared" si="7"/>
        <v>592</v>
      </c>
      <c r="J20" s="2">
        <f t="shared" si="8"/>
        <v>25</v>
      </c>
      <c r="K20" s="2">
        <f t="shared" si="9"/>
        <v>0</v>
      </c>
      <c r="L20" s="30">
        <f t="shared" si="10"/>
        <v>0.61699999999999999</v>
      </c>
      <c r="M20" s="2">
        <v>70</v>
      </c>
      <c r="N20" s="2">
        <v>34</v>
      </c>
      <c r="O20" s="2">
        <f t="shared" si="11"/>
        <v>0.104</v>
      </c>
      <c r="P20" s="74">
        <f t="shared" si="12"/>
        <v>0.72099999999999997</v>
      </c>
    </row>
    <row r="21" spans="1:16" x14ac:dyDescent="0.35">
      <c r="A21" s="39">
        <v>1045</v>
      </c>
      <c r="D21" s="2">
        <v>400</v>
      </c>
      <c r="E21" s="2">
        <v>17</v>
      </c>
      <c r="F21" s="2">
        <v>240</v>
      </c>
      <c r="G21" s="2">
        <v>10</v>
      </c>
      <c r="H21" s="2">
        <v>200</v>
      </c>
      <c r="I21" s="9">
        <f t="shared" si="7"/>
        <v>640</v>
      </c>
      <c r="J21" s="2">
        <f t="shared" si="8"/>
        <v>27</v>
      </c>
      <c r="K21" s="2">
        <f t="shared" si="9"/>
        <v>200</v>
      </c>
      <c r="L21" s="30">
        <f t="shared" si="10"/>
        <v>0.86699999999999999</v>
      </c>
      <c r="M21" s="2">
        <v>70</v>
      </c>
      <c r="N21" s="2">
        <v>76</v>
      </c>
      <c r="O21" s="2">
        <f t="shared" si="11"/>
        <v>0.14599999999999999</v>
      </c>
      <c r="P21" s="74">
        <f t="shared" si="12"/>
        <v>1.0129999999999999</v>
      </c>
    </row>
    <row r="22" spans="1:16" x14ac:dyDescent="0.35">
      <c r="A22" s="39">
        <v>1040</v>
      </c>
      <c r="D22" s="2">
        <v>400</v>
      </c>
      <c r="E22" s="2">
        <v>17</v>
      </c>
      <c r="F22" s="2">
        <v>240</v>
      </c>
      <c r="G22" s="2">
        <v>10</v>
      </c>
      <c r="H22" s="2">
        <v>250</v>
      </c>
      <c r="I22" s="9">
        <f t="shared" si="7"/>
        <v>640</v>
      </c>
      <c r="J22" s="2">
        <f t="shared" si="8"/>
        <v>27</v>
      </c>
      <c r="K22" s="2">
        <f t="shared" si="9"/>
        <v>250</v>
      </c>
      <c r="L22" s="30">
        <f t="shared" si="10"/>
        <v>0.91700000000000004</v>
      </c>
      <c r="M22" s="2">
        <v>70</v>
      </c>
      <c r="N22" s="2">
        <v>84</v>
      </c>
      <c r="O22" s="2">
        <f t="shared" si="11"/>
        <v>0.154</v>
      </c>
      <c r="P22" s="74">
        <f t="shared" si="12"/>
        <v>1.071</v>
      </c>
    </row>
    <row r="23" spans="1:16" x14ac:dyDescent="0.35">
      <c r="A23" s="39">
        <v>1035</v>
      </c>
      <c r="D23" s="2">
        <v>400</v>
      </c>
      <c r="E23" s="2">
        <v>17</v>
      </c>
      <c r="F23" s="2">
        <v>240</v>
      </c>
      <c r="G23" s="2">
        <v>10</v>
      </c>
      <c r="H23" s="2">
        <v>300</v>
      </c>
      <c r="I23" s="9">
        <f t="shared" si="7"/>
        <v>640</v>
      </c>
      <c r="J23" s="2">
        <f t="shared" si="8"/>
        <v>27</v>
      </c>
      <c r="K23" s="2">
        <f t="shared" si="9"/>
        <v>300</v>
      </c>
      <c r="L23" s="30">
        <f t="shared" si="10"/>
        <v>0.96699999999999997</v>
      </c>
      <c r="M23" s="2">
        <v>70</v>
      </c>
      <c r="N23" s="2">
        <v>92</v>
      </c>
      <c r="O23" s="2">
        <f t="shared" si="11"/>
        <v>0.16200000000000001</v>
      </c>
      <c r="P23" s="74">
        <f t="shared" si="12"/>
        <v>1.129</v>
      </c>
    </row>
    <row r="24" spans="1:16" x14ac:dyDescent="0.35">
      <c r="A24" s="39">
        <v>1030</v>
      </c>
      <c r="D24" s="2">
        <v>400</v>
      </c>
      <c r="E24" s="2">
        <v>17</v>
      </c>
      <c r="F24" s="2">
        <v>240</v>
      </c>
      <c r="G24" s="2">
        <v>10</v>
      </c>
      <c r="H24" s="2">
        <v>350</v>
      </c>
      <c r="I24" s="9">
        <f t="shared" si="7"/>
        <v>640</v>
      </c>
      <c r="J24" s="2">
        <f t="shared" si="8"/>
        <v>27</v>
      </c>
      <c r="K24" s="2">
        <f t="shared" si="9"/>
        <v>350</v>
      </c>
      <c r="L24" s="30">
        <f t="shared" si="10"/>
        <v>1.0169999999999999</v>
      </c>
      <c r="M24" s="2">
        <v>70</v>
      </c>
      <c r="N24" s="2">
        <v>101</v>
      </c>
      <c r="O24" s="2">
        <f t="shared" si="11"/>
        <v>0.17100000000000001</v>
      </c>
      <c r="P24" s="74">
        <f t="shared" si="12"/>
        <v>1.1879999999999999</v>
      </c>
    </row>
    <row r="25" spans="1:16" x14ac:dyDescent="0.35">
      <c r="A25" s="39">
        <v>1025</v>
      </c>
      <c r="D25" s="2">
        <v>480</v>
      </c>
      <c r="E25" s="2">
        <v>20</v>
      </c>
      <c r="F25" s="2">
        <v>240</v>
      </c>
      <c r="G25" s="2">
        <v>10</v>
      </c>
      <c r="H25" s="2">
        <v>350</v>
      </c>
      <c r="I25" s="9">
        <f t="shared" si="7"/>
        <v>720</v>
      </c>
      <c r="J25" s="2">
        <f t="shared" si="8"/>
        <v>30</v>
      </c>
      <c r="K25" s="2">
        <f t="shared" si="9"/>
        <v>350</v>
      </c>
      <c r="L25" s="30">
        <f t="shared" si="10"/>
        <v>1.1000000000000001</v>
      </c>
      <c r="M25" s="2">
        <v>125</v>
      </c>
      <c r="N25" s="2">
        <v>150</v>
      </c>
      <c r="O25" s="2">
        <f t="shared" si="11"/>
        <v>0.27500000000000002</v>
      </c>
      <c r="P25" s="74">
        <f t="shared" si="12"/>
        <v>1.375</v>
      </c>
    </row>
    <row r="26" spans="1:16" x14ac:dyDescent="0.35">
      <c r="A26" s="38">
        <v>955</v>
      </c>
    </row>
    <row r="29" spans="1:16" x14ac:dyDescent="0.35">
      <c r="A29" s="39"/>
      <c r="I29" s="9"/>
      <c r="L29" s="30"/>
      <c r="O29" s="2"/>
      <c r="P29" s="74"/>
    </row>
    <row r="30" spans="1:16" x14ac:dyDescent="0.35">
      <c r="A30" s="39"/>
      <c r="I30" s="9"/>
      <c r="L30" s="30"/>
      <c r="O30" s="2"/>
      <c r="P30" s="74"/>
    </row>
    <row r="31" spans="1:16" x14ac:dyDescent="0.35">
      <c r="A31" s="39"/>
      <c r="I31" s="9"/>
      <c r="L31" s="30"/>
      <c r="O31" s="2"/>
      <c r="P31" s="74"/>
    </row>
    <row r="32" spans="1:16" x14ac:dyDescent="0.35">
      <c r="A32" s="39"/>
      <c r="I32" s="9"/>
      <c r="L32" s="30"/>
      <c r="O32" s="2"/>
      <c r="P32" s="74"/>
    </row>
    <row r="33" spans="1:16" x14ac:dyDescent="0.35">
      <c r="A33" s="39"/>
      <c r="I33" s="9"/>
      <c r="L33" s="30"/>
      <c r="O33" s="2"/>
      <c r="P33" s="74"/>
    </row>
    <row r="34" spans="1:16" x14ac:dyDescent="0.35">
      <c r="A34" s="39"/>
      <c r="I34" s="9"/>
      <c r="L34" s="30"/>
      <c r="O34" s="2"/>
      <c r="P34" s="74"/>
    </row>
    <row r="35" spans="1:16" x14ac:dyDescent="0.35">
      <c r="A35" s="39"/>
      <c r="I35" s="9"/>
      <c r="L35" s="30"/>
      <c r="O35" s="2"/>
      <c r="P35" s="74"/>
    </row>
    <row r="36" spans="1:16" x14ac:dyDescent="0.35">
      <c r="A36" s="39"/>
      <c r="I36" s="9"/>
      <c r="L36" s="30"/>
      <c r="O36" s="2"/>
      <c r="P36" s="74"/>
    </row>
  </sheetData>
  <sortState ref="A29:P36">
    <sortCondition ref="A29:A36"/>
  </sortState>
  <mergeCells count="4">
    <mergeCell ref="D3:E3"/>
    <mergeCell ref="F3:H3"/>
    <mergeCell ref="I3:K3"/>
    <mergeCell ref="M3:O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36328125" customWidth="1"/>
    <col min="2" max="2" width="24.54296875" customWidth="1"/>
    <col min="3" max="3" width="8.08984375" style="2" bestFit="1" customWidth="1"/>
    <col min="4" max="10" width="7.7265625" style="2" bestFit="1" customWidth="1"/>
    <col min="11" max="12" width="7.6328125" style="2" bestFit="1" customWidth="1"/>
    <col min="13" max="21" width="7.7265625" bestFit="1" customWidth="1"/>
    <col min="22" max="22" width="8.90625" bestFit="1" customWidth="1"/>
    <col min="23" max="23" width="8.90625" customWidth="1"/>
  </cols>
  <sheetData>
    <row r="1" spans="1:24" x14ac:dyDescent="0.35">
      <c r="A1" s="1" t="s">
        <v>54</v>
      </c>
    </row>
    <row r="3" spans="1:24" x14ac:dyDescent="0.35">
      <c r="A3" t="s">
        <v>76</v>
      </c>
    </row>
    <row r="5" spans="1:24" s="1" customFormat="1" x14ac:dyDescent="0.35">
      <c r="A5" s="1" t="s">
        <v>56</v>
      </c>
      <c r="B5" s="1" t="s">
        <v>55</v>
      </c>
      <c r="C5" s="13" t="s">
        <v>5</v>
      </c>
      <c r="D5" s="13" t="s">
        <v>6</v>
      </c>
      <c r="E5" s="13" t="s">
        <v>7</v>
      </c>
      <c r="F5" s="13" t="s">
        <v>8</v>
      </c>
      <c r="G5" s="13" t="s">
        <v>9</v>
      </c>
      <c r="H5" s="13" t="s">
        <v>10</v>
      </c>
      <c r="I5" s="13" t="s">
        <v>11</v>
      </c>
      <c r="J5" s="13" t="s">
        <v>12</v>
      </c>
      <c r="K5" s="13" t="s">
        <v>36</v>
      </c>
      <c r="L5" s="13" t="s">
        <v>37</v>
      </c>
      <c r="M5" s="13" t="s">
        <v>59</v>
      </c>
      <c r="N5" s="13" t="s">
        <v>60</v>
      </c>
      <c r="O5" s="13" t="s">
        <v>61</v>
      </c>
      <c r="P5" s="13" t="s">
        <v>62</v>
      </c>
      <c r="Q5" s="13" t="s">
        <v>63</v>
      </c>
      <c r="R5" s="13" t="s">
        <v>64</v>
      </c>
      <c r="S5" s="13" t="s">
        <v>65</v>
      </c>
      <c r="T5" s="13" t="s">
        <v>66</v>
      </c>
      <c r="U5" s="13" t="s">
        <v>67</v>
      </c>
      <c r="V5" s="1" t="s">
        <v>83</v>
      </c>
      <c r="W5" s="1" t="s">
        <v>84</v>
      </c>
      <c r="X5" s="1" t="s">
        <v>57</v>
      </c>
    </row>
    <row r="6" spans="1:24" x14ac:dyDescent="0.35">
      <c r="A6" t="s">
        <v>86</v>
      </c>
      <c r="B6" t="s">
        <v>87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29">
        <f>AVERAGE(C6:L6)</f>
        <v>12.400000000000002</v>
      </c>
      <c r="W6" s="29">
        <f>AVERAGE(C6:U6)</f>
        <v>12.400000000000004</v>
      </c>
      <c r="X6" t="s">
        <v>71</v>
      </c>
    </row>
    <row r="7" spans="1:24" x14ac:dyDescent="0.35">
      <c r="A7" t="s">
        <v>88</v>
      </c>
      <c r="B7" t="s">
        <v>58</v>
      </c>
      <c r="C7" s="29">
        <v>10.541308000000001</v>
      </c>
      <c r="D7" s="29">
        <v>11.023149</v>
      </c>
      <c r="E7" s="29">
        <v>5.870736</v>
      </c>
      <c r="F7" s="29">
        <v>10.455249</v>
      </c>
      <c r="G7" s="29">
        <v>9.4432220000000004</v>
      </c>
      <c r="H7" s="29">
        <v>17.117932</v>
      </c>
      <c r="I7" s="29">
        <v>12.627808</v>
      </c>
      <c r="J7" s="29">
        <v>12.567529</v>
      </c>
      <c r="K7" s="29">
        <v>16.3156</v>
      </c>
      <c r="L7" s="29">
        <v>14.306982</v>
      </c>
      <c r="M7" s="29">
        <v>12.326231999999999</v>
      </c>
      <c r="N7" s="29">
        <v>20.207163000000001</v>
      </c>
      <c r="O7" s="29">
        <v>8.4420540000000006</v>
      </c>
      <c r="P7" s="29">
        <v>8.9732859999999999</v>
      </c>
      <c r="Q7" s="29">
        <v>14.100669999999999</v>
      </c>
      <c r="R7" s="29">
        <v>13.433123999999999</v>
      </c>
      <c r="S7" s="29">
        <v>13.477814</v>
      </c>
      <c r="T7" s="29">
        <v>16.476396999999999</v>
      </c>
      <c r="U7" s="29">
        <v>8.6142029999999998</v>
      </c>
      <c r="V7" s="29">
        <f t="shared" ref="V7:V13" si="1">AVERAGE(C7:L7)</f>
        <v>12.026951499999999</v>
      </c>
      <c r="W7" s="29">
        <f t="shared" ref="W7:W13" si="2">AVERAGE(C7:U7)</f>
        <v>12.437918842105264</v>
      </c>
      <c r="X7" t="s">
        <v>71</v>
      </c>
    </row>
    <row r="8" spans="1:24" x14ac:dyDescent="0.35">
      <c r="A8" t="s">
        <v>89</v>
      </c>
      <c r="B8" t="s">
        <v>73</v>
      </c>
      <c r="C8" s="29">
        <f>INDEX($C$7:$U$7, _xlfn.RANK.EQ(C19, $C19:$U19) + COUNTIF($C19:C19, C19) - 1)</f>
        <v>12.627808</v>
      </c>
      <c r="D8" s="29">
        <f>INDEX($C$7:$U$7, _xlfn.RANK.EQ(D19, $C19:$U19) + COUNTIF($C19:D19, D19) - 1)</f>
        <v>12.326231999999999</v>
      </c>
      <c r="E8" s="29">
        <f>INDEX($C$7:$U$7, _xlfn.RANK.EQ(E19, $C19:$U19) + COUNTIF($C19:E19, E19) - 1)</f>
        <v>10.455249</v>
      </c>
      <c r="F8" s="29">
        <f>INDEX($C$7:$U$7, _xlfn.RANK.EQ(F19, $C19:$U19) + COUNTIF($C19:F19, F19) - 1)</f>
        <v>5.870736</v>
      </c>
      <c r="G8" s="29">
        <f>INDEX($C$7:$U$7, _xlfn.RANK.EQ(G19, $C19:$U19) + COUNTIF($C19:G19, G19) - 1)</f>
        <v>14.100669999999999</v>
      </c>
      <c r="H8" s="29">
        <f>INDEX($C$7:$U$7, _xlfn.RANK.EQ(H19, $C19:$U19) + COUNTIF($C19:H19, H19) - 1)</f>
        <v>10.541308000000001</v>
      </c>
      <c r="I8" s="29">
        <f>INDEX($C$7:$U$7, _xlfn.RANK.EQ(I19, $C19:$U19) + COUNTIF($C19:I19, I19) - 1)</f>
        <v>17.117932</v>
      </c>
      <c r="J8" s="29">
        <f>INDEX($C$7:$U$7, _xlfn.RANK.EQ(J19, $C19:$U19) + COUNTIF($C19:J19, J19) - 1)</f>
        <v>9.4432220000000004</v>
      </c>
      <c r="K8" s="29">
        <f>INDEX($C$7:$U$7, _xlfn.RANK.EQ(K19, $C19:$U19) + COUNTIF($C19:K19, K19) - 1)</f>
        <v>20.207163000000001</v>
      </c>
      <c r="L8" s="29">
        <f>INDEX($C$7:$U$7, _xlfn.RANK.EQ(L19, $C19:$U19) + COUNTIF($C19:L19, L19) - 1)</f>
        <v>12.567529</v>
      </c>
      <c r="M8" s="29">
        <f>INDEX($C$7:$U$7, _xlfn.RANK.EQ(M19, $C19:$U19) + COUNTIF($C19:M19, M19) - 1)</f>
        <v>14.306982</v>
      </c>
      <c r="N8" s="29">
        <f>INDEX($C$7:$U$7, _xlfn.RANK.EQ(N19, $C19:$U19) + COUNTIF($C19:N19, N19) - 1)</f>
        <v>11.023149</v>
      </c>
      <c r="O8" s="29">
        <f>INDEX($C$7:$U$7, _xlfn.RANK.EQ(O19, $C19:$U19) + COUNTIF($C19:O19, O19) - 1)</f>
        <v>8.4420540000000006</v>
      </c>
      <c r="P8" s="29">
        <f>INDEX($C$7:$U$7, _xlfn.RANK.EQ(P19, $C19:$U19) + COUNTIF($C19:P19, P19) - 1)</f>
        <v>8.9732859999999999</v>
      </c>
      <c r="Q8" s="29">
        <f>INDEX($C$7:$U$7, _xlfn.RANK.EQ(Q19, $C19:$U19) + COUNTIF($C19:Q19, Q19) - 1)</f>
        <v>16.476396999999999</v>
      </c>
      <c r="R8" s="29">
        <f>INDEX($C$7:$U$7, _xlfn.RANK.EQ(R19, $C19:$U19) + COUNTIF($C19:R19, R19) - 1)</f>
        <v>16.3156</v>
      </c>
      <c r="S8" s="29">
        <f>INDEX($C$7:$U$7, _xlfn.RANK.EQ(S19, $C19:$U19) + COUNTIF($C19:S19, S19) - 1)</f>
        <v>13.477814</v>
      </c>
      <c r="T8" s="29">
        <f>INDEX($C$7:$U$7, _xlfn.RANK.EQ(T19, $C19:$U19) + COUNTIF($C19:T19, T19) - 1)</f>
        <v>13.433123999999999</v>
      </c>
      <c r="U8" s="29">
        <f>INDEX($C$7:$U$7, _xlfn.RANK.EQ(U19, $C19:$U19) + COUNTIF($C19:U19, U19) - 1)</f>
        <v>8.6142029999999998</v>
      </c>
      <c r="V8" s="29">
        <f t="shared" si="1"/>
        <v>12.525784900000001</v>
      </c>
      <c r="W8" s="29">
        <f t="shared" si="2"/>
        <v>12.437918842105264</v>
      </c>
      <c r="X8" t="s">
        <v>72</v>
      </c>
    </row>
    <row r="9" spans="1:24" x14ac:dyDescent="0.35">
      <c r="A9" t="s">
        <v>89</v>
      </c>
      <c r="B9" t="s">
        <v>74</v>
      </c>
      <c r="C9" s="29">
        <f>INDEX($C$7:$U$7, _xlfn.RANK.EQ(C20, $C20:$U20) + COUNTIF($C20:C20, C20) - 1)</f>
        <v>17.117932</v>
      </c>
      <c r="D9" s="29">
        <f>INDEX($C$7:$U$7, _xlfn.RANK.EQ(D20, $C20:$U20) + COUNTIF($C20:D20, D20) - 1)</f>
        <v>10.541308000000001</v>
      </c>
      <c r="E9" s="29">
        <f>INDEX($C$7:$U$7, _xlfn.RANK.EQ(E20, $C20:$U20) + COUNTIF($C20:E20, E20) - 1)</f>
        <v>14.100669999999999</v>
      </c>
      <c r="F9" s="29">
        <f>INDEX($C$7:$U$7, _xlfn.RANK.EQ(F20, $C20:$U20) + COUNTIF($C20:F20, F20) - 1)</f>
        <v>14.306982</v>
      </c>
      <c r="G9" s="29">
        <f>INDEX($C$7:$U$7, _xlfn.RANK.EQ(G20, $C20:$U20) + COUNTIF($C20:G20, G20) - 1)</f>
        <v>8.6142029999999998</v>
      </c>
      <c r="H9" s="29">
        <f>INDEX($C$7:$U$7, _xlfn.RANK.EQ(H20, $C20:$U20) + COUNTIF($C20:H20, H20) - 1)</f>
        <v>12.326231999999999</v>
      </c>
      <c r="I9" s="29">
        <f>INDEX($C$7:$U$7, _xlfn.RANK.EQ(I20, $C20:$U20) + COUNTIF($C20:I20, I20) - 1)</f>
        <v>10.455249</v>
      </c>
      <c r="J9" s="29">
        <f>INDEX($C$7:$U$7, _xlfn.RANK.EQ(J20, $C20:$U20) + COUNTIF($C20:J20, J20) - 1)</f>
        <v>5.870736</v>
      </c>
      <c r="K9" s="29">
        <f>INDEX($C$7:$U$7, _xlfn.RANK.EQ(K20, $C20:$U20) + COUNTIF($C20:K20, K20) - 1)</f>
        <v>13.433123999999999</v>
      </c>
      <c r="L9" s="29">
        <f>INDEX($C$7:$U$7, _xlfn.RANK.EQ(L20, $C20:$U20) + COUNTIF($C20:L20, L20) - 1)</f>
        <v>11.023149</v>
      </c>
      <c r="M9" s="29">
        <f>INDEX($C$7:$U$7, _xlfn.RANK.EQ(M20, $C20:$U20) + COUNTIF($C20:M20, M20) - 1)</f>
        <v>8.4420540000000006</v>
      </c>
      <c r="N9" s="29">
        <f>INDEX($C$7:$U$7, _xlfn.RANK.EQ(N20, $C20:$U20) + COUNTIF($C20:N20, N20) - 1)</f>
        <v>16.476396999999999</v>
      </c>
      <c r="O9" s="29">
        <f>INDEX($C$7:$U$7, _xlfn.RANK.EQ(O20, $C20:$U20) + COUNTIF($C20:O20, O20) - 1)</f>
        <v>20.207163000000001</v>
      </c>
      <c r="P9" s="29">
        <f>INDEX($C$7:$U$7, _xlfn.RANK.EQ(P20, $C20:$U20) + COUNTIF($C20:P20, P20) - 1)</f>
        <v>12.567529</v>
      </c>
      <c r="Q9" s="29">
        <f>INDEX($C$7:$U$7, _xlfn.RANK.EQ(Q20, $C20:$U20) + COUNTIF($C20:Q20, Q20) - 1)</f>
        <v>8.9732859999999999</v>
      </c>
      <c r="R9" s="29">
        <f>INDEX($C$7:$U$7, _xlfn.RANK.EQ(R20, $C20:$U20) + COUNTIF($C20:R20, R20) - 1)</f>
        <v>12.627808</v>
      </c>
      <c r="S9" s="29">
        <f>INDEX($C$7:$U$7, _xlfn.RANK.EQ(S20, $C20:$U20) + COUNTIF($C20:S20, S20) - 1)</f>
        <v>13.477814</v>
      </c>
      <c r="T9" s="29">
        <f>INDEX($C$7:$U$7, _xlfn.RANK.EQ(T20, $C20:$U20) + COUNTIF($C20:T20, T20) - 1)</f>
        <v>9.4432220000000004</v>
      </c>
      <c r="U9" s="29">
        <f>INDEX($C$7:$U$7, _xlfn.RANK.EQ(U20, $C20:$U20) + COUNTIF($C20:U20, U20) - 1)</f>
        <v>16.3156</v>
      </c>
      <c r="V9" s="29">
        <f t="shared" si="1"/>
        <v>11.7789585</v>
      </c>
      <c r="W9" s="29">
        <f t="shared" si="2"/>
        <v>12.437918842105262</v>
      </c>
      <c r="X9" t="s">
        <v>72</v>
      </c>
    </row>
    <row r="10" spans="1:24" x14ac:dyDescent="0.35">
      <c r="A10" t="s">
        <v>89</v>
      </c>
      <c r="B10" t="s">
        <v>75</v>
      </c>
      <c r="C10" s="29">
        <f>INDEX($C$7:$U$7, _xlfn.RANK.EQ(C21, $C21:$U21) + COUNTIF($C21:C21, C21) - 1)</f>
        <v>20.207163000000001</v>
      </c>
      <c r="D10" s="29">
        <f>INDEX($C$7:$U$7, _xlfn.RANK.EQ(D21, $C21:$U21) + COUNTIF($C21:D21, D21) - 1)</f>
        <v>17.117932</v>
      </c>
      <c r="E10" s="29">
        <f>INDEX($C$7:$U$7, _xlfn.RANK.EQ(E21, $C21:$U21) + COUNTIF($C21:E21, E21) - 1)</f>
        <v>16.476396999999999</v>
      </c>
      <c r="F10" s="29">
        <f>INDEX($C$7:$U$7, _xlfn.RANK.EQ(F21, $C21:$U21) + COUNTIF($C21:F21, F21) - 1)</f>
        <v>12.326231999999999</v>
      </c>
      <c r="G10" s="29">
        <f>INDEX($C$7:$U$7, _xlfn.RANK.EQ(G21, $C21:$U21) + COUNTIF($C21:G21, G21) - 1)</f>
        <v>12.627808</v>
      </c>
      <c r="H10" s="29">
        <f>INDEX($C$7:$U$7, _xlfn.RANK.EQ(H21, $C21:$U21) + COUNTIF($C21:H21, H21) - 1)</f>
        <v>13.433123999999999</v>
      </c>
      <c r="I10" s="29">
        <f>INDEX($C$7:$U$7, _xlfn.RANK.EQ(I21, $C21:$U21) + COUNTIF($C21:I21, I21) - 1)</f>
        <v>10.541308000000001</v>
      </c>
      <c r="J10" s="29">
        <f>INDEX($C$7:$U$7, _xlfn.RANK.EQ(J21, $C21:$U21) + COUNTIF($C21:J21, J21) - 1)</f>
        <v>16.3156</v>
      </c>
      <c r="K10" s="29">
        <f>INDEX($C$7:$U$7, _xlfn.RANK.EQ(K21, $C21:$U21) + COUNTIF($C21:K21, K21) - 1)</f>
        <v>9.4432220000000004</v>
      </c>
      <c r="L10" s="29">
        <f>INDEX($C$7:$U$7, _xlfn.RANK.EQ(L21, $C21:$U21) + COUNTIF($C21:L21, L21) - 1)</f>
        <v>14.306982</v>
      </c>
      <c r="M10" s="29">
        <f>INDEX($C$7:$U$7, _xlfn.RANK.EQ(M21, $C21:$U21) + COUNTIF($C21:M21, M21) - 1)</f>
        <v>8.6142029999999998</v>
      </c>
      <c r="N10" s="29">
        <f>INDEX($C$7:$U$7, _xlfn.RANK.EQ(N21, $C21:$U21) + COUNTIF($C21:N21, N21) - 1)</f>
        <v>10.455249</v>
      </c>
      <c r="O10" s="29">
        <f>INDEX($C$7:$U$7, _xlfn.RANK.EQ(O21, $C21:$U21) + COUNTIF($C21:O21, O21) - 1)</f>
        <v>8.4420540000000006</v>
      </c>
      <c r="P10" s="29">
        <f>INDEX($C$7:$U$7, _xlfn.RANK.EQ(P21, $C21:$U21) + COUNTIF($C21:P21, P21) - 1)</f>
        <v>8.9732859999999999</v>
      </c>
      <c r="Q10" s="29">
        <f>INDEX($C$7:$U$7, _xlfn.RANK.EQ(Q21, $C21:$U21) + COUNTIF($C21:Q21, Q21) - 1)</f>
        <v>14.100669999999999</v>
      </c>
      <c r="R10" s="29">
        <f>INDEX($C$7:$U$7, _xlfn.RANK.EQ(R21, $C21:$U21) + COUNTIF($C21:R21, R21) - 1)</f>
        <v>13.477814</v>
      </c>
      <c r="S10" s="29">
        <f>INDEX($C$7:$U$7, _xlfn.RANK.EQ(S21, $C21:$U21) + COUNTIF($C21:S21, S21) - 1)</f>
        <v>5.870736</v>
      </c>
      <c r="T10" s="29">
        <f>INDEX($C$7:$U$7, _xlfn.RANK.EQ(T21, $C21:$U21) + COUNTIF($C21:T21, T21) - 1)</f>
        <v>12.567529</v>
      </c>
      <c r="U10" s="29">
        <f>INDEX($C$7:$U$7, _xlfn.RANK.EQ(U21, $C21:$U21) + COUNTIF($C21:U21, U21) - 1)</f>
        <v>11.023149</v>
      </c>
      <c r="V10" s="29">
        <f t="shared" si="1"/>
        <v>14.279576800000001</v>
      </c>
      <c r="W10" s="29">
        <f t="shared" si="2"/>
        <v>12.437918842105265</v>
      </c>
      <c r="X10" t="s">
        <v>72</v>
      </c>
    </row>
    <row r="11" spans="1:24" x14ac:dyDescent="0.35">
      <c r="A11" t="s">
        <v>77</v>
      </c>
      <c r="B11" t="s">
        <v>90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29">
        <f t="shared" si="1"/>
        <v>11.400000000000002</v>
      </c>
      <c r="W11" s="29">
        <f t="shared" si="2"/>
        <v>11.400000000000004</v>
      </c>
    </row>
    <row r="12" spans="1:24" x14ac:dyDescent="0.35">
      <c r="A12" t="s">
        <v>79</v>
      </c>
      <c r="B12" t="s">
        <v>80</v>
      </c>
      <c r="C12" s="29">
        <v>8.0656773127944597</v>
      </c>
      <c r="D12" s="29">
        <v>12.179497010248401</v>
      </c>
      <c r="E12" s="29">
        <v>10.4021452093777</v>
      </c>
      <c r="F12" s="29">
        <v>13.518813794409299</v>
      </c>
      <c r="G12" s="29">
        <v>16.316885566837801</v>
      </c>
      <c r="H12" s="29">
        <v>8.2963173615850092</v>
      </c>
      <c r="I12" s="29">
        <v>8.2334084440403892</v>
      </c>
      <c r="J12" s="29">
        <v>8.0507265516528701</v>
      </c>
      <c r="K12" s="29">
        <v>10.939025533005399</v>
      </c>
      <c r="L12" s="29">
        <v>17.117619193537298</v>
      </c>
      <c r="M12" s="29">
        <v>15.180122066368499</v>
      </c>
      <c r="N12" s="29">
        <v>18.434952033152101</v>
      </c>
      <c r="O12" s="29">
        <v>12.0058419359474</v>
      </c>
      <c r="P12" s="29">
        <v>6.7697458167134199</v>
      </c>
      <c r="Q12" s="29">
        <v>14.549174163850401</v>
      </c>
      <c r="R12" s="29">
        <v>7.0958145122825593</v>
      </c>
      <c r="S12" s="29">
        <v>14.9052393166876</v>
      </c>
      <c r="T12" s="29">
        <v>15.428213164007099</v>
      </c>
      <c r="U12" s="29">
        <v>17.679933099266101</v>
      </c>
      <c r="V12" s="29">
        <f t="shared" si="1"/>
        <v>11.312011597748862</v>
      </c>
      <c r="W12" s="29">
        <f t="shared" si="2"/>
        <v>12.377323793987571</v>
      </c>
      <c r="X12" t="s">
        <v>82</v>
      </c>
    </row>
    <row r="13" spans="1:24" x14ac:dyDescent="0.35">
      <c r="A13" t="s">
        <v>81</v>
      </c>
      <c r="B13" t="s">
        <v>80</v>
      </c>
      <c r="C13" s="29">
        <v>13.6721827614197</v>
      </c>
      <c r="D13" s="29">
        <v>12.666445529103701</v>
      </c>
      <c r="E13" s="29">
        <v>8.2123208856145009</v>
      </c>
      <c r="F13" s="29">
        <v>7.2985106981092596</v>
      </c>
      <c r="G13" s="29">
        <v>8.9240344766710908</v>
      </c>
      <c r="H13" s="29">
        <v>12.2239805462057</v>
      </c>
      <c r="I13" s="29">
        <v>12.116028475951</v>
      </c>
      <c r="J13" s="29">
        <v>9.3868894956851907</v>
      </c>
      <c r="K13" s="29">
        <v>5.7100895102609304</v>
      </c>
      <c r="L13" s="29">
        <v>7.6367030909024995</v>
      </c>
      <c r="M13" s="29">
        <v>17.908698431934599</v>
      </c>
      <c r="N13" s="29">
        <v>17.3439222124933</v>
      </c>
      <c r="O13" s="29">
        <v>16.712138882108398</v>
      </c>
      <c r="P13" s="29">
        <v>10.8627427743835</v>
      </c>
      <c r="Q13" s="29">
        <v>18.956338967251</v>
      </c>
      <c r="R13" s="29">
        <v>22.2800107884749</v>
      </c>
      <c r="S13" s="29">
        <v>19.616776674012698</v>
      </c>
      <c r="T13" s="29">
        <v>14.694013971958199</v>
      </c>
      <c r="U13" s="29">
        <v>13.8158034044588</v>
      </c>
      <c r="V13" s="29">
        <f t="shared" si="1"/>
        <v>9.7847185469923588</v>
      </c>
      <c r="W13" s="29">
        <f t="shared" si="2"/>
        <v>13.159875346157838</v>
      </c>
      <c r="X13" t="s">
        <v>82</v>
      </c>
    </row>
    <row r="14" spans="1:24" x14ac:dyDescent="0.35">
      <c r="A14" t="s">
        <v>78</v>
      </c>
      <c r="B14" t="s">
        <v>80</v>
      </c>
      <c r="C14" s="29">
        <v>8.6387119999999999</v>
      </c>
      <c r="D14" s="29">
        <v>16.724910999999999</v>
      </c>
      <c r="E14" s="29">
        <v>23.729841</v>
      </c>
      <c r="F14" s="29">
        <v>24.177980999999999</v>
      </c>
      <c r="G14" s="29">
        <v>21.044574999999998</v>
      </c>
      <c r="H14" s="29">
        <v>22.368445000000001</v>
      </c>
      <c r="I14" s="29">
        <v>16.596464999999998</v>
      </c>
      <c r="J14" s="29">
        <v>11.668810000000001</v>
      </c>
      <c r="K14" s="29">
        <v>9.5522320000000001</v>
      </c>
      <c r="L14" s="29">
        <v>8.9740110000000008</v>
      </c>
      <c r="M14" s="29">
        <v>12.344601000000001</v>
      </c>
      <c r="N14" s="29">
        <v>11.068530000000001</v>
      </c>
      <c r="O14" s="29">
        <v>18.697527999999998</v>
      </c>
      <c r="P14" s="29">
        <v>10.611249000000001</v>
      </c>
      <c r="Q14" s="29">
        <v>19.872761000000001</v>
      </c>
      <c r="R14" s="29">
        <v>14.052944999999999</v>
      </c>
      <c r="S14" s="29">
        <v>21.184925</v>
      </c>
      <c r="T14" s="29">
        <v>16.968572999999999</v>
      </c>
      <c r="U14" s="29">
        <v>16.452831</v>
      </c>
      <c r="V14" s="29">
        <f t="shared" ref="V14" si="4">AVERAGE(C14:L14)</f>
        <v>16.347598299999998</v>
      </c>
      <c r="W14" s="29">
        <f t="shared" ref="W14" si="5">AVERAGE(C14:U14)</f>
        <v>16.038417157894738</v>
      </c>
      <c r="X14" t="s">
        <v>71</v>
      </c>
    </row>
    <row r="15" spans="1:24" x14ac:dyDescent="0.35">
      <c r="A15" t="s">
        <v>85</v>
      </c>
      <c r="B15" t="s">
        <v>73</v>
      </c>
      <c r="C15" s="29">
        <f>INDEX($C$14:$U$14, _xlfn.RANK.EQ(C19, $C19:$U19) + COUNTIF($C19:C19, C19) - 1)</f>
        <v>16.596464999999998</v>
      </c>
      <c r="D15" s="29">
        <f>INDEX($C$14:$U$14, _xlfn.RANK.EQ(D19, $C19:$U19) + COUNTIF($C19:D19, D19) - 1)</f>
        <v>12.344601000000001</v>
      </c>
      <c r="E15" s="29">
        <f>INDEX($C$14:$U$14, _xlfn.RANK.EQ(E19, $C19:$U19) + COUNTIF($C19:E19, E19) - 1)</f>
        <v>24.177980999999999</v>
      </c>
      <c r="F15" s="29">
        <f>INDEX($C$14:$U$14, _xlfn.RANK.EQ(F19, $C19:$U19) + COUNTIF($C19:F19, F19) - 1)</f>
        <v>23.729841</v>
      </c>
      <c r="G15" s="29">
        <f>INDEX($C$14:$U$14, _xlfn.RANK.EQ(G19, $C19:$U19) + COUNTIF($C19:G19, G19) - 1)</f>
        <v>19.872761000000001</v>
      </c>
      <c r="H15" s="29">
        <f>INDEX($C$14:$U$14, _xlfn.RANK.EQ(H19, $C19:$U19) + COUNTIF($C19:H19, H19) - 1)</f>
        <v>8.6387119999999999</v>
      </c>
      <c r="I15" s="29">
        <f>INDEX($C$14:$U$14, _xlfn.RANK.EQ(I19, $C19:$U19) + COUNTIF($C19:I19, I19) - 1)</f>
        <v>22.368445000000001</v>
      </c>
      <c r="J15" s="29">
        <f>INDEX($C$14:$U$14, _xlfn.RANK.EQ(J19, $C19:$U19) + COUNTIF($C19:J19, J19) - 1)</f>
        <v>21.044574999999998</v>
      </c>
      <c r="K15" s="29">
        <f>INDEX($C$14:$U$14, _xlfn.RANK.EQ(K19, $C19:$U19) + COUNTIF($C19:K19, K19) - 1)</f>
        <v>11.068530000000001</v>
      </c>
      <c r="L15" s="29">
        <f>INDEX($C$14:$U$14, _xlfn.RANK.EQ(L19, $C19:$U19) + COUNTIF($C19:L19, L19) - 1)</f>
        <v>11.668810000000001</v>
      </c>
      <c r="M15" s="29">
        <f>INDEX($C$14:$U$14, _xlfn.RANK.EQ(M19, $C19:$U19) + COUNTIF($C19:M19, M19) - 1)</f>
        <v>8.9740110000000008</v>
      </c>
      <c r="N15" s="29">
        <f>INDEX($C$14:$U$14, _xlfn.RANK.EQ(N19, $C19:$U19) + COUNTIF($C19:N19, N19) - 1)</f>
        <v>16.724910999999999</v>
      </c>
      <c r="O15" s="29">
        <f>INDEX($C$14:$U$14, _xlfn.RANK.EQ(O19, $C19:$U19) + COUNTIF($C19:O19, O19) - 1)</f>
        <v>18.697527999999998</v>
      </c>
      <c r="P15" s="29">
        <f>INDEX($C$14:$U$14, _xlfn.RANK.EQ(P19, $C19:$U19) + COUNTIF($C19:P19, P19) - 1)</f>
        <v>10.611249000000001</v>
      </c>
      <c r="Q15" s="29">
        <f>INDEX($C$14:$U$14, _xlfn.RANK.EQ(Q19, $C19:$U19) + COUNTIF($C19:Q19, Q19) - 1)</f>
        <v>16.968572999999999</v>
      </c>
      <c r="R15" s="29">
        <f>INDEX($C$14:$U$14, _xlfn.RANK.EQ(R19, $C19:$U19) + COUNTIF($C19:R19, R19) - 1)</f>
        <v>9.5522320000000001</v>
      </c>
      <c r="S15" s="29">
        <f>INDEX($C$14:$U$14, _xlfn.RANK.EQ(S19, $C19:$U19) + COUNTIF($C19:S19, S19) - 1)</f>
        <v>21.184925</v>
      </c>
      <c r="T15" s="29">
        <f>INDEX($C$14:$U$14, _xlfn.RANK.EQ(T19, $C19:$U19) + COUNTIF($C19:T19, T19) - 1)</f>
        <v>14.052944999999999</v>
      </c>
      <c r="U15" s="29">
        <f>INDEX($C$14:$U$14, _xlfn.RANK.EQ(U19, $C19:$U19) + COUNTIF($C19:U19, U19) - 1)</f>
        <v>16.452831</v>
      </c>
      <c r="V15" s="29">
        <f t="shared" ref="V15:V16" si="6">AVERAGE(C15:L15)</f>
        <v>17.1510721</v>
      </c>
      <c r="W15" s="29">
        <f t="shared" ref="W15:W16" si="7">AVERAGE(C15:U15)</f>
        <v>16.038417157894738</v>
      </c>
      <c r="X15" t="s">
        <v>72</v>
      </c>
    </row>
    <row r="16" spans="1:24" x14ac:dyDescent="0.35">
      <c r="A16" t="s">
        <v>85</v>
      </c>
      <c r="B16" t="s">
        <v>74</v>
      </c>
      <c r="C16" s="29">
        <f>INDEX($C$14:$U$14, _xlfn.RANK.EQ(C20, $C20:$U20) + COUNTIF($C20:C20, C20) - 1)</f>
        <v>22.368445000000001</v>
      </c>
      <c r="D16" s="29">
        <f>INDEX($C$14:$U$14, _xlfn.RANK.EQ(D20, $C20:$U20) + COUNTIF($C20:D20, D20) - 1)</f>
        <v>8.6387119999999999</v>
      </c>
      <c r="E16" s="29">
        <f>INDEX($C$14:$U$14, _xlfn.RANK.EQ(E20, $C20:$U20) + COUNTIF($C20:E20, E20) - 1)</f>
        <v>19.872761000000001</v>
      </c>
      <c r="F16" s="29">
        <f>INDEX($C$14:$U$14, _xlfn.RANK.EQ(F20, $C20:$U20) + COUNTIF($C20:F20, F20) - 1)</f>
        <v>8.9740110000000008</v>
      </c>
      <c r="G16" s="29">
        <f>INDEX($C$14:$U$14, _xlfn.RANK.EQ(G20, $C20:$U20) + COUNTIF($C20:G20, G20) - 1)</f>
        <v>16.452831</v>
      </c>
      <c r="H16" s="29">
        <f>INDEX($C$14:$U$14, _xlfn.RANK.EQ(H20, $C20:$U20) + COUNTIF($C20:H20, H20) - 1)</f>
        <v>12.344601000000001</v>
      </c>
      <c r="I16" s="29">
        <f>INDEX($C$14:$U$14, _xlfn.RANK.EQ(I20, $C20:$U20) + COUNTIF($C20:I20, I20) - 1)</f>
        <v>24.177980999999999</v>
      </c>
      <c r="J16" s="29">
        <f>INDEX($C$14:$U$14, _xlfn.RANK.EQ(J20, $C20:$U20) + COUNTIF($C20:J20, J20) - 1)</f>
        <v>23.729841</v>
      </c>
      <c r="K16" s="29">
        <f>INDEX($C$14:$U$14, _xlfn.RANK.EQ(K20, $C20:$U20) + COUNTIF($C20:K20, K20) - 1)</f>
        <v>14.052944999999999</v>
      </c>
      <c r="L16" s="29">
        <f>INDEX($C$14:$U$14, _xlfn.RANK.EQ(L20, $C20:$U20) + COUNTIF($C20:L20, L20) - 1)</f>
        <v>16.724910999999999</v>
      </c>
      <c r="M16" s="29">
        <f>INDEX($C$14:$U$14, _xlfn.RANK.EQ(M20, $C20:$U20) + COUNTIF($C20:M20, M20) - 1)</f>
        <v>18.697527999999998</v>
      </c>
      <c r="N16" s="29">
        <f>INDEX($C$14:$U$14, _xlfn.RANK.EQ(N20, $C20:$U20) + COUNTIF($C20:N20, N20) - 1)</f>
        <v>16.968572999999999</v>
      </c>
      <c r="O16" s="29">
        <f>INDEX($C$14:$U$14, _xlfn.RANK.EQ(O20, $C20:$U20) + COUNTIF($C20:O20, O20) - 1)</f>
        <v>11.068530000000001</v>
      </c>
      <c r="P16" s="29">
        <f>INDEX($C$14:$U$14, _xlfn.RANK.EQ(P20, $C20:$U20) + COUNTIF($C20:P20, P20) - 1)</f>
        <v>11.668810000000001</v>
      </c>
      <c r="Q16" s="29">
        <f>INDEX($C$14:$U$14, _xlfn.RANK.EQ(Q20, $C20:$U20) + COUNTIF($C20:Q20, Q20) - 1)</f>
        <v>10.611249000000001</v>
      </c>
      <c r="R16" s="29">
        <f>INDEX($C$14:$U$14, _xlfn.RANK.EQ(R20, $C20:$U20) + COUNTIF($C20:R20, R20) - 1)</f>
        <v>16.596464999999998</v>
      </c>
      <c r="S16" s="29">
        <f>INDEX($C$14:$U$14, _xlfn.RANK.EQ(S20, $C20:$U20) + COUNTIF($C20:S20, S20) - 1)</f>
        <v>21.184925</v>
      </c>
      <c r="T16" s="29">
        <f>INDEX($C$14:$U$14, _xlfn.RANK.EQ(T20, $C20:$U20) + COUNTIF($C20:T20, T20) - 1)</f>
        <v>21.044574999999998</v>
      </c>
      <c r="U16" s="29">
        <f>INDEX($C$14:$U$14, _xlfn.RANK.EQ(U20, $C20:$U20) + COUNTIF($C20:U20, U20) - 1)</f>
        <v>9.5522320000000001</v>
      </c>
      <c r="V16" s="29">
        <f t="shared" si="6"/>
        <v>16.733703900000002</v>
      </c>
      <c r="W16" s="29">
        <f t="shared" si="7"/>
        <v>16.038417157894738</v>
      </c>
      <c r="X16" t="s">
        <v>72</v>
      </c>
    </row>
    <row r="18" spans="1:21" x14ac:dyDescent="0.35">
      <c r="A18" s="1" t="s">
        <v>91</v>
      </c>
    </row>
    <row r="19" spans="1:21" x14ac:dyDescent="0.35">
      <c r="A19" t="s">
        <v>68</v>
      </c>
      <c r="C19" s="30">
        <v>0.67644387335744371</v>
      </c>
      <c r="D19" s="30">
        <v>0.47418579468589028</v>
      </c>
      <c r="E19" s="30">
        <v>0.79191284201733858</v>
      </c>
      <c r="F19" s="30">
        <v>0.85845050624319708</v>
      </c>
      <c r="G19" s="30">
        <v>0.29119580343142981</v>
      </c>
      <c r="H19" s="30">
        <v>0.96698220369983379</v>
      </c>
      <c r="I19" s="30">
        <v>0.71660723236774859</v>
      </c>
      <c r="J19" s="30">
        <v>0.76657250740819849</v>
      </c>
      <c r="K19" s="30">
        <v>0.37210589764212265</v>
      </c>
      <c r="L19" s="30">
        <v>0.67238760239552131</v>
      </c>
      <c r="M19" s="30">
        <v>0.54861280840425941</v>
      </c>
      <c r="N19" s="30">
        <v>0.93847094237556061</v>
      </c>
      <c r="O19" s="30">
        <v>0.37036993145978159</v>
      </c>
      <c r="P19" s="30">
        <v>0.37012384678989274</v>
      </c>
      <c r="Q19" s="30">
        <v>5.0129257600194155E-2</v>
      </c>
      <c r="R19" s="30">
        <v>0.66224607523003343</v>
      </c>
      <c r="S19" s="30">
        <v>7.3598766477379618E-2</v>
      </c>
      <c r="T19" s="30">
        <v>0.14075741794709939</v>
      </c>
      <c r="U19" s="30">
        <v>4.0761876740060932E-2</v>
      </c>
    </row>
    <row r="20" spans="1:21" x14ac:dyDescent="0.35">
      <c r="A20" t="s">
        <v>69</v>
      </c>
      <c r="C20" s="30">
        <v>0.71178139473095614</v>
      </c>
      <c r="D20" s="30">
        <v>0.90508858194637953</v>
      </c>
      <c r="E20" s="30">
        <v>0.17598711058710848</v>
      </c>
      <c r="F20" s="30">
        <v>0.46040924842222275</v>
      </c>
      <c r="G20" s="30">
        <v>1.1082729617274412E-3</v>
      </c>
      <c r="H20" s="30">
        <v>0.4469646580924429</v>
      </c>
      <c r="I20" s="30">
        <v>0.76533202050878746</v>
      </c>
      <c r="J20" s="30">
        <v>0.83884971961311028</v>
      </c>
      <c r="K20" s="30">
        <v>0.13861192500449215</v>
      </c>
      <c r="L20" s="30">
        <v>0.86445706016894996</v>
      </c>
      <c r="M20" s="30">
        <v>0.27880519114550062</v>
      </c>
      <c r="N20" s="30">
        <v>4.9331580912537532E-2</v>
      </c>
      <c r="O20" s="30">
        <v>0.44358552686154573</v>
      </c>
      <c r="P20" s="30">
        <v>0.51627460025941363</v>
      </c>
      <c r="Q20" s="30">
        <v>0.19589373219881623</v>
      </c>
      <c r="R20" s="30">
        <v>0.57711767229760702</v>
      </c>
      <c r="S20" s="30">
        <v>0.11578704812173612</v>
      </c>
      <c r="T20" s="30">
        <v>0.75445830147475079</v>
      </c>
      <c r="U20" s="30">
        <v>0.50908150625985971</v>
      </c>
    </row>
    <row r="21" spans="1:21" x14ac:dyDescent="0.35">
      <c r="A21" t="s">
        <v>70</v>
      </c>
      <c r="C21" s="30">
        <v>0.49942177488685924</v>
      </c>
      <c r="D21" s="30">
        <v>0.73533205529292978</v>
      </c>
      <c r="E21" s="30">
        <v>3.6281905650776269E-2</v>
      </c>
      <c r="F21" s="30">
        <v>0.51032194818600674</v>
      </c>
      <c r="G21" s="30">
        <v>0.72301799545372614</v>
      </c>
      <c r="H21" s="30">
        <v>0.18140139614899009</v>
      </c>
      <c r="I21" s="30">
        <v>0.96487922099534429</v>
      </c>
      <c r="J21" s="30">
        <v>0.58598497382130921</v>
      </c>
      <c r="K21" s="30">
        <v>0.81220936811505928</v>
      </c>
      <c r="L21" s="30">
        <v>0.56799175094937815</v>
      </c>
      <c r="M21" s="30">
        <v>1.6868147569877312E-3</v>
      </c>
      <c r="N21" s="30">
        <v>0.81525247724513761</v>
      </c>
      <c r="O21" s="30">
        <v>0.43869003462286138</v>
      </c>
      <c r="P21" s="30">
        <v>0.41310932122101518</v>
      </c>
      <c r="Q21" s="30">
        <v>0.31390513036414502</v>
      </c>
      <c r="R21" s="30">
        <v>8.330275026684264E-2</v>
      </c>
      <c r="S21" s="30">
        <v>0.8318657658083044</v>
      </c>
      <c r="T21" s="30">
        <v>0.65077408918348401</v>
      </c>
      <c r="U21" s="30">
        <v>0.92682339319863516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F15"/>
  <sheetViews>
    <sheetView topLeftCell="A6" zoomScale="170" zoomScaleNormal="170" workbookViewId="0">
      <selection activeCell="F12" sqref="F12"/>
    </sheetView>
  </sheetViews>
  <sheetFormatPr defaultRowHeight="14.5" x14ac:dyDescent="0.35"/>
  <cols>
    <col min="1" max="1" width="10.90625" style="89" customWidth="1"/>
    <col min="2" max="2" width="12.7265625" style="89" customWidth="1"/>
    <col min="3" max="3" width="9.453125" style="89" customWidth="1"/>
    <col min="4" max="4" width="46.26953125" style="89" customWidth="1"/>
    <col min="5" max="5" width="14.453125" style="127" customWidth="1"/>
    <col min="6" max="6" width="10.6328125" style="2" customWidth="1"/>
  </cols>
  <sheetData>
    <row r="1" spans="1:6" x14ac:dyDescent="0.35">
      <c r="A1" s="88" t="s">
        <v>284</v>
      </c>
    </row>
    <row r="2" spans="1:6" x14ac:dyDescent="0.35">
      <c r="A2" s="89" t="s">
        <v>285</v>
      </c>
    </row>
    <row r="4" spans="1:6" s="81" customFormat="1" ht="43.5" x14ac:dyDescent="0.35">
      <c r="A4" s="56" t="s">
        <v>286</v>
      </c>
      <c r="B4" s="56" t="s">
        <v>291</v>
      </c>
      <c r="C4" s="56" t="s">
        <v>292</v>
      </c>
      <c r="D4" s="57" t="s">
        <v>287</v>
      </c>
      <c r="E4" s="56" t="s">
        <v>312</v>
      </c>
      <c r="F4" s="122" t="s">
        <v>313</v>
      </c>
    </row>
    <row r="5" spans="1:6" s="81" customFormat="1" ht="58" x14ac:dyDescent="0.35">
      <c r="A5" s="94">
        <f>'Powell-Elevation-Area'!A5</f>
        <v>3370</v>
      </c>
      <c r="B5" s="110" t="s">
        <v>300</v>
      </c>
      <c r="C5" s="95" t="s">
        <v>294</v>
      </c>
      <c r="D5" s="96" t="str">
        <f>D7</f>
        <v>Highest uncertainty for native fish. Also represent a substantial risk to the tailwater trout fishery, as sustained temperatures of 19oC or higher are unsuitable for trout.</v>
      </c>
      <c r="E5" s="128" t="s">
        <v>315</v>
      </c>
      <c r="F5" s="123" t="s">
        <v>314</v>
      </c>
    </row>
    <row r="6" spans="1:6" s="81" customFormat="1" ht="58" x14ac:dyDescent="0.35">
      <c r="A6" s="91">
        <v>3425</v>
      </c>
      <c r="B6" s="92" t="str">
        <f>B7</f>
        <v>&gt; 18</v>
      </c>
      <c r="C6" s="92" t="s">
        <v>294</v>
      </c>
      <c r="D6" s="93" t="str">
        <f>D7</f>
        <v>Highest uncertainty for native fish. Also represent a substantial risk to the tailwater trout fishery, as sustained temperatures of 19oC or higher are unsuitable for trout.</v>
      </c>
      <c r="E6" s="128" t="str">
        <f>E5</f>
        <v>Highly uncertain</v>
      </c>
      <c r="F6" s="123" t="s">
        <v>314</v>
      </c>
    </row>
    <row r="7" spans="1:6" s="81" customFormat="1" ht="58" x14ac:dyDescent="0.35">
      <c r="A7" s="97">
        <v>3490</v>
      </c>
      <c r="B7" s="98" t="s">
        <v>300</v>
      </c>
      <c r="C7" s="98" t="s">
        <v>293</v>
      </c>
      <c r="D7" s="99" t="s">
        <v>290</v>
      </c>
      <c r="E7" s="129" t="str">
        <f>E6</f>
        <v>Highly uncertain</v>
      </c>
      <c r="F7" s="123" t="s">
        <v>314</v>
      </c>
    </row>
    <row r="8" spans="1:6" ht="72.5" x14ac:dyDescent="0.35">
      <c r="A8" s="100">
        <v>3525</v>
      </c>
      <c r="B8" s="101" t="s">
        <v>299</v>
      </c>
      <c r="C8" s="101" t="s">
        <v>293</v>
      </c>
      <c r="D8" s="102" t="s">
        <v>289</v>
      </c>
      <c r="E8" s="130" t="s">
        <v>316</v>
      </c>
      <c r="F8" s="124" t="s">
        <v>319</v>
      </c>
    </row>
    <row r="9" spans="1:6" ht="43.5" x14ac:dyDescent="0.35">
      <c r="A9" s="103">
        <v>3600</v>
      </c>
      <c r="B9" s="104" t="s">
        <v>298</v>
      </c>
      <c r="C9" s="104" t="s">
        <v>293</v>
      </c>
      <c r="D9" s="105" t="s">
        <v>308</v>
      </c>
      <c r="E9" s="131" t="s">
        <v>309</v>
      </c>
      <c r="F9" s="125" t="str">
        <f>F8</f>
        <v>Help grow + incubate</v>
      </c>
    </row>
    <row r="10" spans="1:6" ht="101.5" x14ac:dyDescent="0.35">
      <c r="A10" s="106">
        <v>3675</v>
      </c>
      <c r="B10" s="107" t="s">
        <v>297</v>
      </c>
      <c r="C10" s="107" t="s">
        <v>293</v>
      </c>
      <c r="D10" s="108" t="s">
        <v>288</v>
      </c>
      <c r="E10" s="132" t="s">
        <v>318</v>
      </c>
      <c r="F10" s="126" t="s">
        <v>320</v>
      </c>
    </row>
    <row r="11" spans="1:6" ht="101.5" x14ac:dyDescent="0.35">
      <c r="A11" s="106">
        <v>3700</v>
      </c>
      <c r="B11" s="107" t="str">
        <f>B10</f>
        <v>&lt; 12</v>
      </c>
      <c r="C11" s="107" t="s">
        <v>293</v>
      </c>
      <c r="D11" s="109"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32" t="str">
        <f>E10</f>
        <v>Help grow, reproduce, and survive</v>
      </c>
      <c r="F11" s="126" t="s">
        <v>320</v>
      </c>
    </row>
    <row r="13" spans="1:6" ht="16.5" x14ac:dyDescent="0.35">
      <c r="D13" s="90"/>
    </row>
    <row r="14" spans="1:6" ht="16.5" x14ac:dyDescent="0.35">
      <c r="D14" s="90"/>
    </row>
    <row r="15" spans="1:6" ht="16.5" x14ac:dyDescent="0.35">
      <c r="D15" s="90"/>
    </row>
  </sheetData>
  <conditionalFormatting sqref="B5">
    <cfRule type="cellIs" dxfId="26" priority="1" operator="equal">
      <formula>$B$7</formula>
    </cfRule>
    <cfRule type="cellIs" dxfId="25" priority="2" operator="equal">
      <formula>$B$8</formula>
    </cfRule>
    <cfRule type="cellIs" dxfId="24" priority="3" operator="equal">
      <formula>$B$9</formula>
    </cfRule>
    <cfRule type="cellIs" dxfId="23" priority="4" operator="equal">
      <formula>$B$10</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587" zoomScale="160" zoomScaleNormal="160" workbookViewId="0">
      <selection activeCell="B587" sqref="B587"/>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13</v>
      </c>
    </row>
    <row r="2" spans="1:19" x14ac:dyDescent="0.35">
      <c r="A2" t="s">
        <v>14</v>
      </c>
    </row>
    <row r="4" spans="1:19" x14ac:dyDescent="0.35">
      <c r="A4" s="3" t="s">
        <v>15</v>
      </c>
      <c r="B4" s="3" t="s">
        <v>16</v>
      </c>
      <c r="C4" s="3" t="s">
        <v>17</v>
      </c>
      <c r="D4" s="3" t="s">
        <v>18</v>
      </c>
      <c r="E4" s="4" t="s">
        <v>19</v>
      </c>
      <c r="G4" s="3" t="s">
        <v>20</v>
      </c>
      <c r="H4" s="3" t="s">
        <v>21</v>
      </c>
      <c r="J4" s="3" t="s">
        <v>22</v>
      </c>
    </row>
    <row r="5" spans="1:19" x14ac:dyDescent="0.35">
      <c r="A5" s="5">
        <v>3370</v>
      </c>
      <c r="B5" s="6">
        <v>0</v>
      </c>
      <c r="C5" s="6">
        <v>1895000</v>
      </c>
      <c r="D5" s="6">
        <v>20303</v>
      </c>
      <c r="E5" s="2">
        <v>1</v>
      </c>
      <c r="G5" s="7">
        <f>C5</f>
        <v>1895000</v>
      </c>
      <c r="H5" s="8">
        <f>A5</f>
        <v>3370</v>
      </c>
      <c r="J5" t="s">
        <v>23</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24</v>
      </c>
      <c r="K7" t="s">
        <v>18</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25</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24</v>
      </c>
      <c r="K12" s="9" t="s">
        <v>19</v>
      </c>
      <c r="L12" t="s">
        <v>26</v>
      </c>
      <c r="M12" t="s">
        <v>27</v>
      </c>
      <c r="N12" t="s">
        <v>28</v>
      </c>
      <c r="O12" t="s">
        <v>29</v>
      </c>
      <c r="P12" t="s">
        <v>30</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70"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120</v>
      </c>
    </row>
    <row r="2" spans="1:13" x14ac:dyDescent="0.35">
      <c r="A2" t="s">
        <v>14</v>
      </c>
    </row>
    <row r="3" spans="1:13" x14ac:dyDescent="0.35">
      <c r="C3">
        <v>2035000</v>
      </c>
    </row>
    <row r="4" spans="1:13" x14ac:dyDescent="0.35">
      <c r="A4" s="3" t="s">
        <v>15</v>
      </c>
      <c r="B4" s="3" t="s">
        <v>16</v>
      </c>
      <c r="C4" s="3" t="s">
        <v>17</v>
      </c>
      <c r="D4" s="3" t="s">
        <v>18</v>
      </c>
      <c r="E4" s="4" t="s">
        <v>19</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36">
        <v>60736</v>
      </c>
      <c r="C9" s="6">
        <f t="shared" si="0"/>
        <v>2095736</v>
      </c>
      <c r="D9" s="6">
        <v>30563.999999899999</v>
      </c>
      <c r="E9" s="2">
        <v>5</v>
      </c>
      <c r="H9" s="8">
        <f t="shared" si="1"/>
        <v>897</v>
      </c>
    </row>
    <row r="10" spans="1:13" x14ac:dyDescent="0.35">
      <c r="A10" s="5">
        <v>897.5</v>
      </c>
      <c r="B10" s="36">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42B8-4AEA-4873-A5DD-CAD33EDD3E21}">
  <dimension ref="A1:R62"/>
  <sheetViews>
    <sheetView topLeftCell="A31" zoomScale="150" zoomScaleNormal="150" workbookViewId="0">
      <selection activeCell="A21" sqref="A21:E52"/>
    </sheetView>
  </sheetViews>
  <sheetFormatPr defaultRowHeight="14.5" x14ac:dyDescent="0.35"/>
  <cols>
    <col min="1" max="1" width="41.81640625" customWidth="1"/>
    <col min="2" max="2" width="7.81640625" customWidth="1"/>
    <col min="3" max="3" width="8"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4" max="14" width="12.26953125" customWidth="1"/>
    <col min="15" max="15" width="13" customWidth="1"/>
    <col min="16" max="16" width="9.81640625" customWidth="1"/>
    <col min="17" max="17" width="10.81640625" customWidth="1"/>
    <col min="18" max="18" width="21.6328125" customWidth="1"/>
  </cols>
  <sheetData>
    <row r="1" spans="1:11" x14ac:dyDescent="0.35">
      <c r="A1" s="1" t="s">
        <v>108</v>
      </c>
      <c r="B1" s="1"/>
    </row>
    <row r="2" spans="1:11" x14ac:dyDescent="0.35">
      <c r="A2" s="1"/>
      <c r="B2" s="1"/>
    </row>
    <row r="3" spans="1:11" ht="16.5" customHeight="1" x14ac:dyDescent="0.35">
      <c r="A3" s="26" t="s">
        <v>50</v>
      </c>
      <c r="B3" s="26"/>
      <c r="C3" s="26"/>
      <c r="D3" s="26"/>
      <c r="E3" s="26"/>
      <c r="F3" s="26"/>
      <c r="G3" s="26"/>
      <c r="H3" s="26"/>
      <c r="I3" s="26"/>
      <c r="J3" s="26"/>
      <c r="K3" s="26"/>
    </row>
    <row r="4" spans="1:11" x14ac:dyDescent="0.35">
      <c r="A4" s="17" t="s">
        <v>38</v>
      </c>
      <c r="B4" s="13" t="s">
        <v>42</v>
      </c>
      <c r="C4" s="1" t="s">
        <v>43</v>
      </c>
    </row>
    <row r="5" spans="1:11" x14ac:dyDescent="0.35">
      <c r="A5" s="27" t="s">
        <v>51</v>
      </c>
      <c r="B5" s="46"/>
      <c r="C5" s="182"/>
      <c r="D5" s="182"/>
      <c r="E5" s="182"/>
      <c r="F5" s="182"/>
      <c r="G5" s="182"/>
      <c r="H5" s="182"/>
    </row>
    <row r="6" spans="1:11" x14ac:dyDescent="0.35">
      <c r="A6" s="16" t="s">
        <v>39</v>
      </c>
      <c r="B6" s="46"/>
      <c r="C6" s="182"/>
      <c r="D6" s="182"/>
      <c r="E6" s="182"/>
      <c r="F6" s="182"/>
      <c r="G6" s="182"/>
      <c r="H6" s="182"/>
    </row>
    <row r="7" spans="1:11" x14ac:dyDescent="0.35">
      <c r="A7" s="16" t="s">
        <v>40</v>
      </c>
      <c r="B7" s="46"/>
      <c r="C7" s="182"/>
      <c r="D7" s="182"/>
      <c r="E7" s="182"/>
      <c r="F7" s="182"/>
      <c r="G7" s="182"/>
      <c r="H7" s="182"/>
    </row>
    <row r="8" spans="1:11" x14ac:dyDescent="0.35">
      <c r="A8" s="16" t="s">
        <v>41</v>
      </c>
      <c r="B8" s="46"/>
      <c r="C8" s="182"/>
      <c r="D8" s="182"/>
      <c r="E8" s="182"/>
      <c r="F8" s="182"/>
      <c r="G8" s="182"/>
      <c r="H8" s="182"/>
    </row>
    <row r="9" spans="1:11" x14ac:dyDescent="0.35">
      <c r="A9" s="16"/>
      <c r="B9" s="2"/>
      <c r="C9"/>
    </row>
    <row r="10" spans="1:11" x14ac:dyDescent="0.35">
      <c r="A10" s="19" t="s">
        <v>45</v>
      </c>
      <c r="B10" s="2"/>
      <c r="C10"/>
    </row>
    <row r="11" spans="1:11" x14ac:dyDescent="0.35">
      <c r="A11" s="20" t="s">
        <v>52</v>
      </c>
    </row>
    <row r="12" spans="1:11" x14ac:dyDescent="0.35">
      <c r="A12" s="22" t="s">
        <v>47</v>
      </c>
      <c r="B12" s="19"/>
    </row>
    <row r="13" spans="1:11" x14ac:dyDescent="0.35">
      <c r="A13" s="21" t="s">
        <v>46</v>
      </c>
    </row>
    <row r="15" spans="1:11" x14ac:dyDescent="0.35">
      <c r="A15" s="1" t="s">
        <v>53</v>
      </c>
      <c r="D15" s="20"/>
    </row>
    <row r="17" spans="1:13" x14ac:dyDescent="0.35">
      <c r="A17" s="1" t="s">
        <v>32</v>
      </c>
      <c r="B17" s="1" t="s">
        <v>110</v>
      </c>
      <c r="C17" s="13" t="s">
        <v>111</v>
      </c>
    </row>
    <row r="18" spans="1:13" x14ac:dyDescent="0.35">
      <c r="A18" t="s">
        <v>109</v>
      </c>
      <c r="B18" s="12">
        <v>5.73</v>
      </c>
      <c r="C18" s="12">
        <v>6</v>
      </c>
      <c r="D18" s="23" t="s">
        <v>140</v>
      </c>
    </row>
    <row r="19" spans="1:13" x14ac:dyDescent="0.35">
      <c r="A19" t="s">
        <v>33</v>
      </c>
      <c r="B19" s="12">
        <v>11</v>
      </c>
      <c r="C19" s="12">
        <v>10.1</v>
      </c>
      <c r="D19" s="11" t="s">
        <v>34</v>
      </c>
    </row>
    <row r="21" spans="1:13" s="1" customFormat="1" x14ac:dyDescent="0.35">
      <c r="A21" s="1" t="s">
        <v>35</v>
      </c>
      <c r="B21" s="1" t="s">
        <v>48</v>
      </c>
      <c r="C21" s="13" t="s">
        <v>5</v>
      </c>
      <c r="D21" s="13" t="s">
        <v>6</v>
      </c>
      <c r="E21" s="13" t="s">
        <v>7</v>
      </c>
      <c r="F21" s="13" t="s">
        <v>8</v>
      </c>
      <c r="G21" s="13" t="s">
        <v>9</v>
      </c>
      <c r="H21" s="13" t="s">
        <v>10</v>
      </c>
      <c r="I21" s="13" t="s">
        <v>11</v>
      </c>
      <c r="J21" s="13" t="s">
        <v>12</v>
      </c>
      <c r="K21" s="13" t="s">
        <v>36</v>
      </c>
      <c r="L21" s="13" t="s">
        <v>37</v>
      </c>
      <c r="M21" s="13" t="s">
        <v>107</v>
      </c>
    </row>
    <row r="22" spans="1:13" x14ac:dyDescent="0.35">
      <c r="A22" s="1" t="s">
        <v>44</v>
      </c>
      <c r="B22" s="1"/>
      <c r="C22" s="12">
        <v>11</v>
      </c>
      <c r="D22" s="12">
        <f>C22</f>
        <v>11</v>
      </c>
      <c r="E22" s="12">
        <f t="shared" ref="E22:L22" si="0">D22</f>
        <v>11</v>
      </c>
      <c r="F22" s="12">
        <f t="shared" si="0"/>
        <v>11</v>
      </c>
      <c r="G22" s="12">
        <f t="shared" si="0"/>
        <v>11</v>
      </c>
      <c r="H22" s="12">
        <f t="shared" si="0"/>
        <v>11</v>
      </c>
      <c r="I22" s="12">
        <f t="shared" si="0"/>
        <v>11</v>
      </c>
      <c r="J22" s="12">
        <f t="shared" si="0"/>
        <v>11</v>
      </c>
      <c r="K22" s="12">
        <f t="shared" si="0"/>
        <v>11</v>
      </c>
      <c r="L22" s="12">
        <f t="shared" si="0"/>
        <v>11</v>
      </c>
    </row>
    <row r="23" spans="1:13" hidden="1" x14ac:dyDescent="0.35">
      <c r="A23" s="1" t="s">
        <v>121</v>
      </c>
      <c r="B23" s="1"/>
      <c r="C23" s="12">
        <f>IF(C$22&lt;&gt;"",0.8,"")</f>
        <v>0.8</v>
      </c>
      <c r="D23" s="12">
        <f t="shared" ref="D23:L23" si="1">IF(D$22&lt;&gt;"",0.8,"")</f>
        <v>0.8</v>
      </c>
      <c r="E23" s="12">
        <f t="shared" si="1"/>
        <v>0.8</v>
      </c>
      <c r="F23" s="12">
        <f t="shared" si="1"/>
        <v>0.8</v>
      </c>
      <c r="G23" s="12">
        <f t="shared" si="1"/>
        <v>0.8</v>
      </c>
      <c r="H23" s="12">
        <f t="shared" si="1"/>
        <v>0.8</v>
      </c>
      <c r="I23" s="12">
        <f t="shared" si="1"/>
        <v>0.8</v>
      </c>
      <c r="J23" s="12">
        <f t="shared" si="1"/>
        <v>0.8</v>
      </c>
      <c r="K23" s="12">
        <f t="shared" si="1"/>
        <v>0.8</v>
      </c>
      <c r="L23" s="12">
        <f t="shared" si="1"/>
        <v>0.8</v>
      </c>
    </row>
    <row r="24" spans="1:13" hidden="1" x14ac:dyDescent="0.35">
      <c r="A24" s="1" t="s">
        <v>124</v>
      </c>
      <c r="B24" s="1"/>
      <c r="C24" s="14">
        <f>IF(C$22&lt;&gt;"",SUM(C25:C27),"")</f>
        <v>21.1</v>
      </c>
      <c r="D24" s="14">
        <f>IF(D$22&lt;&gt;"",C57,"")</f>
        <v>18.71110232000003</v>
      </c>
      <c r="E24" s="14">
        <f t="shared" ref="E24:L24" si="2">IF(E$22&lt;&gt;"",D57,"")</f>
        <v>16.392913683000028</v>
      </c>
      <c r="F24" s="14">
        <f t="shared" si="2"/>
        <v>15.05395331571655</v>
      </c>
      <c r="G24" s="14">
        <f t="shared" si="2"/>
        <v>14.723767238139169</v>
      </c>
      <c r="H24" s="14">
        <f t="shared" si="2"/>
        <v>14.407226771938737</v>
      </c>
      <c r="I24" s="14">
        <f t="shared" si="2"/>
        <v>14.508747251838164</v>
      </c>
      <c r="J24" s="14">
        <f t="shared" si="2"/>
        <v>14.607996684339339</v>
      </c>
      <c r="K24" s="14">
        <f t="shared" si="2"/>
        <v>14.702710079338168</v>
      </c>
      <c r="L24" s="14">
        <f t="shared" si="2"/>
        <v>14.795152484238169</v>
      </c>
    </row>
    <row r="25" spans="1:13" x14ac:dyDescent="0.35">
      <c r="A25" t="s">
        <v>116</v>
      </c>
      <c r="C25" s="14">
        <f>IF(C$22&lt;&gt;"",$B$19,"")</f>
        <v>11</v>
      </c>
      <c r="D25" s="14">
        <f>IF(D22&lt;&gt;"",C54,"")</f>
        <v>9.0172571336493021</v>
      </c>
      <c r="E25" s="14">
        <f t="shared" ref="E25:L27" si="3">IF(E22&lt;&gt;"",D54,"")</f>
        <v>7.1088601682676069</v>
      </c>
      <c r="F25" s="14">
        <f t="shared" si="3"/>
        <v>6.1</v>
      </c>
      <c r="G25" s="14">
        <f t="shared" si="3"/>
        <v>6.1</v>
      </c>
      <c r="H25" s="14">
        <f t="shared" si="3"/>
        <v>6.1</v>
      </c>
      <c r="I25" s="14">
        <f t="shared" si="3"/>
        <v>6.5047270927738641</v>
      </c>
      <c r="J25" s="14">
        <f t="shared" si="3"/>
        <v>6.8881038289447343</v>
      </c>
      <c r="K25" s="14">
        <f t="shared" si="3"/>
        <v>7.2503712989619817</v>
      </c>
      <c r="L25" s="14">
        <f t="shared" si="3"/>
        <v>7.5937558729898971</v>
      </c>
    </row>
    <row r="26" spans="1:13" x14ac:dyDescent="0.35">
      <c r="A26" t="s">
        <v>117</v>
      </c>
      <c r="C26" s="14">
        <f>IF(C$22&lt;&gt;"",$C$19,"")</f>
        <v>10.1</v>
      </c>
      <c r="D26" s="14">
        <f>IF(D23&lt;&gt;"",C55,"")</f>
        <v>9.6938451863507265</v>
      </c>
      <c r="E26" s="14">
        <f t="shared" si="3"/>
        <v>9.2840535147324221</v>
      </c>
      <c r="F26" s="14">
        <f t="shared" si="3"/>
        <v>8.9539533157165501</v>
      </c>
      <c r="G26" s="14">
        <f t="shared" si="3"/>
        <v>8.6237672381391697</v>
      </c>
      <c r="H26" s="14">
        <f t="shared" si="3"/>
        <v>8.3072267719387369</v>
      </c>
      <c r="I26" s="14">
        <f t="shared" si="3"/>
        <v>8.0040201590643001</v>
      </c>
      <c r="J26" s="14">
        <f t="shared" si="3"/>
        <v>7.7198928553946047</v>
      </c>
      <c r="K26" s="14">
        <f t="shared" si="3"/>
        <v>7.452338780376186</v>
      </c>
      <c r="L26" s="14">
        <f t="shared" si="3"/>
        <v>7.2013966112482724</v>
      </c>
    </row>
    <row r="27" spans="1:13" x14ac:dyDescent="0.35">
      <c r="A27" t="s">
        <v>31</v>
      </c>
      <c r="C27" s="14">
        <f>IF(C22&lt;&gt;"",0,"")</f>
        <v>0</v>
      </c>
      <c r="D27" s="14">
        <f>IF(D24&lt;&gt;"",C56,"")</f>
        <v>0</v>
      </c>
      <c r="E27" s="14">
        <f t="shared" si="3"/>
        <v>0</v>
      </c>
      <c r="F27" s="14">
        <f t="shared" si="3"/>
        <v>0</v>
      </c>
      <c r="G27" s="14">
        <f t="shared" si="3"/>
        <v>0</v>
      </c>
      <c r="H27" s="14">
        <f t="shared" si="3"/>
        <v>0</v>
      </c>
      <c r="I27" s="14">
        <f t="shared" si="3"/>
        <v>0</v>
      </c>
      <c r="J27" s="14">
        <f t="shared" si="3"/>
        <v>0</v>
      </c>
      <c r="K27" s="14">
        <f t="shared" si="3"/>
        <v>0</v>
      </c>
      <c r="L27" s="14">
        <f t="shared" si="3"/>
        <v>0</v>
      </c>
    </row>
    <row r="28" spans="1:13" hidden="1" x14ac:dyDescent="0.35">
      <c r="A28" s="1" t="s">
        <v>115</v>
      </c>
      <c r="C28"/>
    </row>
    <row r="29" spans="1:13" hidden="1" x14ac:dyDescent="0.35">
      <c r="A29" t="s">
        <v>113</v>
      </c>
      <c r="B29" s="35">
        <v>0.5</v>
      </c>
      <c r="C29" s="14">
        <f>C25</f>
        <v>11</v>
      </c>
      <c r="D29" s="14">
        <f t="shared" ref="D29:L30" si="4">IF(D22&lt;&gt;"",$B29*D$24,"")</f>
        <v>9.3555511600000152</v>
      </c>
      <c r="E29" s="14">
        <f t="shared" si="4"/>
        <v>8.1964568415000141</v>
      </c>
      <c r="F29" s="14">
        <f t="shared" si="4"/>
        <v>7.5269766578582749</v>
      </c>
      <c r="G29" s="14">
        <f t="shared" si="4"/>
        <v>7.3618836190695847</v>
      </c>
      <c r="H29" s="14">
        <f t="shared" si="4"/>
        <v>7.2036133859693683</v>
      </c>
      <c r="I29" s="14">
        <f t="shared" si="4"/>
        <v>7.2543736259190821</v>
      </c>
      <c r="J29" s="14">
        <f t="shared" si="4"/>
        <v>7.3039983421696695</v>
      </c>
      <c r="K29" s="14">
        <f t="shared" si="4"/>
        <v>7.3513550396690839</v>
      </c>
      <c r="L29" s="14">
        <f t="shared" si="4"/>
        <v>7.3975762421190847</v>
      </c>
    </row>
    <row r="30" spans="1:13" hidden="1" x14ac:dyDescent="0.35">
      <c r="A30" t="s">
        <v>114</v>
      </c>
      <c r="B30" s="35">
        <f>1-B29</f>
        <v>0.5</v>
      </c>
      <c r="C30" s="14">
        <f>C26</f>
        <v>10.1</v>
      </c>
      <c r="D30" s="14">
        <f t="shared" si="4"/>
        <v>9.3555511600000152</v>
      </c>
      <c r="E30" s="14">
        <f t="shared" si="4"/>
        <v>8.1964568415000141</v>
      </c>
      <c r="F30" s="14">
        <f t="shared" si="4"/>
        <v>7.5269766578582749</v>
      </c>
      <c r="G30" s="14">
        <f t="shared" si="4"/>
        <v>7.3618836190695847</v>
      </c>
      <c r="H30" s="14">
        <f t="shared" si="4"/>
        <v>7.2036133859693683</v>
      </c>
      <c r="I30" s="14">
        <f t="shared" si="4"/>
        <v>7.2543736259190821</v>
      </c>
      <c r="J30" s="14">
        <f t="shared" si="4"/>
        <v>7.3039983421696695</v>
      </c>
      <c r="K30" s="14">
        <f t="shared" si="4"/>
        <v>7.3513550396690839</v>
      </c>
      <c r="L30" s="14">
        <f t="shared" si="4"/>
        <v>7.3975762421190847</v>
      </c>
    </row>
    <row r="31" spans="1:13" x14ac:dyDescent="0.35">
      <c r="A31" s="1" t="s">
        <v>119</v>
      </c>
      <c r="B31" s="1"/>
      <c r="C31" s="14">
        <f>IF(C$22&lt;&gt;"",VLOOKUP(C29*1000000,'Powell-Elevation-Area'!$B$5:$D$689,3)*$B$18/1000000 + VLOOKUP(C30*1000000,'Mead-Elevation-Area'!$B$5:$D$676,3)*$C$18/1000000,"")</f>
        <v>1.0218976799999733</v>
      </c>
      <c r="D31" s="14">
        <f>IF(D$22&lt;&gt;"",VLOOKUP(D29*1000000,'Powell-Elevation-Area'!$B$5:$D$689,3)*$B$18/1000000 + VLOOKUP(D30*1000000,'Mead-Elevation-Area'!$B$5:$D$676,3)*$C$18/1000000,"")</f>
        <v>0.951188637</v>
      </c>
      <c r="E31" s="14">
        <f>IF(E$22&lt;&gt;"",VLOOKUP(E29*1000000,'Powell-Elevation-Area'!$B$5:$D$689,3)*$B$18/1000000 + VLOOKUP(E30*1000000,'Mead-Elevation-Area'!$B$5:$D$676,3)*$C$18/1000000,"")</f>
        <v>0.87773305499997312</v>
      </c>
      <c r="F31" s="14">
        <f>IF(F$22&lt;&gt;"",VLOOKUP(F29*1000000,'Powell-Elevation-Area'!$B$5:$D$689,3)*$B$18/1000000 + VLOOKUP(F30*1000000,'Mead-Elevation-Area'!$B$5:$D$676,3)*$C$18/1000000,"")</f>
        <v>0.83590071750057304</v>
      </c>
      <c r="G31" s="14">
        <f>IF(G$22&lt;&gt;"",VLOOKUP(G29*1000000,'Powell-Elevation-Area'!$B$5:$D$689,3)*$B$18/1000000 + VLOOKUP(G30*1000000,'Mead-Elevation-Area'!$B$5:$D$676,3)*$C$18/1000000,"")</f>
        <v>0.82557159509940004</v>
      </c>
      <c r="H31" s="14">
        <f>IF(H$22&lt;&gt;"",VLOOKUP(H29*1000000,'Powell-Elevation-Area'!$B$5:$D$689,3)*$B$18/1000000 + VLOOKUP(H30*1000000,'Mead-Elevation-Area'!$B$5:$D$676,3)*$C$18/1000000,"")</f>
        <v>0.81547952010057301</v>
      </c>
      <c r="I31" s="14">
        <f>IF(I$22&lt;&gt;"",VLOOKUP(I29*1000000,'Powell-Elevation-Area'!$B$5:$D$689,3)*$B$18/1000000 + VLOOKUP(I30*1000000,'Mead-Elevation-Area'!$B$5:$D$676,3)*$C$18/1000000,"")</f>
        <v>0.81775056749882702</v>
      </c>
      <c r="J31" s="14">
        <f>IF(J$22&lt;&gt;"",VLOOKUP(J29*1000000,'Powell-Elevation-Area'!$B$5:$D$689,3)*$B$18/1000000 + VLOOKUP(J30*1000000,'Mead-Elevation-Area'!$B$5:$D$676,3)*$C$18/1000000,"")</f>
        <v>0.82228660500117301</v>
      </c>
      <c r="K31" s="14">
        <f>IF(K$22&lt;&gt;"",VLOOKUP(K29*1000000,'Powell-Elevation-Area'!$B$5:$D$689,3)*$B$18/1000000 + VLOOKUP(K30*1000000,'Mead-Elevation-Area'!$B$5:$D$676,3)*$C$18/1000000,"")</f>
        <v>0.82455759509999993</v>
      </c>
      <c r="L31" s="14">
        <f>IF(L$22&lt;&gt;"",VLOOKUP(L29*1000000,'Powell-Elevation-Area'!$B$5:$D$689,3)*$B$18/1000000 + VLOOKUP(L30*1000000,'Mead-Elevation-Area'!$B$5:$D$676,3)*$C$18/1000000,"")</f>
        <v>0.82783664249940003</v>
      </c>
    </row>
    <row r="32" spans="1:13" hidden="1" x14ac:dyDescent="0.35">
      <c r="A32" t="s">
        <v>99</v>
      </c>
      <c r="B32" s="1"/>
      <c r="C32" s="14">
        <f>IF(C$22&lt;&gt;"",C$31*C25/C$24,"")</f>
        <v>0.5327428663506969</v>
      </c>
      <c r="D32" s="14">
        <f t="shared" ref="D32:L34" si="5">IF(D$22&lt;&gt;"",D$31*D25/D$24,"")</f>
        <v>0.458396965381695</v>
      </c>
      <c r="E32" s="14">
        <f t="shared" si="5"/>
        <v>0.38063285598410107</v>
      </c>
      <c r="F32" s="14">
        <f t="shared" si="5"/>
        <v>0.33871463992319345</v>
      </c>
      <c r="G32" s="14">
        <f t="shared" si="5"/>
        <v>0.34203112889896525</v>
      </c>
      <c r="H32" s="14">
        <f t="shared" si="5"/>
        <v>0.34527290722613518</v>
      </c>
      <c r="I32" s="14">
        <f t="shared" si="5"/>
        <v>0.36662326382912958</v>
      </c>
      <c r="J32" s="14">
        <f t="shared" si="5"/>
        <v>0.38773252998275209</v>
      </c>
      <c r="K32" s="14">
        <f t="shared" si="5"/>
        <v>0.40661542597208489</v>
      </c>
      <c r="L32" s="14">
        <f t="shared" si="5"/>
        <v>0.42489520622063093</v>
      </c>
    </row>
    <row r="33" spans="1:13" hidden="1" x14ac:dyDescent="0.35">
      <c r="A33" t="s">
        <v>100</v>
      </c>
      <c r="B33" s="1"/>
      <c r="C33" s="14">
        <f>IF(C$22&lt;&gt;"",C$31*C26/C$24,"")</f>
        <v>0.48915481364927621</v>
      </c>
      <c r="D33" s="14">
        <f t="shared" si="5"/>
        <v>0.49279167161830495</v>
      </c>
      <c r="E33" s="14">
        <f t="shared" si="5"/>
        <v>0.4971001990158721</v>
      </c>
      <c r="F33" s="14">
        <f t="shared" si="5"/>
        <v>0.49718607757737959</v>
      </c>
      <c r="G33" s="14">
        <f t="shared" si="5"/>
        <v>0.48354046620043478</v>
      </c>
      <c r="H33" s="14">
        <f t="shared" si="5"/>
        <v>0.47020661287443777</v>
      </c>
      <c r="I33" s="14">
        <f t="shared" si="5"/>
        <v>0.45112730366969739</v>
      </c>
      <c r="J33" s="14">
        <f t="shared" si="5"/>
        <v>0.43455407501842092</v>
      </c>
      <c r="K33" s="14">
        <f t="shared" si="5"/>
        <v>0.41794216912791515</v>
      </c>
      <c r="L33" s="14">
        <f t="shared" si="5"/>
        <v>0.40294143627876911</v>
      </c>
    </row>
    <row r="34" spans="1:13" hidden="1" x14ac:dyDescent="0.35">
      <c r="A34" t="s">
        <v>101</v>
      </c>
      <c r="B34" s="1"/>
      <c r="C34" s="14">
        <f>IF(C$22&lt;&gt;"",C$31*C27/C$24,"")</f>
        <v>0</v>
      </c>
      <c r="D34" s="14">
        <f t="shared" si="5"/>
        <v>0</v>
      </c>
      <c r="E34" s="14">
        <f t="shared" si="5"/>
        <v>0</v>
      </c>
      <c r="F34" s="14">
        <f t="shared" si="5"/>
        <v>0</v>
      </c>
      <c r="G34" s="14">
        <f t="shared" si="5"/>
        <v>0</v>
      </c>
      <c r="H34" s="14">
        <f t="shared" si="5"/>
        <v>0</v>
      </c>
      <c r="I34" s="14">
        <f t="shared" si="5"/>
        <v>0</v>
      </c>
      <c r="J34" s="14">
        <f t="shared" si="5"/>
        <v>0</v>
      </c>
      <c r="K34" s="14">
        <f t="shared" si="5"/>
        <v>0</v>
      </c>
      <c r="L34" s="14">
        <f t="shared" si="5"/>
        <v>0</v>
      </c>
    </row>
    <row r="35" spans="1:13" hidden="1" x14ac:dyDescent="0.35">
      <c r="A35" s="1" t="s">
        <v>118</v>
      </c>
      <c r="B35" s="1"/>
      <c r="C35" s="25">
        <f>IF(C22&lt;&gt;"",1.5,"")</f>
        <v>1.5</v>
      </c>
      <c r="D35" s="25">
        <f t="shared" ref="D35:L35" si="6">IF(D22&lt;&gt;"",1.5,"")</f>
        <v>1.5</v>
      </c>
      <c r="E35" s="25">
        <f t="shared" si="6"/>
        <v>1.5</v>
      </c>
      <c r="F35" s="25">
        <f t="shared" si="6"/>
        <v>1.5</v>
      </c>
      <c r="G35" s="25">
        <f t="shared" si="6"/>
        <v>1.5</v>
      </c>
      <c r="H35" s="25">
        <f t="shared" si="6"/>
        <v>1.5</v>
      </c>
      <c r="I35" s="25">
        <f t="shared" si="6"/>
        <v>1.5</v>
      </c>
      <c r="J35" s="25">
        <f t="shared" si="6"/>
        <v>1.5</v>
      </c>
      <c r="K35" s="25">
        <f t="shared" si="6"/>
        <v>1.5</v>
      </c>
      <c r="L35" s="25">
        <f t="shared" si="6"/>
        <v>1.5</v>
      </c>
    </row>
    <row r="36" spans="1:13" x14ac:dyDescent="0.35">
      <c r="A36" s="1" t="s">
        <v>133</v>
      </c>
      <c r="B36" s="1"/>
      <c r="C36" s="14">
        <f>IF(C$22&lt;&gt;"",C22-C35/2,"")</f>
        <v>10.25</v>
      </c>
      <c r="D36" s="14">
        <f t="shared" ref="D36:L36" si="7">IF(D$22&lt;&gt;"",D22-D35/2,"")</f>
        <v>10.25</v>
      </c>
      <c r="E36" s="14">
        <f t="shared" si="7"/>
        <v>10.25</v>
      </c>
      <c r="F36" s="14">
        <f t="shared" si="7"/>
        <v>10.25</v>
      </c>
      <c r="G36" s="14">
        <f t="shared" si="7"/>
        <v>10.25</v>
      </c>
      <c r="H36" s="14">
        <f t="shared" si="7"/>
        <v>10.25</v>
      </c>
      <c r="I36" s="14">
        <f t="shared" si="7"/>
        <v>10.25</v>
      </c>
      <c r="J36" s="14">
        <f t="shared" si="7"/>
        <v>10.25</v>
      </c>
      <c r="K36" s="14">
        <f t="shared" si="7"/>
        <v>10.25</v>
      </c>
      <c r="L36" s="14">
        <f t="shared" si="7"/>
        <v>10.25</v>
      </c>
    </row>
    <row r="37" spans="1:13" x14ac:dyDescent="0.35">
      <c r="A37" t="s">
        <v>0</v>
      </c>
      <c r="B37" s="24"/>
      <c r="C37" s="14">
        <f>IF(C22&lt;&gt;"",MAX(0,C36-C38),"")</f>
        <v>2.75</v>
      </c>
      <c r="D37" s="14">
        <f t="shared" ref="D37:L37" si="8">IF(D22&lt;&gt;"",MAX(0,D36-D38),"")</f>
        <v>2.75</v>
      </c>
      <c r="E37" s="14">
        <f t="shared" si="8"/>
        <v>2.75</v>
      </c>
      <c r="F37" s="14">
        <f t="shared" si="8"/>
        <v>2.75</v>
      </c>
      <c r="G37" s="14">
        <f t="shared" si="8"/>
        <v>2.75</v>
      </c>
      <c r="H37" s="14">
        <f t="shared" si="8"/>
        <v>2.75</v>
      </c>
      <c r="I37" s="14">
        <f t="shared" si="8"/>
        <v>2.75</v>
      </c>
      <c r="J37" s="14">
        <f t="shared" si="8"/>
        <v>2.75</v>
      </c>
      <c r="K37" s="14">
        <f t="shared" si="8"/>
        <v>2.75</v>
      </c>
      <c r="L37" s="14">
        <f t="shared" si="8"/>
        <v>2.75</v>
      </c>
    </row>
    <row r="38" spans="1:13" x14ac:dyDescent="0.35">
      <c r="A38" t="s">
        <v>1</v>
      </c>
      <c r="B38" s="44">
        <v>7.5</v>
      </c>
      <c r="C38" s="14">
        <f>IF(C22&lt;&gt;"",IF(C36&gt;$B38,$B38,C36),"")</f>
        <v>7.5</v>
      </c>
      <c r="D38" s="14">
        <f t="shared" ref="D38:L38" si="9">IF(D22&lt;&gt;"",IF(D36&gt;$B38,$B38,D36),"")</f>
        <v>7.5</v>
      </c>
      <c r="E38" s="14">
        <f t="shared" si="9"/>
        <v>7.5</v>
      </c>
      <c r="F38" s="14">
        <f t="shared" si="9"/>
        <v>7.5</v>
      </c>
      <c r="G38" s="14">
        <f t="shared" si="9"/>
        <v>7.5</v>
      </c>
      <c r="H38" s="14">
        <f t="shared" si="9"/>
        <v>7.5</v>
      </c>
      <c r="I38" s="14">
        <f t="shared" si="9"/>
        <v>7.5</v>
      </c>
      <c r="J38" s="14">
        <f t="shared" si="9"/>
        <v>7.5</v>
      </c>
      <c r="K38" s="14">
        <f t="shared" si="9"/>
        <v>7.5</v>
      </c>
      <c r="L38" s="14">
        <f t="shared" si="9"/>
        <v>7.5</v>
      </c>
    </row>
    <row r="39" spans="1:13" x14ac:dyDescent="0.35">
      <c r="A39" s="1" t="s">
        <v>104</v>
      </c>
      <c r="C39"/>
    </row>
    <row r="40" spans="1:13" x14ac:dyDescent="0.35">
      <c r="A40" s="32" t="s">
        <v>102</v>
      </c>
      <c r="B40" s="1"/>
      <c r="C40" s="25"/>
      <c r="D40" s="25"/>
      <c r="E40" s="25"/>
      <c r="F40" s="25"/>
      <c r="G40" s="25"/>
      <c r="H40" s="25"/>
      <c r="I40" s="25"/>
      <c r="J40" s="25"/>
      <c r="K40" s="25"/>
      <c r="L40" s="25"/>
    </row>
    <row r="41" spans="1:13" x14ac:dyDescent="0.35">
      <c r="A41" s="32" t="s">
        <v>103</v>
      </c>
      <c r="B41" s="1"/>
      <c r="C41" s="31"/>
      <c r="D41" s="31"/>
      <c r="E41" s="31"/>
      <c r="F41" s="31"/>
      <c r="G41" s="31"/>
      <c r="H41" s="31"/>
      <c r="I41" s="31"/>
      <c r="J41" s="31"/>
      <c r="K41" s="31"/>
      <c r="L41" s="31"/>
      <c r="M41" s="33">
        <f>SUM(C41:L41)</f>
        <v>0</v>
      </c>
    </row>
    <row r="42" spans="1:13" hidden="1" x14ac:dyDescent="0.35">
      <c r="A42" s="32" t="s">
        <v>105</v>
      </c>
      <c r="B42" s="1"/>
      <c r="C42" s="25"/>
      <c r="D42" s="25"/>
      <c r="E42" s="25"/>
      <c r="F42" s="25"/>
      <c r="G42" s="25"/>
      <c r="H42" s="25"/>
      <c r="I42" s="25"/>
      <c r="J42" s="25"/>
      <c r="K42" s="25"/>
      <c r="L42" s="25"/>
      <c r="M42" s="34"/>
    </row>
    <row r="43" spans="1:13" hidden="1" x14ac:dyDescent="0.35">
      <c r="A43" s="32" t="s">
        <v>106</v>
      </c>
      <c r="B43" s="1"/>
      <c r="C43" s="31"/>
      <c r="D43" s="31"/>
      <c r="E43" s="31"/>
      <c r="F43" s="31"/>
      <c r="G43" s="31"/>
      <c r="H43" s="31"/>
      <c r="I43" s="31"/>
      <c r="J43" s="31"/>
      <c r="K43" s="31"/>
      <c r="L43" s="31"/>
      <c r="M43" s="33">
        <f>SUM(C43:L43)</f>
        <v>0</v>
      </c>
    </row>
    <row r="44" spans="1:13" x14ac:dyDescent="0.35">
      <c r="A44" s="1" t="s">
        <v>122</v>
      </c>
      <c r="B44" s="1"/>
      <c r="C44"/>
    </row>
    <row r="45" spans="1:13" x14ac:dyDescent="0.35">
      <c r="A45" t="s">
        <v>2</v>
      </c>
      <c r="C45" s="14">
        <f>IF(C$22&lt;&gt;"",C25+C37-C32-C40,"")</f>
        <v>13.217257133649303</v>
      </c>
      <c r="D45" s="14">
        <f t="shared" ref="D45:L45" si="10">IF(D$22&lt;&gt;"",D25+D37-D32-D40,"")</f>
        <v>11.308860168267607</v>
      </c>
      <c r="E45" s="14">
        <f t="shared" si="10"/>
        <v>9.4782273122835061</v>
      </c>
      <c r="F45" s="14">
        <f>IF(F$22&lt;&gt;"",F25+F37-F32-F40,"")</f>
        <v>8.5112853600768066</v>
      </c>
      <c r="G45" s="14">
        <f t="shared" si="10"/>
        <v>8.5079688711010348</v>
      </c>
      <c r="H45" s="14">
        <f t="shared" si="10"/>
        <v>8.5047270927738641</v>
      </c>
      <c r="I45" s="14">
        <f t="shared" si="10"/>
        <v>8.8881038289447343</v>
      </c>
      <c r="J45" s="14">
        <f t="shared" si="10"/>
        <v>9.2503712989619817</v>
      </c>
      <c r="K45" s="14">
        <f t="shared" si="10"/>
        <v>9.5937558729898971</v>
      </c>
      <c r="L45" s="14">
        <f t="shared" si="10"/>
        <v>9.918860666769266</v>
      </c>
    </row>
    <row r="46" spans="1:13" x14ac:dyDescent="0.35">
      <c r="A46" t="s">
        <v>3</v>
      </c>
      <c r="C46" s="14">
        <f>IF(C$22&lt;&gt;"",C26+C38-C33+C40+C42+C23-C35/2,"")</f>
        <v>17.160845186350727</v>
      </c>
      <c r="D46" s="14">
        <f t="shared" ref="D46:L46" si="11">IF(D$22&lt;&gt;"",D26+D38-D33+D40+D42+D23-D35/2,"")</f>
        <v>16.751053514732423</v>
      </c>
      <c r="E46" s="14">
        <f t="shared" si="11"/>
        <v>16.336953315716549</v>
      </c>
      <c r="F46" s="14">
        <f t="shared" si="11"/>
        <v>16.006767238139169</v>
      </c>
      <c r="G46" s="14">
        <f t="shared" si="11"/>
        <v>15.690226771938736</v>
      </c>
      <c r="H46" s="14">
        <f t="shared" si="11"/>
        <v>15.387020159064299</v>
      </c>
      <c r="I46" s="14">
        <f t="shared" si="11"/>
        <v>15.102892855394604</v>
      </c>
      <c r="J46" s="14">
        <f t="shared" si="11"/>
        <v>14.835338780376185</v>
      </c>
      <c r="K46" s="14">
        <f t="shared" si="11"/>
        <v>14.584396611248271</v>
      </c>
      <c r="L46" s="14">
        <f t="shared" si="11"/>
        <v>14.348455174969503</v>
      </c>
    </row>
    <row r="47" spans="1:13" x14ac:dyDescent="0.35">
      <c r="A47" t="s">
        <v>4</v>
      </c>
      <c r="C47" s="14">
        <f>IF(C$22&lt;&gt;"",C27+C35-C34-C42,"")</f>
        <v>1.5</v>
      </c>
      <c r="D47" s="14">
        <f t="shared" ref="D47:L47" si="12">IF(D$22&lt;&gt;"",D27+D35-D34-D42,"")</f>
        <v>1.5</v>
      </c>
      <c r="E47" s="14">
        <f t="shared" si="12"/>
        <v>1.5</v>
      </c>
      <c r="F47" s="14">
        <f t="shared" si="12"/>
        <v>1.5</v>
      </c>
      <c r="G47" s="14">
        <f t="shared" si="12"/>
        <v>1.5</v>
      </c>
      <c r="H47" s="14">
        <f t="shared" si="12"/>
        <v>1.5</v>
      </c>
      <c r="I47" s="14">
        <f t="shared" si="12"/>
        <v>1.5</v>
      </c>
      <c r="J47" s="14">
        <f t="shared" si="12"/>
        <v>1.5</v>
      </c>
      <c r="K47" s="14">
        <f t="shared" si="12"/>
        <v>1.5</v>
      </c>
      <c r="L47" s="14">
        <f t="shared" si="12"/>
        <v>1.5</v>
      </c>
    </row>
    <row r="48" spans="1:13" x14ac:dyDescent="0.35">
      <c r="A48" s="1" t="s">
        <v>134</v>
      </c>
      <c r="B48" s="1"/>
      <c r="C48" s="29"/>
      <c r="D48" s="2"/>
      <c r="E48" s="2"/>
      <c r="F48" s="2"/>
      <c r="G48" s="2"/>
      <c r="H48" s="2"/>
      <c r="I48" s="2"/>
      <c r="J48" s="2"/>
      <c r="K48" s="2"/>
      <c r="L48" s="2"/>
    </row>
    <row r="49" spans="1:18" x14ac:dyDescent="0.35">
      <c r="A49" t="s">
        <v>135</v>
      </c>
      <c r="C49" s="43">
        <f>IF(C45&gt;6.1+4.2,4.2,MAX(C45-6.1,0))</f>
        <v>4.2</v>
      </c>
      <c r="D49" s="43">
        <f t="shared" ref="D49:G49" si="13">IF(D45&gt;6.1+4.2,4.2,MAX(D45-6.1,0))</f>
        <v>4.2</v>
      </c>
      <c r="E49" s="43">
        <f t="shared" si="13"/>
        <v>3.3782273122835065</v>
      </c>
      <c r="F49" s="43">
        <f t="shared" si="13"/>
        <v>2.4112853600768069</v>
      </c>
      <c r="G49" s="43">
        <f t="shared" si="13"/>
        <v>2.4079688711010352</v>
      </c>
      <c r="H49" s="43">
        <v>2</v>
      </c>
      <c r="I49" s="43">
        <v>2</v>
      </c>
      <c r="J49" s="43">
        <v>2</v>
      </c>
      <c r="K49" s="43">
        <v>2</v>
      </c>
      <c r="L49" s="43">
        <v>2</v>
      </c>
      <c r="M49" s="45"/>
      <c r="N49" s="1" t="s">
        <v>127</v>
      </c>
    </row>
    <row r="50" spans="1:18" x14ac:dyDescent="0.35">
      <c r="A50" t="s">
        <v>136</v>
      </c>
      <c r="C50" s="43">
        <f>7.5-IF(C26&lt;$O$51,$P$51,IF(C26&lt;=$O$58,VLOOKUP(C26,$O$51:$P$58,2),0))</f>
        <v>6.867</v>
      </c>
      <c r="D50" s="43">
        <f t="shared" ref="D50:G50" si="14">7.5-IF(D26&lt;$O$51,$P$51,IF(D26&lt;=$O$58,VLOOKUP(D26,$O$51:$P$58,2),0))</f>
        <v>6.867</v>
      </c>
      <c r="E50" s="43">
        <f t="shared" si="14"/>
        <v>6.7829999999999995</v>
      </c>
      <c r="F50" s="43">
        <f t="shared" si="14"/>
        <v>6.7829999999999995</v>
      </c>
      <c r="G50" s="43">
        <f t="shared" si="14"/>
        <v>6.7829999999999995</v>
      </c>
      <c r="H50" s="43">
        <f t="shared" ref="H50:L50" si="15">G50</f>
        <v>6.7829999999999995</v>
      </c>
      <c r="I50" s="43">
        <f t="shared" si="15"/>
        <v>6.7829999999999995</v>
      </c>
      <c r="J50" s="43">
        <f t="shared" si="15"/>
        <v>6.7829999999999995</v>
      </c>
      <c r="K50" s="43">
        <f t="shared" si="15"/>
        <v>6.7829999999999995</v>
      </c>
      <c r="L50" s="43">
        <f t="shared" si="15"/>
        <v>6.7829999999999995</v>
      </c>
      <c r="N50" s="37" t="s">
        <v>128</v>
      </c>
      <c r="O50" s="37" t="s">
        <v>129</v>
      </c>
      <c r="P50" s="38" t="s">
        <v>130</v>
      </c>
      <c r="Q50" s="38" t="s">
        <v>131</v>
      </c>
      <c r="R50" s="37" t="s">
        <v>132</v>
      </c>
    </row>
    <row r="51" spans="1:18" x14ac:dyDescent="0.35">
      <c r="A51" t="s">
        <v>137</v>
      </c>
      <c r="C51" s="12">
        <f>IF(C$22&lt;&gt;"",0.6,"")</f>
        <v>0.6</v>
      </c>
      <c r="D51" s="12">
        <f t="shared" ref="D51:L51" si="16">IF(D$22&lt;&gt;"",0.6,"")</f>
        <v>0.6</v>
      </c>
      <c r="E51" s="12">
        <f t="shared" si="16"/>
        <v>0.6</v>
      </c>
      <c r="F51" s="12">
        <f t="shared" si="16"/>
        <v>0.6</v>
      </c>
      <c r="G51" s="12">
        <f t="shared" si="16"/>
        <v>0.6</v>
      </c>
      <c r="H51" s="12">
        <f t="shared" si="16"/>
        <v>0.6</v>
      </c>
      <c r="I51" s="12">
        <f t="shared" si="16"/>
        <v>0.6</v>
      </c>
      <c r="J51" s="12">
        <f t="shared" si="16"/>
        <v>0.6</v>
      </c>
      <c r="K51" s="12">
        <f t="shared" si="16"/>
        <v>0.6</v>
      </c>
      <c r="L51" s="12">
        <f t="shared" si="16"/>
        <v>0.6</v>
      </c>
      <c r="N51" s="39">
        <v>1025</v>
      </c>
      <c r="O51" s="40">
        <v>5.981122</v>
      </c>
      <c r="P51" s="41">
        <f t="shared" ref="P51:P58" si="17">R51-Q51</f>
        <v>1.2</v>
      </c>
      <c r="Q51" s="42">
        <v>0.125</v>
      </c>
      <c r="R51" s="41">
        <v>1.325</v>
      </c>
    </row>
    <row r="52" spans="1:18" x14ac:dyDescent="0.35">
      <c r="A52" t="s">
        <v>138</v>
      </c>
      <c r="C52" s="25">
        <v>1.5</v>
      </c>
      <c r="D52" s="25">
        <v>1.5</v>
      </c>
      <c r="E52" s="25">
        <v>1.5</v>
      </c>
      <c r="F52" s="25">
        <v>1.5</v>
      </c>
      <c r="G52" s="25">
        <v>1.5</v>
      </c>
      <c r="H52" s="25">
        <v>1.5</v>
      </c>
      <c r="I52" s="25">
        <v>1.5</v>
      </c>
      <c r="J52" s="25">
        <v>1.5</v>
      </c>
      <c r="K52" s="25">
        <v>1.5</v>
      </c>
      <c r="L52" s="25">
        <v>1.5</v>
      </c>
      <c r="N52" s="39">
        <v>1030</v>
      </c>
      <c r="O52" s="40">
        <v>6.305377</v>
      </c>
      <c r="P52" s="41">
        <f t="shared" si="17"/>
        <v>1.117</v>
      </c>
      <c r="Q52" s="42">
        <v>7.0000000000000007E-2</v>
      </c>
      <c r="R52" s="41">
        <v>1.1870000000000001</v>
      </c>
    </row>
    <row r="53" spans="1:18" x14ac:dyDescent="0.35">
      <c r="A53" s="1" t="s">
        <v>139</v>
      </c>
      <c r="B53" s="1"/>
      <c r="D53" s="2"/>
      <c r="E53" s="2"/>
      <c r="F53" s="2"/>
      <c r="G53" s="2"/>
      <c r="H53" s="2"/>
      <c r="I53" s="2"/>
      <c r="J53" s="2"/>
      <c r="K53" s="2"/>
      <c r="L53" s="2"/>
      <c r="N53" s="39">
        <v>1035</v>
      </c>
      <c r="O53" s="40">
        <v>6.6375080000000004</v>
      </c>
      <c r="P53" s="41">
        <f t="shared" si="17"/>
        <v>1.0669999999999999</v>
      </c>
      <c r="Q53" s="42">
        <v>7.0000000000000007E-2</v>
      </c>
      <c r="R53" s="41">
        <v>1.137</v>
      </c>
    </row>
    <row r="54" spans="1:18" x14ac:dyDescent="0.35">
      <c r="A54" t="s">
        <v>2</v>
      </c>
      <c r="C54" s="14">
        <f>IF(C$22&lt;&gt;"",C45-C49,"")</f>
        <v>9.0172571336493021</v>
      </c>
      <c r="D54" s="14">
        <f t="shared" ref="D54:L54" si="18">IF(D$22&lt;&gt;"",D45-D49,"")</f>
        <v>7.1088601682676069</v>
      </c>
      <c r="E54" s="14">
        <f t="shared" si="18"/>
        <v>6.1</v>
      </c>
      <c r="F54" s="14">
        <f t="shared" si="18"/>
        <v>6.1</v>
      </c>
      <c r="G54" s="14">
        <f t="shared" si="18"/>
        <v>6.1</v>
      </c>
      <c r="H54" s="14">
        <f t="shared" si="18"/>
        <v>6.5047270927738641</v>
      </c>
      <c r="I54" s="14">
        <f t="shared" si="18"/>
        <v>6.8881038289447343</v>
      </c>
      <c r="J54" s="14">
        <f t="shared" si="18"/>
        <v>7.2503712989619817</v>
      </c>
      <c r="K54" s="14">
        <f t="shared" si="18"/>
        <v>7.5937558729898971</v>
      </c>
      <c r="L54" s="14">
        <f t="shared" si="18"/>
        <v>7.918860666769266</v>
      </c>
      <c r="N54" s="39">
        <v>1040</v>
      </c>
      <c r="O54" s="40">
        <v>6.977665</v>
      </c>
      <c r="P54" s="41">
        <f t="shared" si="17"/>
        <v>1.0169999999999999</v>
      </c>
      <c r="Q54" s="42">
        <v>7.0000000000000007E-2</v>
      </c>
      <c r="R54" s="41">
        <v>1.087</v>
      </c>
    </row>
    <row r="55" spans="1:18" x14ac:dyDescent="0.35">
      <c r="A55" t="s">
        <v>3</v>
      </c>
      <c r="C55" s="14">
        <f>IF(C$22&lt;&gt;"",C46-C50-C51,"")</f>
        <v>9.6938451863507265</v>
      </c>
      <c r="D55" s="14">
        <f t="shared" ref="D55:L55" si="19">IF(D$22&lt;&gt;"",D46-D50-D51,"")</f>
        <v>9.2840535147324221</v>
      </c>
      <c r="E55" s="14">
        <f t="shared" si="19"/>
        <v>8.9539533157165501</v>
      </c>
      <c r="F55" s="14">
        <f t="shared" si="19"/>
        <v>8.6237672381391697</v>
      </c>
      <c r="G55" s="14">
        <f t="shared" si="19"/>
        <v>8.3072267719387369</v>
      </c>
      <c r="H55" s="14">
        <f t="shared" si="19"/>
        <v>8.0040201590643001</v>
      </c>
      <c r="I55" s="14">
        <f t="shared" si="19"/>
        <v>7.7198928553946047</v>
      </c>
      <c r="J55" s="14">
        <f t="shared" si="19"/>
        <v>7.452338780376186</v>
      </c>
      <c r="K55" s="14">
        <f t="shared" si="19"/>
        <v>7.2013966112482724</v>
      </c>
      <c r="L55" s="14">
        <f t="shared" si="19"/>
        <v>6.9654551749695042</v>
      </c>
      <c r="N55" s="39">
        <v>1045</v>
      </c>
      <c r="O55" s="40">
        <v>7.3260519999999998</v>
      </c>
      <c r="P55" s="41">
        <f t="shared" si="17"/>
        <v>0.96699999999999986</v>
      </c>
      <c r="Q55" s="42">
        <v>7.0000000000000007E-2</v>
      </c>
      <c r="R55" s="41">
        <v>1.0369999999999999</v>
      </c>
    </row>
    <row r="56" spans="1:18" x14ac:dyDescent="0.35">
      <c r="A56" t="s">
        <v>4</v>
      </c>
      <c r="C56" s="14">
        <f>IF(C$22&lt;&gt;"",C47-C52,"")</f>
        <v>0</v>
      </c>
      <c r="D56" s="14">
        <f t="shared" ref="D56:L56" si="20">IF(D$22&lt;&gt;"",D47-D52,"")</f>
        <v>0</v>
      </c>
      <c r="E56" s="14">
        <f t="shared" si="20"/>
        <v>0</v>
      </c>
      <c r="F56" s="14">
        <f t="shared" si="20"/>
        <v>0</v>
      </c>
      <c r="G56" s="14">
        <f t="shared" si="20"/>
        <v>0</v>
      </c>
      <c r="H56" s="14">
        <f t="shared" si="20"/>
        <v>0</v>
      </c>
      <c r="I56" s="14">
        <f t="shared" si="20"/>
        <v>0</v>
      </c>
      <c r="J56" s="14">
        <f t="shared" si="20"/>
        <v>0</v>
      </c>
      <c r="K56" s="14">
        <f t="shared" si="20"/>
        <v>0</v>
      </c>
      <c r="L56" s="14">
        <f t="shared" si="20"/>
        <v>0</v>
      </c>
      <c r="N56" s="39">
        <v>1050</v>
      </c>
      <c r="O56" s="40">
        <v>7.6828779999999997</v>
      </c>
      <c r="P56" s="41">
        <f t="shared" si="17"/>
        <v>0.71700000000000008</v>
      </c>
      <c r="Q56" s="42">
        <v>7.0000000000000007E-2</v>
      </c>
      <c r="R56" s="41">
        <v>0.78700000000000003</v>
      </c>
    </row>
    <row r="57" spans="1:18" x14ac:dyDescent="0.35">
      <c r="A57" s="1" t="s">
        <v>123</v>
      </c>
      <c r="B57" s="1"/>
      <c r="C57" s="14">
        <f>IF(C$22&lt;&gt;"",SUM(C54:C56),"")</f>
        <v>18.71110232000003</v>
      </c>
      <c r="D57" s="14">
        <f t="shared" ref="D57:L57" si="21">IF(D$22&lt;&gt;"",SUM(D54:D56),"")</f>
        <v>16.392913683000028</v>
      </c>
      <c r="E57" s="14">
        <f t="shared" si="21"/>
        <v>15.05395331571655</v>
      </c>
      <c r="F57" s="14">
        <f t="shared" si="21"/>
        <v>14.723767238139169</v>
      </c>
      <c r="G57" s="14">
        <f t="shared" si="21"/>
        <v>14.407226771938737</v>
      </c>
      <c r="H57" s="14">
        <f t="shared" si="21"/>
        <v>14.508747251838164</v>
      </c>
      <c r="I57" s="14">
        <f t="shared" si="21"/>
        <v>14.607996684339339</v>
      </c>
      <c r="J57" s="14">
        <f t="shared" si="21"/>
        <v>14.702710079338168</v>
      </c>
      <c r="K57" s="14">
        <f t="shared" si="21"/>
        <v>14.795152484238169</v>
      </c>
      <c r="L57" s="14">
        <f t="shared" si="21"/>
        <v>14.88431584173877</v>
      </c>
      <c r="N57" s="39">
        <v>1075</v>
      </c>
      <c r="O57" s="40">
        <v>9.6009879999900001</v>
      </c>
      <c r="P57" s="41">
        <f t="shared" si="17"/>
        <v>0.63300000000000001</v>
      </c>
      <c r="Q57" s="42">
        <v>0.05</v>
      </c>
      <c r="R57" s="41">
        <v>0.68300000000000005</v>
      </c>
    </row>
    <row r="58" spans="1:18" x14ac:dyDescent="0.35">
      <c r="N58" s="39">
        <v>1090</v>
      </c>
      <c r="O58" s="40">
        <v>10.857008</v>
      </c>
      <c r="P58" s="41">
        <f t="shared" si="17"/>
        <v>0.3</v>
      </c>
      <c r="Q58" s="38"/>
      <c r="R58" s="41">
        <v>0.3</v>
      </c>
    </row>
    <row r="59" spans="1:18" x14ac:dyDescent="0.35">
      <c r="A59" s="1" t="s">
        <v>125</v>
      </c>
      <c r="C59" s="12">
        <f>IF(C$22&lt;&gt;"",0.2,"")</f>
        <v>0.2</v>
      </c>
      <c r="D59" s="12">
        <f t="shared" ref="D59:L59" si="22">IF(D$22&lt;&gt;"",0.2,"")</f>
        <v>0.2</v>
      </c>
      <c r="E59" s="12">
        <f t="shared" si="22"/>
        <v>0.2</v>
      </c>
      <c r="F59" s="12">
        <f t="shared" si="22"/>
        <v>0.2</v>
      </c>
      <c r="G59" s="12">
        <f t="shared" si="22"/>
        <v>0.2</v>
      </c>
      <c r="H59" s="12">
        <f t="shared" si="22"/>
        <v>0.2</v>
      </c>
      <c r="I59" s="12">
        <f t="shared" si="22"/>
        <v>0.2</v>
      </c>
      <c r="J59" s="12">
        <f t="shared" si="22"/>
        <v>0.2</v>
      </c>
      <c r="K59" s="12">
        <f t="shared" si="22"/>
        <v>0.2</v>
      </c>
      <c r="L59" s="12">
        <f t="shared" si="22"/>
        <v>0.2</v>
      </c>
    </row>
    <row r="60" spans="1:18" x14ac:dyDescent="0.35">
      <c r="A60" t="s">
        <v>126</v>
      </c>
      <c r="C60" s="14">
        <f>IF(C$22&lt;&gt;"",C50+C59,"")</f>
        <v>7.0670000000000002</v>
      </c>
      <c r="D60" s="14">
        <f t="shared" ref="D60:L60" si="23">IF(D$22&lt;&gt;"",D50+D59,"")</f>
        <v>7.0670000000000002</v>
      </c>
      <c r="E60" s="14">
        <f t="shared" si="23"/>
        <v>6.9829999999999997</v>
      </c>
      <c r="F60" s="14">
        <f t="shared" si="23"/>
        <v>6.9829999999999997</v>
      </c>
      <c r="G60" s="14">
        <f t="shared" si="23"/>
        <v>6.9829999999999997</v>
      </c>
      <c r="H60" s="14">
        <f t="shared" si="23"/>
        <v>6.9829999999999997</v>
      </c>
      <c r="I60" s="14">
        <f t="shared" si="23"/>
        <v>6.9829999999999997</v>
      </c>
      <c r="J60" s="14">
        <f t="shared" si="23"/>
        <v>6.9829999999999997</v>
      </c>
      <c r="K60" s="14">
        <f t="shared" si="23"/>
        <v>6.9829999999999997</v>
      </c>
      <c r="L60" s="14">
        <f t="shared" si="23"/>
        <v>6.9829999999999997</v>
      </c>
    </row>
    <row r="62" spans="1:18" x14ac:dyDescent="0.35">
      <c r="D62" s="18"/>
    </row>
  </sheetData>
  <mergeCells count="4">
    <mergeCell ref="C5:H5"/>
    <mergeCell ref="C6:H6"/>
    <mergeCell ref="C7:H7"/>
    <mergeCell ref="C8:H8"/>
  </mergeCells>
  <conditionalFormatting sqref="H49:L49">
    <cfRule type="cellIs" dxfId="22" priority="23" operator="greaterThan">
      <formula>$C$45</formula>
    </cfRule>
  </conditionalFormatting>
  <conditionalFormatting sqref="H49">
    <cfRule type="cellIs" dxfId="21" priority="22" operator="greaterThan">
      <formula>$H$45</formula>
    </cfRule>
  </conditionalFormatting>
  <conditionalFormatting sqref="I49">
    <cfRule type="cellIs" dxfId="20" priority="21" operator="greaterThan">
      <formula>$I$45</formula>
    </cfRule>
  </conditionalFormatting>
  <conditionalFormatting sqref="J49">
    <cfRule type="cellIs" dxfId="19" priority="20" operator="greaterThan">
      <formula>$J$45</formula>
    </cfRule>
  </conditionalFormatting>
  <conditionalFormatting sqref="K49">
    <cfRule type="cellIs" dxfId="18" priority="19" operator="greaterThan">
      <formula>$K$45</formula>
    </cfRule>
  </conditionalFormatting>
  <conditionalFormatting sqref="L49">
    <cfRule type="cellIs" dxfId="17" priority="18" operator="greaterThan">
      <formula>$L$45</formula>
    </cfRule>
  </conditionalFormatting>
  <conditionalFormatting sqref="H50:L50">
    <cfRule type="cellIs" dxfId="16" priority="17" operator="greaterThan">
      <formula>$D$46</formula>
    </cfRule>
  </conditionalFormatting>
  <conditionalFormatting sqref="H50">
    <cfRule type="cellIs" dxfId="15" priority="16" operator="greaterThan">
      <formula>$H$46</formula>
    </cfRule>
  </conditionalFormatting>
  <conditionalFormatting sqref="I50">
    <cfRule type="cellIs" dxfId="14" priority="15" operator="greaterThan">
      <formula>$I$46</formula>
    </cfRule>
  </conditionalFormatting>
  <conditionalFormatting sqref="J50">
    <cfRule type="cellIs" dxfId="13" priority="14" operator="greaterThan">
      <formula>$J$46</formula>
    </cfRule>
  </conditionalFormatting>
  <conditionalFormatting sqref="K50">
    <cfRule type="cellIs" dxfId="12" priority="13" operator="greaterThan">
      <formula>$K$46</formula>
    </cfRule>
  </conditionalFormatting>
  <conditionalFormatting sqref="L50">
    <cfRule type="cellIs" dxfId="11" priority="12" operator="greaterThan">
      <formula>$L$46</formula>
    </cfRule>
  </conditionalFormatting>
  <conditionalFormatting sqref="C52">
    <cfRule type="cellIs" dxfId="10" priority="11" operator="greaterThan">
      <formula>$C$47</formula>
    </cfRule>
  </conditionalFormatting>
  <conditionalFormatting sqref="D52">
    <cfRule type="cellIs" dxfId="9" priority="10" operator="greaterThan">
      <formula>$D$47</formula>
    </cfRule>
  </conditionalFormatting>
  <conditionalFormatting sqref="E52">
    <cfRule type="cellIs" dxfId="8" priority="9" operator="greaterThan">
      <formula>$E$47</formula>
    </cfRule>
  </conditionalFormatting>
  <conditionalFormatting sqref="F52">
    <cfRule type="cellIs" dxfId="7" priority="8" operator="greaterThan">
      <formula>$F$47</formula>
    </cfRule>
  </conditionalFormatting>
  <conditionalFormatting sqref="G52">
    <cfRule type="cellIs" dxfId="6" priority="7" operator="greaterThan">
      <formula>$G$47</formula>
    </cfRule>
  </conditionalFormatting>
  <conditionalFormatting sqref="H52">
    <cfRule type="cellIs" dxfId="5" priority="6" operator="greaterThan">
      <formula>$H$47</formula>
    </cfRule>
  </conditionalFormatting>
  <conditionalFormatting sqref="I52">
    <cfRule type="cellIs" dxfId="4" priority="5" operator="greaterThan">
      <formula>$I$47</formula>
    </cfRule>
  </conditionalFormatting>
  <conditionalFormatting sqref="J52">
    <cfRule type="cellIs" dxfId="3" priority="4" operator="greaterThan">
      <formula>$J$47</formula>
    </cfRule>
  </conditionalFormatting>
  <conditionalFormatting sqref="K52">
    <cfRule type="cellIs" dxfId="2" priority="3" operator="greaterThan">
      <formula>$K$47</formula>
    </cfRule>
  </conditionalFormatting>
  <conditionalFormatting sqref="L52">
    <cfRule type="cellIs" dxfId="1" priority="2" operator="greaterThan">
      <formula>$L$47</formula>
    </cfRule>
  </conditionalFormatting>
  <conditionalFormatting sqref="C49:G49">
    <cfRule type="cellIs" dxfId="0" priority="1" operator="greaterThan">
      <formula>$C$45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23"/>
  <sheetViews>
    <sheetView zoomScale="150" zoomScaleNormal="150" workbookViewId="0"/>
  </sheetViews>
  <sheetFormatPr defaultRowHeight="14.5" x14ac:dyDescent="0.35"/>
  <cols>
    <col min="1" max="1" width="8.7265625" style="59"/>
    <col min="2" max="2" width="12.6328125" style="59" customWidth="1"/>
    <col min="3" max="3" width="29.90625" style="58" customWidth="1"/>
    <col min="4" max="4" width="12.453125" style="61" customWidth="1"/>
    <col min="5" max="5" width="15.08984375" style="61" customWidth="1"/>
    <col min="6" max="6" width="10.54296875" style="59" customWidth="1"/>
    <col min="8" max="8" width="32.36328125" style="81" customWidth="1"/>
    <col min="9" max="9" width="12.36328125" style="81" customWidth="1"/>
    <col min="10" max="10" width="10.26953125" style="2" customWidth="1"/>
  </cols>
  <sheetData>
    <row r="1" spans="1:10" s="55" customFormat="1" ht="30.5" customHeight="1" x14ac:dyDescent="0.35">
      <c r="A1" s="56" t="s">
        <v>178</v>
      </c>
      <c r="B1" s="56" t="s">
        <v>159</v>
      </c>
      <c r="C1" s="57" t="s">
        <v>160</v>
      </c>
      <c r="D1" s="56" t="s">
        <v>162</v>
      </c>
      <c r="E1" s="56" t="s">
        <v>161</v>
      </c>
      <c r="F1" s="56" t="s">
        <v>163</v>
      </c>
      <c r="H1" s="79" t="s">
        <v>230</v>
      </c>
      <c r="I1" s="79" t="s">
        <v>161</v>
      </c>
      <c r="J1" s="82" t="s">
        <v>163</v>
      </c>
    </row>
    <row r="2" spans="1:10" x14ac:dyDescent="0.35">
      <c r="A2" s="84"/>
      <c r="B2" s="86"/>
      <c r="C2" s="85"/>
      <c r="D2" s="84"/>
      <c r="E2" s="84"/>
      <c r="F2" s="86"/>
      <c r="H2" s="58"/>
      <c r="I2" s="58"/>
      <c r="J2" s="59"/>
    </row>
    <row r="3" spans="1:10" ht="43.5" x14ac:dyDescent="0.35">
      <c r="A3" s="84" t="s">
        <v>348</v>
      </c>
      <c r="B3" s="86">
        <v>44405</v>
      </c>
      <c r="C3" s="58" t="s">
        <v>350</v>
      </c>
      <c r="D3" s="84" t="s">
        <v>153</v>
      </c>
      <c r="E3" s="84" t="s">
        <v>349</v>
      </c>
      <c r="F3" s="86">
        <v>44405</v>
      </c>
      <c r="H3" s="58" t="s">
        <v>231</v>
      </c>
      <c r="I3" s="58" t="s">
        <v>153</v>
      </c>
      <c r="J3" s="59"/>
    </row>
    <row r="4" spans="1:10" ht="30" customHeight="1" x14ac:dyDescent="0.35">
      <c r="A4" s="84" t="s">
        <v>346</v>
      </c>
      <c r="B4" s="86">
        <v>44405</v>
      </c>
      <c r="C4" s="85" t="s">
        <v>347</v>
      </c>
      <c r="D4" s="84" t="s">
        <v>153</v>
      </c>
      <c r="E4" s="84" t="s">
        <v>153</v>
      </c>
      <c r="F4" s="86">
        <v>44405</v>
      </c>
      <c r="H4" s="58" t="s">
        <v>268</v>
      </c>
      <c r="I4" s="58" t="s">
        <v>260</v>
      </c>
      <c r="J4" s="60">
        <v>44385</v>
      </c>
    </row>
    <row r="5" spans="1:10" ht="72.5" x14ac:dyDescent="0.35">
      <c r="A5" s="84" t="s">
        <v>307</v>
      </c>
      <c r="B5" s="86">
        <v>44405</v>
      </c>
      <c r="C5" s="85" t="s">
        <v>345</v>
      </c>
      <c r="D5" s="84" t="s">
        <v>153</v>
      </c>
      <c r="E5" s="84" t="s">
        <v>349</v>
      </c>
      <c r="F5" s="86">
        <v>44391</v>
      </c>
      <c r="H5" s="58"/>
      <c r="I5" s="58"/>
      <c r="J5" s="60"/>
    </row>
    <row r="6" spans="1:10" ht="29" x14ac:dyDescent="0.35">
      <c r="A6" s="84" t="s">
        <v>302</v>
      </c>
      <c r="B6" s="84" t="s">
        <v>303</v>
      </c>
      <c r="C6" s="58" t="s">
        <v>304</v>
      </c>
      <c r="D6" s="84" t="s">
        <v>153</v>
      </c>
      <c r="E6" s="84" t="s">
        <v>349</v>
      </c>
      <c r="F6" s="86">
        <v>44391</v>
      </c>
      <c r="H6" s="58"/>
      <c r="I6" s="84"/>
      <c r="J6" s="60"/>
    </row>
    <row r="7" spans="1:10" ht="29" x14ac:dyDescent="0.35">
      <c r="A7" s="84" t="s">
        <v>302</v>
      </c>
      <c r="B7" s="84" t="s">
        <v>303</v>
      </c>
      <c r="C7" s="58" t="s">
        <v>262</v>
      </c>
      <c r="D7" s="84" t="s">
        <v>153</v>
      </c>
      <c r="E7" s="84" t="s">
        <v>349</v>
      </c>
      <c r="F7" s="86">
        <v>44391</v>
      </c>
      <c r="H7" s="58" t="s">
        <v>263</v>
      </c>
      <c r="I7" s="84" t="s">
        <v>349</v>
      </c>
      <c r="J7" s="60">
        <v>44391</v>
      </c>
    </row>
    <row r="8" spans="1:10" ht="101.5" x14ac:dyDescent="0.35">
      <c r="A8" s="84" t="s">
        <v>280</v>
      </c>
      <c r="B8" s="86">
        <v>44403</v>
      </c>
      <c r="C8" s="85" t="s">
        <v>281</v>
      </c>
      <c r="D8" s="84" t="s">
        <v>153</v>
      </c>
      <c r="E8" s="84" t="s">
        <v>349</v>
      </c>
      <c r="F8" s="86">
        <v>44391</v>
      </c>
      <c r="H8" s="58" t="s">
        <v>264</v>
      </c>
      <c r="I8" s="84" t="s">
        <v>349</v>
      </c>
      <c r="J8" s="60">
        <v>44391</v>
      </c>
    </row>
    <row r="9" spans="1:10" ht="58" x14ac:dyDescent="0.35">
      <c r="A9" s="59" t="s">
        <v>255</v>
      </c>
      <c r="B9" s="60">
        <v>44389</v>
      </c>
      <c r="C9" s="58" t="s">
        <v>256</v>
      </c>
      <c r="D9" s="61" t="s">
        <v>153</v>
      </c>
      <c r="E9" s="61" t="s">
        <v>153</v>
      </c>
      <c r="F9" s="60">
        <v>44389</v>
      </c>
      <c r="H9" s="58" t="s">
        <v>265</v>
      </c>
      <c r="I9" s="84" t="s">
        <v>349</v>
      </c>
      <c r="J9" s="60">
        <v>44391</v>
      </c>
    </row>
    <row r="10" spans="1:10" ht="29" x14ac:dyDescent="0.35">
      <c r="A10" s="59" t="s">
        <v>253</v>
      </c>
      <c r="B10" s="60">
        <v>44389</v>
      </c>
      <c r="C10" s="58" t="s">
        <v>254</v>
      </c>
      <c r="D10" s="61" t="s">
        <v>153</v>
      </c>
      <c r="E10" s="61" t="s">
        <v>260</v>
      </c>
      <c r="F10" s="60">
        <v>44385</v>
      </c>
      <c r="H10" s="80"/>
      <c r="I10" s="58"/>
      <c r="J10" s="60"/>
    </row>
    <row r="11" spans="1:10" ht="58" x14ac:dyDescent="0.35">
      <c r="A11" s="59" t="s">
        <v>226</v>
      </c>
      <c r="B11" s="60">
        <v>44385</v>
      </c>
      <c r="C11" s="58" t="s">
        <v>227</v>
      </c>
      <c r="D11" s="61" t="s">
        <v>153</v>
      </c>
      <c r="E11" s="61" t="s">
        <v>153</v>
      </c>
      <c r="F11" s="60">
        <f>B11</f>
        <v>44385</v>
      </c>
      <c r="H11" s="80"/>
      <c r="I11" s="84"/>
      <c r="J11" s="60"/>
    </row>
    <row r="12" spans="1:10" ht="72.5" x14ac:dyDescent="0.35">
      <c r="A12" s="59" t="s">
        <v>208</v>
      </c>
      <c r="B12" s="60">
        <v>44384</v>
      </c>
      <c r="C12" s="58" t="s">
        <v>228</v>
      </c>
      <c r="D12" s="61" t="s">
        <v>153</v>
      </c>
      <c r="E12" s="61" t="s">
        <v>153</v>
      </c>
      <c r="F12" s="60">
        <v>44384</v>
      </c>
      <c r="H12" s="80" t="s">
        <v>266</v>
      </c>
      <c r="I12" s="84" t="s">
        <v>349</v>
      </c>
      <c r="J12" s="60">
        <v>44391</v>
      </c>
    </row>
    <row r="13" spans="1:10" ht="43.5" x14ac:dyDescent="0.35">
      <c r="A13" s="59" t="s">
        <v>199</v>
      </c>
      <c r="B13" s="60">
        <v>44384</v>
      </c>
      <c r="C13" s="58" t="s">
        <v>229</v>
      </c>
      <c r="D13" s="61" t="s">
        <v>153</v>
      </c>
      <c r="E13" s="61" t="s">
        <v>153</v>
      </c>
      <c r="F13" s="60">
        <v>44384</v>
      </c>
      <c r="H13" s="80" t="s">
        <v>267</v>
      </c>
      <c r="I13" s="84" t="s">
        <v>349</v>
      </c>
      <c r="J13" s="60">
        <v>44391</v>
      </c>
    </row>
    <row r="14" spans="1:10" ht="43.5" x14ac:dyDescent="0.35">
      <c r="A14" s="59" t="s">
        <v>190</v>
      </c>
      <c r="B14" s="60">
        <v>44378</v>
      </c>
      <c r="C14" s="58" t="s">
        <v>191</v>
      </c>
      <c r="D14" s="61" t="s">
        <v>153</v>
      </c>
      <c r="E14" s="61" t="s">
        <v>153</v>
      </c>
      <c r="F14" s="60">
        <v>44378</v>
      </c>
    </row>
    <row r="15" spans="1:10" x14ac:dyDescent="0.35">
      <c r="A15" s="59" t="s">
        <v>188</v>
      </c>
      <c r="B15" s="60">
        <v>44377</v>
      </c>
      <c r="C15" s="58" t="s">
        <v>192</v>
      </c>
      <c r="D15" s="61" t="s">
        <v>153</v>
      </c>
      <c r="E15" s="61" t="s">
        <v>153</v>
      </c>
      <c r="F15" s="60">
        <v>44377</v>
      </c>
    </row>
    <row r="16" spans="1:10" ht="72.5" x14ac:dyDescent="0.35">
      <c r="A16" s="59" t="s">
        <v>186</v>
      </c>
      <c r="B16" s="60">
        <v>44377</v>
      </c>
      <c r="C16" s="58" t="s">
        <v>187</v>
      </c>
      <c r="D16" s="61" t="s">
        <v>153</v>
      </c>
      <c r="E16" s="61" t="s">
        <v>261</v>
      </c>
      <c r="F16" s="60">
        <v>44372</v>
      </c>
    </row>
    <row r="17" spans="1:6" ht="43.5" x14ac:dyDescent="0.35">
      <c r="A17" s="59">
        <v>3.3</v>
      </c>
      <c r="B17" s="60">
        <v>44377</v>
      </c>
      <c r="C17" s="58" t="s">
        <v>180</v>
      </c>
      <c r="D17" s="61" t="s">
        <v>153</v>
      </c>
      <c r="E17" s="61" t="s">
        <v>261</v>
      </c>
      <c r="F17" s="60">
        <v>44372</v>
      </c>
    </row>
    <row r="18" spans="1:6" ht="29" x14ac:dyDescent="0.35">
      <c r="A18" s="59" t="s">
        <v>179</v>
      </c>
      <c r="B18" s="60">
        <v>44377</v>
      </c>
      <c r="C18" s="58" t="s">
        <v>164</v>
      </c>
      <c r="D18" s="61" t="s">
        <v>153</v>
      </c>
      <c r="E18" s="61" t="s">
        <v>153</v>
      </c>
      <c r="F18" s="60">
        <v>44377</v>
      </c>
    </row>
    <row r="19" spans="1:6" ht="116" x14ac:dyDescent="0.35">
      <c r="A19" s="59">
        <v>3.2</v>
      </c>
      <c r="B19" s="60">
        <v>44367</v>
      </c>
      <c r="C19" s="58" t="s">
        <v>171</v>
      </c>
      <c r="D19" s="61" t="s">
        <v>153</v>
      </c>
      <c r="E19" s="61" t="s">
        <v>153</v>
      </c>
      <c r="F19" s="60">
        <v>44367</v>
      </c>
    </row>
    <row r="20" spans="1:6" ht="29" x14ac:dyDescent="0.35">
      <c r="A20" s="59">
        <v>3.1</v>
      </c>
      <c r="B20" s="60">
        <v>44331</v>
      </c>
      <c r="C20" s="58" t="s">
        <v>170</v>
      </c>
      <c r="D20" s="61" t="s">
        <v>153</v>
      </c>
      <c r="E20" s="61" t="s">
        <v>153</v>
      </c>
      <c r="F20" s="60">
        <v>44331</v>
      </c>
    </row>
    <row r="21" spans="1:6" ht="72.5" x14ac:dyDescent="0.35">
      <c r="A21" s="59">
        <v>3</v>
      </c>
      <c r="B21" s="60">
        <v>44319</v>
      </c>
      <c r="C21" s="58" t="s">
        <v>169</v>
      </c>
      <c r="D21" s="61" t="s">
        <v>153</v>
      </c>
      <c r="E21" s="61" t="s">
        <v>165</v>
      </c>
      <c r="F21" s="60">
        <v>44315</v>
      </c>
    </row>
    <row r="22" spans="1:6" ht="29" x14ac:dyDescent="0.35">
      <c r="A22" s="59">
        <v>2</v>
      </c>
      <c r="B22" s="60">
        <v>44307</v>
      </c>
      <c r="C22" s="58" t="s">
        <v>166</v>
      </c>
      <c r="D22" s="61" t="s">
        <v>153</v>
      </c>
      <c r="E22" s="61" t="s">
        <v>260</v>
      </c>
      <c r="F22" s="60">
        <v>44294</v>
      </c>
    </row>
    <row r="23" spans="1:6" ht="29" x14ac:dyDescent="0.35">
      <c r="A23" s="63">
        <v>1</v>
      </c>
      <c r="B23" s="60">
        <v>44291</v>
      </c>
      <c r="C23" s="58" t="s">
        <v>168</v>
      </c>
      <c r="D23" s="61" t="s">
        <v>153</v>
      </c>
      <c r="E23" s="61" t="s">
        <v>167</v>
      </c>
      <c r="F23" s="60">
        <v>44291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133AE-48C4-4733-B0BD-5F073B5B2728}">
  <dimension ref="A1:N142"/>
  <sheetViews>
    <sheetView topLeftCell="A4" zoomScale="150" zoomScaleNormal="150" workbookViewId="0">
      <selection activeCell="B13" sqref="B13:F13"/>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10.45312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73" t="s">
        <v>151</v>
      </c>
      <c r="B3" s="173"/>
      <c r="C3" s="173"/>
      <c r="D3" s="173"/>
      <c r="E3" s="173"/>
      <c r="F3" s="173"/>
      <c r="G3" s="173"/>
      <c r="H3" s="118"/>
      <c r="I3" s="118"/>
      <c r="J3" s="118"/>
      <c r="K3" s="118"/>
    </row>
    <row r="4" spans="1:13" x14ac:dyDescent="0.35">
      <c r="A4" s="53" t="s">
        <v>38</v>
      </c>
      <c r="B4" s="53" t="s">
        <v>42</v>
      </c>
      <c r="C4" s="174" t="s">
        <v>43</v>
      </c>
      <c r="D4" s="175"/>
      <c r="E4" s="175"/>
      <c r="F4" s="175"/>
      <c r="G4" s="176"/>
      <c r="M4" s="1" t="s">
        <v>321</v>
      </c>
    </row>
    <row r="5" spans="1:13" x14ac:dyDescent="0.35">
      <c r="A5" s="133" t="s">
        <v>39</v>
      </c>
      <c r="B5" s="133"/>
      <c r="C5" s="177"/>
      <c r="D5" s="178"/>
      <c r="E5" s="178"/>
      <c r="F5" s="178"/>
      <c r="G5" s="178"/>
      <c r="M5" t="s">
        <v>322</v>
      </c>
    </row>
    <row r="6" spans="1:13" x14ac:dyDescent="0.35">
      <c r="A6" s="133" t="s">
        <v>40</v>
      </c>
      <c r="B6" s="133"/>
      <c r="C6" s="177"/>
      <c r="D6" s="178"/>
      <c r="E6" s="178"/>
      <c r="F6" s="178"/>
      <c r="G6" s="178"/>
      <c r="M6" t="s">
        <v>327</v>
      </c>
    </row>
    <row r="7" spans="1:13" x14ac:dyDescent="0.35">
      <c r="A7" s="133" t="s">
        <v>41</v>
      </c>
      <c r="B7" s="133"/>
      <c r="C7" s="177"/>
      <c r="D7" s="178"/>
      <c r="E7" s="178"/>
      <c r="F7" s="178"/>
      <c r="G7" s="178"/>
      <c r="M7" t="s">
        <v>328</v>
      </c>
    </row>
    <row r="8" spans="1:13" x14ac:dyDescent="0.35">
      <c r="A8" s="117" t="s">
        <v>157</v>
      </c>
      <c r="B8" s="117"/>
      <c r="C8" s="179"/>
      <c r="D8" s="179"/>
      <c r="E8" s="179"/>
      <c r="F8" s="179"/>
      <c r="G8" s="179"/>
    </row>
    <row r="9" spans="1:13" x14ac:dyDescent="0.35">
      <c r="A9" s="133"/>
      <c r="B9" s="133"/>
      <c r="C9" s="167"/>
      <c r="D9" s="167"/>
      <c r="E9" s="167"/>
      <c r="F9" s="167"/>
      <c r="G9" s="167"/>
    </row>
    <row r="10" spans="1:13" x14ac:dyDescent="0.35">
      <c r="A10" s="133"/>
      <c r="B10" s="133"/>
      <c r="C10" s="167"/>
      <c r="D10" s="167"/>
      <c r="E10" s="167"/>
      <c r="F10" s="167"/>
      <c r="G10" s="167"/>
    </row>
    <row r="11" spans="1:13" x14ac:dyDescent="0.35">
      <c r="A11" s="16"/>
      <c r="B11" s="2"/>
      <c r="C11"/>
    </row>
    <row r="12" spans="1:13" x14ac:dyDescent="0.35">
      <c r="A12" s="19" t="s">
        <v>45</v>
      </c>
      <c r="B12" s="166" t="s">
        <v>198</v>
      </c>
      <c r="C12" s="166"/>
      <c r="D12" s="166"/>
      <c r="E12" s="166"/>
      <c r="F12" s="166"/>
    </row>
    <row r="13" spans="1:13" x14ac:dyDescent="0.35">
      <c r="B13" s="168" t="s">
        <v>351</v>
      </c>
      <c r="C13" s="169"/>
      <c r="D13" s="169"/>
      <c r="E13" s="169"/>
      <c r="F13" s="169"/>
    </row>
    <row r="14" spans="1:13" x14ac:dyDescent="0.35">
      <c r="B14" s="170" t="s">
        <v>330</v>
      </c>
      <c r="C14" s="171"/>
      <c r="D14" s="171"/>
      <c r="E14" s="171"/>
      <c r="F14" s="171"/>
    </row>
    <row r="15" spans="1:13" x14ac:dyDescent="0.35">
      <c r="B15" s="172" t="s">
        <v>46</v>
      </c>
      <c r="C15" s="172"/>
      <c r="D15" s="172"/>
      <c r="E15" s="172"/>
      <c r="F15" s="172"/>
    </row>
    <row r="17" spans="1:14" x14ac:dyDescent="0.35">
      <c r="A17" s="1" t="s">
        <v>53</v>
      </c>
      <c r="D17" s="166" t="s">
        <v>154</v>
      </c>
      <c r="E17" s="166"/>
      <c r="F17" s="166"/>
      <c r="G17" s="166"/>
    </row>
    <row r="19" spans="1:14" x14ac:dyDescent="0.35">
      <c r="A19" s="1" t="s">
        <v>32</v>
      </c>
      <c r="B19" s="1" t="s">
        <v>110</v>
      </c>
      <c r="C19" s="13" t="s">
        <v>111</v>
      </c>
    </row>
    <row r="20" spans="1:14" x14ac:dyDescent="0.35">
      <c r="A20" t="s">
        <v>109</v>
      </c>
      <c r="B20" s="140">
        <v>5.73</v>
      </c>
      <c r="C20" s="140">
        <v>6</v>
      </c>
      <c r="D20" s="23" t="s">
        <v>112</v>
      </c>
    </row>
    <row r="21" spans="1:14" x14ac:dyDescent="0.35">
      <c r="A21" t="s">
        <v>141</v>
      </c>
      <c r="B21" s="140">
        <v>11</v>
      </c>
      <c r="C21" s="140">
        <v>10.1</v>
      </c>
      <c r="D21" s="11" t="s">
        <v>34</v>
      </c>
    </row>
    <row r="22" spans="1:14" x14ac:dyDescent="0.35">
      <c r="A22" t="s">
        <v>189</v>
      </c>
      <c r="B22" s="62">
        <v>3525</v>
      </c>
      <c r="C22" s="62">
        <v>1020</v>
      </c>
      <c r="D22" s="11"/>
    </row>
    <row r="23" spans="1:14" x14ac:dyDescent="0.35">
      <c r="A23" t="s">
        <v>175</v>
      </c>
      <c r="B23" s="140">
        <f>VLOOKUP(B22,'Powell-Elevation-Area'!$A$5:$B$689,2)/1000000</f>
        <v>5.9265762500000001</v>
      </c>
      <c r="C23" s="140">
        <f>VLOOKUP(C22,'Mead-Elevation-Area'!$A$5:$B$689,2)/1000000</f>
        <v>5.664593</v>
      </c>
      <c r="D23" s="11"/>
      <c r="E23" s="45"/>
    </row>
    <row r="25" spans="1:14" s="1" customFormat="1" x14ac:dyDescent="0.35">
      <c r="A25" s="146" t="s">
        <v>35</v>
      </c>
      <c r="B25" s="147" t="s">
        <v>48</v>
      </c>
      <c r="C25" s="147" t="s">
        <v>5</v>
      </c>
      <c r="D25" s="147" t="s">
        <v>6</v>
      </c>
      <c r="E25" s="147" t="s">
        <v>7</v>
      </c>
      <c r="F25" s="147" t="s">
        <v>8</v>
      </c>
      <c r="G25" s="147" t="s">
        <v>9</v>
      </c>
      <c r="H25" s="147" t="s">
        <v>10</v>
      </c>
      <c r="I25" s="147" t="s">
        <v>11</v>
      </c>
      <c r="J25" s="147" t="s">
        <v>12</v>
      </c>
      <c r="K25" s="147" t="s">
        <v>36</v>
      </c>
      <c r="L25" s="147" t="s">
        <v>37</v>
      </c>
      <c r="M25" s="147" t="s">
        <v>107</v>
      </c>
      <c r="N25" s="147" t="s">
        <v>172</v>
      </c>
    </row>
    <row r="26" spans="1:14" x14ac:dyDescent="0.35">
      <c r="A26" s="1" t="s">
        <v>44</v>
      </c>
      <c r="B26" s="1"/>
      <c r="C26" s="141"/>
      <c r="D26" s="141"/>
      <c r="E26" s="141"/>
      <c r="F26" s="141"/>
      <c r="G26" s="141"/>
      <c r="H26" s="141"/>
      <c r="I26" s="141"/>
      <c r="J26" s="141"/>
      <c r="K26" s="141"/>
      <c r="L26" s="141"/>
    </row>
    <row r="27" spans="1:14" x14ac:dyDescent="0.35">
      <c r="A27" s="1" t="s">
        <v>121</v>
      </c>
      <c r="B27" s="1"/>
      <c r="C27" s="140" t="str">
        <f>IF(C$26&lt;&gt;"",0.8,"")</f>
        <v/>
      </c>
      <c r="D27" s="140" t="str">
        <f t="shared" ref="D27:L27" si="0">IF(D$26&lt;&gt;"",0.8,"")</f>
        <v/>
      </c>
      <c r="E27" s="140" t="str">
        <f t="shared" si="0"/>
        <v/>
      </c>
      <c r="F27" s="140" t="str">
        <f t="shared" si="0"/>
        <v/>
      </c>
      <c r="G27" s="140" t="str">
        <f t="shared" si="0"/>
        <v/>
      </c>
      <c r="H27" s="140" t="str">
        <f t="shared" si="0"/>
        <v/>
      </c>
      <c r="I27" s="140" t="str">
        <f t="shared" si="0"/>
        <v/>
      </c>
      <c r="J27" s="140" t="str">
        <f t="shared" si="0"/>
        <v/>
      </c>
      <c r="K27" s="140" t="str">
        <f t="shared" si="0"/>
        <v/>
      </c>
      <c r="L27" s="140" t="str">
        <f t="shared" si="0"/>
        <v/>
      </c>
    </row>
    <row r="28" spans="1:14" x14ac:dyDescent="0.35">
      <c r="A28" s="1" t="s">
        <v>305</v>
      </c>
      <c r="B28" s="1"/>
      <c r="C28" s="140" t="str">
        <f>IF(C$26&lt;&gt;"",0.6,"")</f>
        <v/>
      </c>
      <c r="D28" s="140" t="str">
        <f t="shared" ref="D28:L28" si="1">IF(D$26&lt;&gt;"",0.6,"")</f>
        <v/>
      </c>
      <c r="E28" s="140" t="str">
        <f t="shared" si="1"/>
        <v/>
      </c>
      <c r="F28" s="140" t="str">
        <f t="shared" si="1"/>
        <v/>
      </c>
      <c r="G28" s="140" t="str">
        <f t="shared" si="1"/>
        <v/>
      </c>
      <c r="H28" s="140" t="str">
        <f t="shared" si="1"/>
        <v/>
      </c>
      <c r="I28" s="140" t="str">
        <f t="shared" si="1"/>
        <v/>
      </c>
      <c r="J28" s="140" t="str">
        <f t="shared" si="1"/>
        <v/>
      </c>
      <c r="K28" s="140" t="str">
        <f t="shared" si="1"/>
        <v/>
      </c>
      <c r="L28" s="140" t="str">
        <f t="shared" si="1"/>
        <v/>
      </c>
    </row>
    <row r="29" spans="1:14" x14ac:dyDescent="0.35">
      <c r="A29" s="1" t="s">
        <v>124</v>
      </c>
      <c r="B29" s="114">
        <f>SUM(B30:B35)-SUM(B21:C21)</f>
        <v>0</v>
      </c>
      <c r="C29" s="14" t="str">
        <f>IF(C$26&lt;&gt;"",SUM(B21:C21),"")</f>
        <v/>
      </c>
      <c r="D29" s="14" t="str">
        <f>IF(D$26&lt;&gt;"",C127,"")</f>
        <v/>
      </c>
      <c r="E29" s="14" t="str">
        <f t="shared" ref="E29:L29" si="2">IF(E$26&lt;&gt;"",D127,"")</f>
        <v/>
      </c>
      <c r="F29" s="14" t="str">
        <f t="shared" si="2"/>
        <v/>
      </c>
      <c r="G29" s="14" t="str">
        <f t="shared" si="2"/>
        <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15">
        <f>B21-B23</f>
        <v>5.0734237499999999</v>
      </c>
      <c r="C30" s="112" t="str">
        <f>IF(OR(C$26="",$A30=""),"",B30)</f>
        <v/>
      </c>
      <c r="D30" s="14" t="str">
        <f>IF(OR(D$26="",$A30=""),"",C121)</f>
        <v/>
      </c>
      <c r="E30" s="14" t="str">
        <f t="shared" ref="E30:L30" si="4">IF(OR(E$26="",$A30=""),"",D121)</f>
        <v/>
      </c>
      <c r="F30" s="14" t="str">
        <f t="shared" si="4"/>
        <v/>
      </c>
      <c r="G30" s="14" t="str">
        <f t="shared" si="4"/>
        <v/>
      </c>
      <c r="H30" s="14" t="str">
        <f t="shared" si="4"/>
        <v/>
      </c>
      <c r="I30" s="14" t="str">
        <f t="shared" si="4"/>
        <v/>
      </c>
      <c r="J30" s="14" t="str">
        <f t="shared" si="4"/>
        <v/>
      </c>
      <c r="K30" s="14" t="str">
        <f t="shared" si="4"/>
        <v/>
      </c>
      <c r="L30" s="14" t="str">
        <f t="shared" si="4"/>
        <v/>
      </c>
      <c r="N30" t="s">
        <v>177</v>
      </c>
    </row>
    <row r="31" spans="1:14" x14ac:dyDescent="0.35">
      <c r="A31" t="str">
        <f t="shared" si="3"/>
        <v xml:space="preserve">    Lower Basin Balance</v>
      </c>
      <c r="B31" s="115">
        <f>C21-C23-B32</f>
        <v>4.2614069999999993</v>
      </c>
      <c r="C31" s="112" t="str">
        <f t="shared" ref="C31:C35" si="5">IF(OR(C$26="",$A31=""),"",B31)</f>
        <v/>
      </c>
      <c r="D31" s="14" t="str">
        <f t="shared" ref="D31:L35" si="6">IF(OR(D$26="",$A31=""),"",C122)</f>
        <v/>
      </c>
      <c r="E31" s="14" t="str">
        <f t="shared" si="6"/>
        <v/>
      </c>
      <c r="F31" s="14" t="str">
        <f t="shared" si="6"/>
        <v/>
      </c>
      <c r="G31" s="14" t="str">
        <f t="shared" si="6"/>
        <v/>
      </c>
      <c r="H31" s="14" t="str">
        <f t="shared" si="6"/>
        <v/>
      </c>
      <c r="I31" s="14" t="str">
        <f t="shared" si="6"/>
        <v/>
      </c>
      <c r="J31" s="14" t="str">
        <f t="shared" si="6"/>
        <v/>
      </c>
      <c r="K31" s="14" t="str">
        <f t="shared" si="6"/>
        <v/>
      </c>
      <c r="L31" s="14" t="str">
        <f t="shared" si="6"/>
        <v/>
      </c>
      <c r="N31" t="s">
        <v>174</v>
      </c>
    </row>
    <row r="32" spans="1:14" x14ac:dyDescent="0.35">
      <c r="A32" t="str">
        <f t="shared" si="3"/>
        <v xml:space="preserve">    Mexico Balance</v>
      </c>
      <c r="B32" s="116">
        <v>0.17399999999999999</v>
      </c>
      <c r="C32" s="113" t="str">
        <f t="shared" si="5"/>
        <v/>
      </c>
      <c r="D32" s="52" t="str">
        <f t="shared" si="6"/>
        <v/>
      </c>
      <c r="E32" s="52" t="str">
        <f t="shared" si="6"/>
        <v/>
      </c>
      <c r="F32" s="52" t="str">
        <f t="shared" si="6"/>
        <v/>
      </c>
      <c r="G32" s="52" t="str">
        <f t="shared" si="6"/>
        <v/>
      </c>
      <c r="H32" s="14" t="str">
        <f t="shared" si="6"/>
        <v/>
      </c>
      <c r="I32" s="14" t="str">
        <f t="shared" si="6"/>
        <v/>
      </c>
      <c r="J32" s="14" t="str">
        <f t="shared" si="6"/>
        <v/>
      </c>
      <c r="K32" s="14" t="str">
        <f t="shared" si="6"/>
        <v/>
      </c>
      <c r="L32" s="14" t="str">
        <f t="shared" si="6"/>
        <v/>
      </c>
      <c r="N32" t="s">
        <v>173</v>
      </c>
    </row>
    <row r="33" spans="1:14" x14ac:dyDescent="0.35">
      <c r="A33" t="str">
        <f t="shared" si="3"/>
        <v xml:space="preserve">    Shared, Reserve Balance</v>
      </c>
      <c r="B33" s="115">
        <f>SUM(B23:C23)</f>
        <v>11.59116925</v>
      </c>
      <c r="C33" s="112" t="str">
        <f t="shared" si="5"/>
        <v/>
      </c>
      <c r="D33" s="14" t="str">
        <f t="shared" si="6"/>
        <v/>
      </c>
      <c r="E33" s="14" t="str">
        <f t="shared" si="6"/>
        <v/>
      </c>
      <c r="F33" s="14" t="str">
        <f t="shared" si="6"/>
        <v/>
      </c>
      <c r="G33" s="14" t="str">
        <f t="shared" si="6"/>
        <v/>
      </c>
      <c r="H33" s="14" t="str">
        <f t="shared" si="6"/>
        <v/>
      </c>
      <c r="I33" s="14" t="str">
        <f t="shared" si="6"/>
        <v/>
      </c>
      <c r="J33" s="14" t="str">
        <f t="shared" si="6"/>
        <v/>
      </c>
      <c r="K33" s="14" t="str">
        <f t="shared" si="6"/>
        <v/>
      </c>
      <c r="L33" s="14" t="str">
        <f t="shared" si="6"/>
        <v/>
      </c>
    </row>
    <row r="34" spans="1:14" x14ac:dyDescent="0.35">
      <c r="A34" t="str">
        <f t="shared" si="3"/>
        <v/>
      </c>
      <c r="B34" s="115"/>
      <c r="C34" s="112"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176</v>
      </c>
    </row>
    <row r="35" spans="1:14" x14ac:dyDescent="0.35">
      <c r="A35" t="str">
        <f t="shared" si="3"/>
        <v/>
      </c>
      <c r="B35" s="117"/>
      <c r="C35" s="112"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196</v>
      </c>
      <c r="C36"/>
    </row>
    <row r="37" spans="1:14" x14ac:dyDescent="0.35">
      <c r="A37" t="s">
        <v>113</v>
      </c>
      <c r="C37" s="14" t="str">
        <f>IF(C$26&lt;&gt;"",B21,"")</f>
        <v/>
      </c>
      <c r="D37" s="14" t="str">
        <f>IF(D$26&lt;&gt;"",C129,"")</f>
        <v/>
      </c>
      <c r="E37" s="14" t="str">
        <f t="shared" ref="E37:G38" si="7">IF(E$26&lt;&gt;"",D129,"")</f>
        <v/>
      </c>
      <c r="F37" s="14" t="str">
        <f t="shared" si="7"/>
        <v/>
      </c>
      <c r="G37" s="14" t="str">
        <f t="shared" si="7"/>
        <v/>
      </c>
      <c r="H37" s="14" t="str">
        <f t="shared" ref="H37:H38" si="8">IF(H$26&lt;&gt;"",G129,"")</f>
        <v/>
      </c>
      <c r="I37" s="14" t="str">
        <f t="shared" ref="I37:I38" si="9">IF(I$26&lt;&gt;"",H129,"")</f>
        <v/>
      </c>
      <c r="J37" s="14" t="str">
        <f t="shared" ref="J37:J38" si="10">IF(J$26&lt;&gt;"",I129,"")</f>
        <v/>
      </c>
      <c r="K37" s="14" t="str">
        <f t="shared" ref="K37:K38" si="11">IF(K$26&lt;&gt;"",J129,"")</f>
        <v/>
      </c>
      <c r="L37" s="14" t="str">
        <f t="shared" ref="L37:L38" si="12">IF(L$26&lt;&gt;"",K129,"")</f>
        <v/>
      </c>
    </row>
    <row r="38" spans="1:14" x14ac:dyDescent="0.35">
      <c r="A38" t="s">
        <v>114</v>
      </c>
      <c r="C38" s="14" t="str">
        <f>IF(C$26&lt;&gt;"",C21,"")</f>
        <v/>
      </c>
      <c r="D38" s="14" t="str">
        <f>IF(D$26&lt;&gt;"",C130,"")</f>
        <v/>
      </c>
      <c r="E38" s="14" t="str">
        <f t="shared" si="7"/>
        <v/>
      </c>
      <c r="F38" s="14" t="str">
        <f t="shared" si="7"/>
        <v/>
      </c>
      <c r="G38" s="14" t="str">
        <f t="shared" si="7"/>
        <v/>
      </c>
      <c r="H38" s="14" t="str">
        <f t="shared" si="8"/>
        <v/>
      </c>
      <c r="I38" s="14" t="str">
        <f t="shared" si="9"/>
        <v/>
      </c>
      <c r="J38" s="14" t="str">
        <f t="shared" si="10"/>
        <v/>
      </c>
      <c r="K38" s="14" t="str">
        <f t="shared" si="11"/>
        <v/>
      </c>
      <c r="L38" s="14" t="str">
        <f t="shared" si="12"/>
        <v/>
      </c>
    </row>
    <row r="39" spans="1:14" x14ac:dyDescent="0.35">
      <c r="A39" s="1" t="s">
        <v>119</v>
      </c>
      <c r="B39" s="1"/>
      <c r="C39" s="14" t="str">
        <f>IF(C$26&lt;&gt;"",VLOOKUP(C37*1000000,'Powell-Elevation-Area'!$B$5:$D$689,3)*$B$20/1000000 + VLOOKUP(C38*1000000,'Mead-Elevation-Area'!$B$5:$D$676,3)*$C$20/1000000,"")</f>
        <v/>
      </c>
      <c r="D39" s="14" t="str">
        <f>IF(D$26&lt;&gt;"",VLOOKUP(D37*1000000,'Powell-Elevation-Area'!$B$5:$D$689,3)*$B$20/1000000 + VLOOKUP(D38*1000000,'Mead-Elevation-Area'!$B$5:$D$676,3)*$C$20/1000000,"")</f>
        <v/>
      </c>
      <c r="E39" s="14" t="str">
        <f>IF(E$26&lt;&gt;"",VLOOKUP(E37*1000000,'Powell-Elevation-Area'!$B$5:$D$689,3)*$B$20/1000000 + VLOOKUP(E38*1000000,'Mead-Elevation-Area'!$B$5:$D$676,3)*$C$20/1000000,"")</f>
        <v/>
      </c>
      <c r="F39" s="14" t="str">
        <f>IF(F$26&lt;&gt;"",VLOOKUP(F37*1000000,'Powell-Elevation-Area'!$B$5:$D$689,3)*$B$20/1000000 + VLOOKUP(F38*1000000,'Mead-Elevation-Area'!$B$5:$D$676,3)*$C$20/1000000,"")</f>
        <v/>
      </c>
      <c r="G39" s="14" t="str">
        <f>IF(G$26&lt;&gt;"",VLOOKUP(G37*1000000,'Powell-Elevation-Area'!$B$5:$D$689,3)*$B$20/1000000 + VLOOKUP(G38*1000000,'Mead-Elevation-Area'!$B$5:$D$676,3)*$C$20/1000000,"")</f>
        <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13">IF(A5="","","    "&amp;A5&amp;" Share")</f>
        <v xml:space="preserve">    Upper Basin Share</v>
      </c>
      <c r="B40" s="1"/>
      <c r="C40" s="14" t="str">
        <f t="shared" ref="C40:L45" si="14">IF(OR(C$26="",$A40=""),"",C$39*C30/C$29)</f>
        <v/>
      </c>
      <c r="D40" s="14" t="str">
        <f t="shared" si="14"/>
        <v/>
      </c>
      <c r="E40" s="14" t="str">
        <f t="shared" si="14"/>
        <v/>
      </c>
      <c r="F40" s="14" t="str">
        <f t="shared" si="14"/>
        <v/>
      </c>
      <c r="G40" s="14" t="str">
        <f t="shared" si="14"/>
        <v/>
      </c>
      <c r="H40" s="14" t="str">
        <f t="shared" si="14"/>
        <v/>
      </c>
      <c r="I40" s="14" t="str">
        <f t="shared" si="14"/>
        <v/>
      </c>
      <c r="J40" s="14" t="str">
        <f t="shared" si="14"/>
        <v/>
      </c>
      <c r="K40" s="14" t="str">
        <f t="shared" si="14"/>
        <v/>
      </c>
      <c r="L40" s="14" t="str">
        <f t="shared" si="14"/>
        <v/>
      </c>
    </row>
    <row r="41" spans="1:14" x14ac:dyDescent="0.35">
      <c r="A41" t="str">
        <f t="shared" si="13"/>
        <v xml:space="preserve">    Lower Basin Share</v>
      </c>
      <c r="B41" s="1"/>
      <c r="C41" s="14" t="str">
        <f t="shared" si="14"/>
        <v/>
      </c>
      <c r="D41" s="14" t="str">
        <f t="shared" si="14"/>
        <v/>
      </c>
      <c r="E41" s="14" t="str">
        <f t="shared" si="14"/>
        <v/>
      </c>
      <c r="F41" s="14" t="str">
        <f t="shared" si="14"/>
        <v/>
      </c>
      <c r="G41" s="14" t="str">
        <f t="shared" si="14"/>
        <v/>
      </c>
      <c r="H41" s="14" t="str">
        <f t="shared" si="14"/>
        <v/>
      </c>
      <c r="I41" s="14" t="str">
        <f t="shared" si="14"/>
        <v/>
      </c>
      <c r="J41" s="14" t="str">
        <f t="shared" si="14"/>
        <v/>
      </c>
      <c r="K41" s="14" t="str">
        <f t="shared" si="14"/>
        <v/>
      </c>
      <c r="L41" s="14" t="str">
        <f t="shared" si="14"/>
        <v/>
      </c>
    </row>
    <row r="42" spans="1:14" x14ac:dyDescent="0.35">
      <c r="A42" t="str">
        <f t="shared" si="13"/>
        <v xml:space="preserve">    Mexico Share</v>
      </c>
      <c r="B42" s="1"/>
      <c r="C42" s="14" t="str">
        <f t="shared" si="14"/>
        <v/>
      </c>
      <c r="D42" s="14" t="str">
        <f t="shared" si="14"/>
        <v/>
      </c>
      <c r="E42" s="14" t="str">
        <f t="shared" si="14"/>
        <v/>
      </c>
      <c r="F42" s="14" t="str">
        <f t="shared" si="14"/>
        <v/>
      </c>
      <c r="G42" s="14" t="str">
        <f t="shared" si="14"/>
        <v/>
      </c>
      <c r="H42" s="14" t="str">
        <f t="shared" si="14"/>
        <v/>
      </c>
      <c r="I42" s="14" t="str">
        <f t="shared" si="14"/>
        <v/>
      </c>
      <c r="J42" s="14" t="str">
        <f t="shared" si="14"/>
        <v/>
      </c>
      <c r="K42" s="14" t="str">
        <f t="shared" si="14"/>
        <v/>
      </c>
      <c r="L42" s="14" t="str">
        <f t="shared" si="14"/>
        <v/>
      </c>
    </row>
    <row r="43" spans="1:14" x14ac:dyDescent="0.35">
      <c r="A43" t="str">
        <f t="shared" si="13"/>
        <v xml:space="preserve">    Shared, Reserve Share</v>
      </c>
      <c r="B43" s="1"/>
      <c r="C43" s="14" t="str">
        <f t="shared" si="14"/>
        <v/>
      </c>
      <c r="D43" s="14" t="str">
        <f t="shared" si="14"/>
        <v/>
      </c>
      <c r="E43" s="14" t="str">
        <f t="shared" si="14"/>
        <v/>
      </c>
      <c r="F43" s="14" t="str">
        <f t="shared" si="14"/>
        <v/>
      </c>
      <c r="G43" s="14" t="str">
        <f t="shared" si="14"/>
        <v/>
      </c>
      <c r="H43" s="14" t="str">
        <f t="shared" si="14"/>
        <v/>
      </c>
      <c r="I43" s="14" t="str">
        <f t="shared" si="14"/>
        <v/>
      </c>
      <c r="J43" s="14" t="str">
        <f t="shared" si="14"/>
        <v/>
      </c>
      <c r="K43" s="14" t="str">
        <f t="shared" si="14"/>
        <v/>
      </c>
      <c r="L43" s="14" t="str">
        <f t="shared" si="14"/>
        <v/>
      </c>
    </row>
    <row r="44" spans="1:14" x14ac:dyDescent="0.3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259</v>
      </c>
      <c r="B46" s="75"/>
      <c r="C46" s="49" t="str">
        <f>IF(C$26&lt;&gt;"",1.5-0.21/9/2-VLOOKUP(C38,LowerBasinCuts!$C$5:$P$13,13),"")</f>
        <v/>
      </c>
      <c r="D46" s="49" t="str">
        <f>IF(D$26&lt;&gt;"",1.5-0.21/9/2-VLOOKUP(D38,LowerBasinCuts!$C$5:$P$13,13),"")</f>
        <v/>
      </c>
      <c r="E46" s="49" t="str">
        <f>IF(E$26&lt;&gt;"",1.5-0.21/9/2-VLOOKUP(E38,LowerBasinCuts!$C$5:$P$13,13),"")</f>
        <v/>
      </c>
      <c r="F46" s="49" t="str">
        <f>IF(F$26&lt;&gt;"",1.5-0.21/9/2-VLOOKUP(F38,LowerBasinCuts!$C$5:$P$13,13),"")</f>
        <v/>
      </c>
      <c r="G46" s="49" t="str">
        <f>IF(G$26&lt;&gt;"",1.5-0.21/9/2-VLOOKUP(G38,LowerBasinCuts!$C$5:$P$13,13),"")</f>
        <v/>
      </c>
      <c r="H46" s="49" t="str">
        <f>IF(H$26&lt;&gt;"",1.5-0.21/9/2-VLOOKUP(H38,LowerBasinCuts!$C$5:$P$13,13),"")</f>
        <v/>
      </c>
      <c r="I46" s="49" t="str">
        <f>IF(I$26&lt;&gt;"",1.5-0.21/9/2-VLOOKUP(I38,LowerBasinCuts!$C$5:$P$13,13),"")</f>
        <v/>
      </c>
      <c r="J46" s="49" t="str">
        <f>IF(J$26&lt;&gt;"",1.5-0.21/9/2-VLOOKUP(J38,LowerBasinCuts!$C$5:$P$13,13),"")</f>
        <v/>
      </c>
      <c r="K46" s="49" t="str">
        <f>IF(K$26&lt;&gt;"",1.5-0.21/9/2-VLOOKUP(K38,LowerBasinCuts!$C$5:$P$13,13),"")</f>
        <v/>
      </c>
      <c r="L46" s="49" t="str">
        <f>IF(L$26&lt;&gt;"",1.5-0.21/9/2-VLOOKUP(L38,LowerBasinCuts!$C$5:$P$13,13),"")</f>
        <v/>
      </c>
    </row>
    <row r="47" spans="1:14" x14ac:dyDescent="0.35">
      <c r="A47" s="1" t="s">
        <v>306</v>
      </c>
      <c r="B47" s="1"/>
      <c r="C47" s="51" t="str">
        <f>IF(C26="","",SUM(C26:C27)-C28)</f>
        <v/>
      </c>
      <c r="D47" s="51" t="str">
        <f t="shared" ref="D47:L47" si="15">IF(D26="","",SUM(D26:D27)-D28)</f>
        <v/>
      </c>
      <c r="E47" s="14" t="str">
        <f t="shared" si="15"/>
        <v/>
      </c>
      <c r="F47" s="51" t="str">
        <f t="shared" si="15"/>
        <v/>
      </c>
      <c r="G47" s="51" t="str">
        <f t="shared" si="15"/>
        <v/>
      </c>
      <c r="H47" s="51" t="str">
        <f t="shared" si="15"/>
        <v/>
      </c>
      <c r="I47" s="51" t="str">
        <f t="shared" si="15"/>
        <v/>
      </c>
      <c r="J47" s="51" t="str">
        <f t="shared" si="15"/>
        <v/>
      </c>
      <c r="K47" s="51" t="str">
        <f t="shared" si="15"/>
        <v/>
      </c>
      <c r="L47" s="51" t="str">
        <f t="shared" si="15"/>
        <v/>
      </c>
      <c r="M47" s="45"/>
      <c r="N47" s="45"/>
    </row>
    <row r="48" spans="1:14" x14ac:dyDescent="0.35">
      <c r="A48" t="str">
        <f t="shared" ref="A48:A53" si="16">IF(A5="","","    To "&amp;A5)</f>
        <v xml:space="preserve">    To Upper Basin</v>
      </c>
      <c r="B48" s="138" t="s">
        <v>147</v>
      </c>
      <c r="C48" s="112" t="str">
        <f>IF(OR(C$26="",$A48=""),"",IF(C$26&gt;SUM(MIN($B49,C26-C50/2)+C50/2),C$26-SUM(MIN($B49,C26-C50/2)+C50/2),0))</f>
        <v/>
      </c>
      <c r="D48" s="112" t="str">
        <f t="shared" ref="D48:L48" si="17">IF(OR(D$26="",$A48=""),"",IF(D$26&gt;SUM(MIN($B49,D26-D50/2)+D50/2),D$26-SUM(MIN($B49,D26-D50/2)+D50/2),0))</f>
        <v/>
      </c>
      <c r="E48" s="112" t="str">
        <f t="shared" si="17"/>
        <v/>
      </c>
      <c r="F48" s="112" t="str">
        <f t="shared" si="17"/>
        <v/>
      </c>
      <c r="G48" s="112" t="str">
        <f t="shared" si="17"/>
        <v/>
      </c>
      <c r="H48" s="112" t="str">
        <f t="shared" si="17"/>
        <v/>
      </c>
      <c r="I48" s="112" t="str">
        <f t="shared" si="17"/>
        <v/>
      </c>
      <c r="J48" s="112" t="str">
        <f t="shared" si="17"/>
        <v/>
      </c>
      <c r="K48" s="112" t="str">
        <f t="shared" si="17"/>
        <v/>
      </c>
      <c r="L48" s="112" t="str">
        <f t="shared" si="17"/>
        <v/>
      </c>
      <c r="M48" s="29"/>
      <c r="N48" s="29"/>
    </row>
    <row r="49" spans="1:14" x14ac:dyDescent="0.35">
      <c r="A49" t="str">
        <f t="shared" si="16"/>
        <v xml:space="preserve">    To Lower Basin</v>
      </c>
      <c r="B49" s="139">
        <f>7.5</f>
        <v>7.5</v>
      </c>
      <c r="C49" s="112" t="str">
        <f>IF(OR(C$26="",$A49=""),"",C27-C28-C51-C50/2+MIN($B49,C26-C50/2))</f>
        <v/>
      </c>
      <c r="D49" s="112" t="str">
        <f t="shared" ref="D49:L49" si="18">IF(OR(D$26="",$A49=""),"",D27-D28-D51-D50/2+MIN($B49,D26-D50/2))</f>
        <v/>
      </c>
      <c r="E49" s="112" t="str">
        <f t="shared" si="18"/>
        <v/>
      </c>
      <c r="F49" s="112" t="str">
        <f t="shared" si="18"/>
        <v/>
      </c>
      <c r="G49" s="112" t="str">
        <f t="shared" si="18"/>
        <v/>
      </c>
      <c r="H49" s="112" t="str">
        <f t="shared" si="18"/>
        <v/>
      </c>
      <c r="I49" s="112" t="str">
        <f t="shared" si="18"/>
        <v/>
      </c>
      <c r="J49" s="112" t="str">
        <f t="shared" si="18"/>
        <v/>
      </c>
      <c r="K49" s="112" t="str">
        <f t="shared" si="18"/>
        <v/>
      </c>
      <c r="L49" s="112" t="str">
        <f t="shared" si="18"/>
        <v/>
      </c>
      <c r="M49" s="29"/>
      <c r="N49" s="29"/>
    </row>
    <row r="50" spans="1:14" x14ac:dyDescent="0.35">
      <c r="A50" t="str">
        <f t="shared" si="16"/>
        <v xml:space="preserve">    To Mexico</v>
      </c>
      <c r="B50" s="139" t="s">
        <v>185</v>
      </c>
      <c r="C50" s="112" t="str">
        <f>IF(OR(C$26="",$A50=""),"",IF(C$47&gt;SUM(C51:C52,C46),C46,C$47-SUM(C51:C52)))</f>
        <v/>
      </c>
      <c r="D50" s="112" t="str">
        <f t="shared" ref="D50:L50" si="19">IF(OR(D$26="",$A50=""),"",IF(D$47&gt;SUM(D51:D52,D46),D46,D$47-SUM(D51:D52)))</f>
        <v/>
      </c>
      <c r="E50" s="112" t="str">
        <f t="shared" si="19"/>
        <v/>
      </c>
      <c r="F50" s="112" t="str">
        <f t="shared" si="19"/>
        <v/>
      </c>
      <c r="G50" s="112" t="str">
        <f t="shared" si="19"/>
        <v/>
      </c>
      <c r="H50" s="112" t="str">
        <f t="shared" si="19"/>
        <v/>
      </c>
      <c r="I50" s="112" t="str">
        <f t="shared" si="19"/>
        <v/>
      </c>
      <c r="J50" s="112" t="str">
        <f t="shared" si="19"/>
        <v/>
      </c>
      <c r="K50" s="112" t="str">
        <f t="shared" si="19"/>
        <v/>
      </c>
      <c r="L50" s="112" t="str">
        <f t="shared" si="19"/>
        <v/>
      </c>
      <c r="M50" s="29"/>
      <c r="N50" s="29"/>
    </row>
    <row r="51" spans="1:14" x14ac:dyDescent="0.35">
      <c r="A51" t="str">
        <f t="shared" si="16"/>
        <v xml:space="preserve">    To Shared, Reserve</v>
      </c>
      <c r="B51" s="139" t="s">
        <v>184</v>
      </c>
      <c r="C51" s="112" t="str">
        <f>IF(OR(C$26="",$A51=""),"",IF(C$47&gt;C43,C43,C47))</f>
        <v/>
      </c>
      <c r="D51" s="112" t="str">
        <f t="shared" ref="D51:L51" si="20">IF(OR(D$26="",$A51=""),"",IF(D$47&gt;D43,D43,D47))</f>
        <v/>
      </c>
      <c r="E51" s="112" t="str">
        <f t="shared" si="20"/>
        <v/>
      </c>
      <c r="F51" s="112" t="str">
        <f t="shared" si="20"/>
        <v/>
      </c>
      <c r="G51" s="112" t="str">
        <f t="shared" si="20"/>
        <v/>
      </c>
      <c r="H51" s="112" t="str">
        <f t="shared" si="20"/>
        <v/>
      </c>
      <c r="I51" s="112" t="str">
        <f t="shared" si="20"/>
        <v/>
      </c>
      <c r="J51" s="112" t="str">
        <f t="shared" si="20"/>
        <v/>
      </c>
      <c r="K51" s="112" t="str">
        <f t="shared" si="20"/>
        <v/>
      </c>
      <c r="L51" s="112" t="str">
        <f t="shared" si="20"/>
        <v/>
      </c>
      <c r="M51" s="29"/>
      <c r="N51" s="29"/>
    </row>
    <row r="52" spans="1:14" x14ac:dyDescent="0.35">
      <c r="A52" t="str">
        <f t="shared" si="16"/>
        <v/>
      </c>
      <c r="B52" s="139"/>
      <c r="C52" s="112"/>
      <c r="D52" s="112"/>
      <c r="E52" s="112"/>
      <c r="F52" s="112"/>
      <c r="G52" s="112"/>
      <c r="H52" s="112"/>
      <c r="I52" s="112"/>
      <c r="J52" s="112"/>
      <c r="K52" s="112"/>
      <c r="L52" s="112"/>
      <c r="M52" s="29"/>
      <c r="N52" s="29"/>
    </row>
    <row r="53" spans="1:14" x14ac:dyDescent="0.35">
      <c r="A53" t="str">
        <f t="shared" si="16"/>
        <v/>
      </c>
      <c r="B53" s="139"/>
      <c r="C53" s="113"/>
      <c r="D53" s="113"/>
      <c r="E53" s="113"/>
      <c r="F53" s="113"/>
      <c r="G53" s="113"/>
      <c r="H53" s="113"/>
      <c r="I53" s="113"/>
      <c r="J53" s="113"/>
      <c r="K53" s="113"/>
      <c r="L53" s="113"/>
      <c r="M53" s="29"/>
      <c r="N53" s="29"/>
    </row>
    <row r="54" spans="1:14" x14ac:dyDescent="0.35">
      <c r="C54" s="45"/>
      <c r="D54" s="45"/>
      <c r="E54" s="45"/>
      <c r="F54" s="45"/>
      <c r="G54" s="45"/>
    </row>
    <row r="55" spans="1:14" x14ac:dyDescent="0.35">
      <c r="A55" s="142" t="s">
        <v>181</v>
      </c>
      <c r="B55" s="142"/>
      <c r="C55" s="142"/>
      <c r="D55" s="142"/>
      <c r="E55" s="142"/>
      <c r="F55" s="142"/>
      <c r="G55" s="142"/>
      <c r="H55" s="142"/>
      <c r="I55" s="142"/>
      <c r="J55" s="142"/>
      <c r="K55" s="142"/>
      <c r="L55" s="142"/>
      <c r="M55" s="142"/>
      <c r="N55" s="142"/>
    </row>
    <row r="56" spans="1:14" x14ac:dyDescent="0.35">
      <c r="A56" s="143" t="str">
        <f>IF(A$5="[Unused]","",A5)</f>
        <v>Upper Basin</v>
      </c>
      <c r="B56" s="143"/>
      <c r="C56" s="143"/>
      <c r="D56" s="143"/>
      <c r="E56" s="143"/>
      <c r="F56" s="143"/>
      <c r="G56" s="143"/>
      <c r="H56" s="143"/>
      <c r="I56" s="143"/>
      <c r="J56" s="143"/>
      <c r="K56" s="143"/>
      <c r="L56" s="143"/>
      <c r="M56" s="144" t="s">
        <v>107</v>
      </c>
      <c r="N56" s="143" t="s">
        <v>172</v>
      </c>
    </row>
    <row r="57" spans="1:14" x14ac:dyDescent="0.35">
      <c r="A57" s="32" t="str">
        <f>IF(A56="[Unused]","","   Volume of Sales(+) and Purchases(-) [maf]")</f>
        <v xml:space="preserve">   Volume of Sales(+) and Purchases(-) [maf]</v>
      </c>
      <c r="C57" s="134"/>
      <c r="D57" s="134"/>
      <c r="E57" s="134"/>
      <c r="F57" s="134"/>
      <c r="G57" s="134"/>
      <c r="H57" s="134"/>
      <c r="I57" s="134"/>
      <c r="J57" s="134"/>
      <c r="K57" s="134"/>
      <c r="L57" s="134"/>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35"/>
      <c r="D58" s="135"/>
      <c r="E58" s="135"/>
      <c r="F58" s="134"/>
      <c r="G58" s="135"/>
      <c r="H58" s="135"/>
      <c r="I58" s="135"/>
      <c r="J58" s="135"/>
      <c r="K58" s="135"/>
      <c r="L58" s="135"/>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t="str">
        <f t="shared" ref="C59:M59" si="21">IF(OR(C$26="",$A59=""),"",C$112)</f>
        <v/>
      </c>
      <c r="D59" s="67" t="str">
        <f t="shared" si="21"/>
        <v/>
      </c>
      <c r="E59" s="67" t="str">
        <f t="shared" si="21"/>
        <v/>
      </c>
      <c r="F59" s="67" t="str">
        <f t="shared" si="21"/>
        <v/>
      </c>
      <c r="G59" s="67" t="str">
        <f t="shared" si="21"/>
        <v/>
      </c>
      <c r="H59" s="67" t="str">
        <f t="shared" si="21"/>
        <v/>
      </c>
      <c r="I59" s="67" t="str">
        <f t="shared" si="21"/>
        <v/>
      </c>
      <c r="J59" s="67" t="str">
        <f t="shared" si="21"/>
        <v/>
      </c>
      <c r="K59" s="67" t="str">
        <f t="shared" si="21"/>
        <v/>
      </c>
      <c r="L59" s="67" t="str">
        <f t="shared" si="21"/>
        <v/>
      </c>
      <c r="M59" t="str">
        <f t="shared" si="21"/>
        <v/>
      </c>
      <c r="N59" t="str">
        <f>IF(A59="","","If non-zero, players need to change amount(s)")</f>
        <v>If non-zero, players need to change amount(s)</v>
      </c>
    </row>
    <row r="60" spans="1:14" x14ac:dyDescent="0.35">
      <c r="A60" s="1" t="str">
        <f>IF(A58="","","   Available Water [maf]")</f>
        <v xml:space="preserve">   Available Water [maf]</v>
      </c>
      <c r="C60" s="14" t="str">
        <f>IF(OR(C$26="",$A60=""),"",C30+C48-C40-C57)</f>
        <v/>
      </c>
      <c r="D60" s="14" t="str">
        <f t="shared" ref="D60:L60" si="22">IF(OR(D$26="",$A60=""),"",D30+D48-D40-D57)</f>
        <v/>
      </c>
      <c r="E60" s="14" t="str">
        <f t="shared" si="22"/>
        <v/>
      </c>
      <c r="F60" s="14" t="str">
        <f t="shared" si="22"/>
        <v/>
      </c>
      <c r="G60" s="14" t="str">
        <f t="shared" si="22"/>
        <v/>
      </c>
      <c r="H60" s="14" t="str">
        <f t="shared" si="22"/>
        <v/>
      </c>
      <c r="I60" s="14" t="str">
        <f t="shared" si="22"/>
        <v/>
      </c>
      <c r="J60" s="14" t="str">
        <f t="shared" si="22"/>
        <v/>
      </c>
      <c r="K60" s="14" t="str">
        <f t="shared" si="22"/>
        <v/>
      </c>
      <c r="L60" s="14" t="str">
        <f t="shared" si="22"/>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36"/>
      <c r="D61" s="136"/>
      <c r="E61" s="136"/>
      <c r="F61" s="136"/>
      <c r="G61" s="136"/>
      <c r="H61" s="136"/>
      <c r="I61" s="136"/>
      <c r="J61" s="136"/>
      <c r="K61" s="136"/>
      <c r="L61" s="136"/>
      <c r="N61" t="str">
        <f>IF(A61="","","Must be less than Available water")</f>
        <v>Must be less than Available water</v>
      </c>
    </row>
    <row r="62" spans="1:14" x14ac:dyDescent="0.35">
      <c r="A62" s="32" t="str">
        <f>IF(A61="","","   End of Year Balance [maf]")</f>
        <v xml:space="preserve">   End of Year Balance [maf]</v>
      </c>
      <c r="C62" s="66" t="str">
        <f>IF(OR(C$26="",$A62=""),"",C60-C61)</f>
        <v/>
      </c>
      <c r="D62" s="66" t="str">
        <f t="shared" ref="D62:L62" si="23">IF(OR(D$26="",$A62=""),"",D60-D61)</f>
        <v/>
      </c>
      <c r="E62" s="66" t="str">
        <f t="shared" si="23"/>
        <v/>
      </c>
      <c r="F62" s="66" t="str">
        <f t="shared" si="23"/>
        <v/>
      </c>
      <c r="G62" s="66" t="str">
        <f t="shared" si="23"/>
        <v/>
      </c>
      <c r="H62" s="66" t="str">
        <f t="shared" si="23"/>
        <v/>
      </c>
      <c r="I62" s="66" t="str">
        <f t="shared" si="23"/>
        <v/>
      </c>
      <c r="J62" s="66" t="str">
        <f t="shared" si="23"/>
        <v/>
      </c>
      <c r="K62" s="66" t="str">
        <f t="shared" si="23"/>
        <v/>
      </c>
      <c r="L62" s="66" t="str">
        <f t="shared" si="23"/>
        <v/>
      </c>
      <c r="N62" t="str">
        <f>IF(A62="","","Available water - Account Withdraw")</f>
        <v>Available water - Account Withdraw</v>
      </c>
    </row>
    <row r="63" spans="1:14" x14ac:dyDescent="0.35">
      <c r="C63"/>
    </row>
    <row r="64" spans="1:14" x14ac:dyDescent="0.35">
      <c r="A64" s="143" t="str">
        <f>IF(A$6="","[Unused]",A6)</f>
        <v>Lower Basin</v>
      </c>
      <c r="B64" s="143"/>
      <c r="C64" s="143"/>
      <c r="D64" s="143"/>
      <c r="E64" s="143"/>
      <c r="F64" s="143"/>
      <c r="G64" s="143"/>
      <c r="H64" s="143"/>
      <c r="I64" s="143"/>
      <c r="J64" s="143"/>
      <c r="K64" s="143"/>
      <c r="L64" s="143"/>
      <c r="M64" s="144" t="s">
        <v>107</v>
      </c>
      <c r="N64" s="143" t="s">
        <v>172</v>
      </c>
    </row>
    <row r="65" spans="1:14" x14ac:dyDescent="0.35">
      <c r="A65" s="32" t="str">
        <f>IF(A64="[Unused]","","   Volume of Sales(+) and Purchases(-) [maf]")</f>
        <v xml:space="preserve">   Volume of Sales(+) and Purchases(-) [maf]</v>
      </c>
      <c r="C65" s="134"/>
      <c r="D65" s="134"/>
      <c r="E65" s="134"/>
      <c r="F65" s="134"/>
      <c r="G65" s="134"/>
      <c r="H65" s="134"/>
      <c r="I65" s="134"/>
      <c r="J65" s="134"/>
      <c r="K65" s="134"/>
      <c r="L65" s="134"/>
      <c r="M65" s="67">
        <f>SUM(C65:L65)</f>
        <v>0</v>
      </c>
      <c r="N65" t="str">
        <f>IF(A65="","",N57)</f>
        <v>Add if multiple transactions, e.g.: 0.5 + 0.25</v>
      </c>
    </row>
    <row r="66" spans="1:14" x14ac:dyDescent="0.35">
      <c r="A66" s="32" t="str">
        <f>IF(A65="","","   Cash Intake(+) and Payments(-) [$ Mill]")</f>
        <v xml:space="preserve">   Cash Intake(+) and Payments(-) [$ Mill]</v>
      </c>
      <c r="C66" s="135"/>
      <c r="D66" s="135"/>
      <c r="E66" s="135"/>
      <c r="F66" s="135"/>
      <c r="G66" s="135"/>
      <c r="H66" s="135"/>
      <c r="I66" s="135"/>
      <c r="J66" s="135"/>
      <c r="K66" s="135"/>
      <c r="L66" s="135"/>
      <c r="M66" s="65">
        <f>SUM(C66:L66)</f>
        <v>0</v>
      </c>
      <c r="N66" t="str">
        <f t="shared" ref="N66:N70" si="24">IF(A66="","",N58)</f>
        <v>Add if multiple transactions, e.g.: $350*0.5 + $450*0.25</v>
      </c>
    </row>
    <row r="67" spans="1:14" x14ac:dyDescent="0.35">
      <c r="A67" s="32" t="str">
        <f>IF(A66="","","   Volume all players (should be zero)")</f>
        <v xml:space="preserve">   Volume all players (should be zero)</v>
      </c>
      <c r="C67" s="67" t="str">
        <f t="shared" ref="C67:M67" si="25">IF(OR(C$26="",$A67=""),"",C$112)</f>
        <v/>
      </c>
      <c r="D67" s="67" t="str">
        <f t="shared" si="25"/>
        <v/>
      </c>
      <c r="E67" s="67" t="str">
        <f t="shared" si="25"/>
        <v/>
      </c>
      <c r="F67" s="67" t="str">
        <f t="shared" si="25"/>
        <v/>
      </c>
      <c r="G67" s="67" t="str">
        <f t="shared" si="25"/>
        <v/>
      </c>
      <c r="H67" s="67" t="str">
        <f t="shared" si="25"/>
        <v/>
      </c>
      <c r="I67" s="67" t="str">
        <f t="shared" si="25"/>
        <v/>
      </c>
      <c r="J67" s="67" t="str">
        <f t="shared" si="25"/>
        <v/>
      </c>
      <c r="K67" s="67" t="str">
        <f t="shared" si="25"/>
        <v/>
      </c>
      <c r="L67" s="67" t="str">
        <f t="shared" si="25"/>
        <v/>
      </c>
      <c r="M67" t="str">
        <f t="shared" si="25"/>
        <v/>
      </c>
      <c r="N67" t="str">
        <f t="shared" si="24"/>
        <v>If non-zero, players need to change amount(s)</v>
      </c>
    </row>
    <row r="68" spans="1:14" x14ac:dyDescent="0.35">
      <c r="A68" s="1" t="str">
        <f>IF(A66="","","   Available Water [maf]")</f>
        <v xml:space="preserve">   Available Water [maf]</v>
      </c>
      <c r="C68" s="14" t="str">
        <f t="shared" ref="C68:L68" si="26">IF(OR(C$26="",$A68=""),"",C31+C49-C41-C65)</f>
        <v/>
      </c>
      <c r="D68" s="14" t="str">
        <f t="shared" si="26"/>
        <v/>
      </c>
      <c r="E68" s="14" t="str">
        <f t="shared" si="26"/>
        <v/>
      </c>
      <c r="F68" s="14" t="str">
        <f t="shared" si="26"/>
        <v/>
      </c>
      <c r="G68" s="14" t="str">
        <f t="shared" si="26"/>
        <v/>
      </c>
      <c r="H68" s="14" t="str">
        <f t="shared" si="26"/>
        <v/>
      </c>
      <c r="I68" s="14" t="str">
        <f t="shared" si="26"/>
        <v/>
      </c>
      <c r="J68" s="14" t="str">
        <f t="shared" si="26"/>
        <v/>
      </c>
      <c r="K68" s="14" t="str">
        <f t="shared" si="26"/>
        <v/>
      </c>
      <c r="L68" s="14" t="str">
        <f t="shared" si="26"/>
        <v/>
      </c>
      <c r="N68" t="str">
        <f t="shared" si="24"/>
        <v>Available water = Account Balance + Available Inflow - Evaporation + Sales - Purchases</v>
      </c>
    </row>
    <row r="69" spans="1:14" x14ac:dyDescent="0.35">
      <c r="A69" s="1" t="str">
        <f>IF(A68="","","   Account Withdraw [maf]")</f>
        <v xml:space="preserve">   Account Withdraw [maf]</v>
      </c>
      <c r="C69" s="136"/>
      <c r="D69" s="136"/>
      <c r="E69" s="136"/>
      <c r="F69" s="136"/>
      <c r="G69" s="136"/>
      <c r="H69" s="136"/>
      <c r="I69" s="136"/>
      <c r="J69" s="136"/>
      <c r="K69" s="136"/>
      <c r="L69" s="136"/>
      <c r="N69" t="str">
        <f t="shared" si="24"/>
        <v>Must be less than Available water</v>
      </c>
    </row>
    <row r="70" spans="1:14" x14ac:dyDescent="0.35">
      <c r="A70" s="32" t="str">
        <f>IF(A69="","","   End of Year Balance [maf]")</f>
        <v xml:space="preserve">   End of Year Balance [maf]</v>
      </c>
      <c r="C70" s="66" t="str">
        <f>IF(OR(C$26="",$A70=""),"",C68-C69)</f>
        <v/>
      </c>
      <c r="D70" s="66" t="str">
        <f t="shared" ref="D70:L70" si="27">IF(OR(D$26="",$A70=""),"",D68-D69)</f>
        <v/>
      </c>
      <c r="E70" s="66" t="str">
        <f t="shared" si="27"/>
        <v/>
      </c>
      <c r="F70" s="66" t="str">
        <f t="shared" si="27"/>
        <v/>
      </c>
      <c r="G70" s="66" t="str">
        <f t="shared" si="27"/>
        <v/>
      </c>
      <c r="H70" s="66" t="str">
        <f t="shared" si="27"/>
        <v/>
      </c>
      <c r="I70" s="66" t="str">
        <f t="shared" si="27"/>
        <v/>
      </c>
      <c r="J70" s="66" t="str">
        <f t="shared" si="27"/>
        <v/>
      </c>
      <c r="K70" s="66" t="str">
        <f t="shared" si="27"/>
        <v/>
      </c>
      <c r="L70" s="66" t="str">
        <f t="shared" si="27"/>
        <v/>
      </c>
      <c r="N70" t="str">
        <f t="shared" si="24"/>
        <v>Available water - Account Withdraw</v>
      </c>
    </row>
    <row r="71" spans="1:14" x14ac:dyDescent="0.35">
      <c r="C71"/>
    </row>
    <row r="72" spans="1:14" x14ac:dyDescent="0.35">
      <c r="A72" s="143" t="str">
        <f>IF(A$7="","[Unused]",A7)</f>
        <v>Mexico</v>
      </c>
      <c r="B72" s="143"/>
      <c r="C72" s="143"/>
      <c r="D72" s="143"/>
      <c r="E72" s="143"/>
      <c r="F72" s="143"/>
      <c r="G72" s="143"/>
      <c r="H72" s="143"/>
      <c r="I72" s="143"/>
      <c r="J72" s="143"/>
      <c r="K72" s="143"/>
      <c r="L72" s="143"/>
      <c r="M72" s="144" t="s">
        <v>107</v>
      </c>
      <c r="N72" s="143" t="s">
        <v>172</v>
      </c>
    </row>
    <row r="73" spans="1:14" x14ac:dyDescent="0.35">
      <c r="A73" s="32" t="str">
        <f>IF(A72="[Unused]","","   Volume of Sales(+) and Purchases(-) [maf]")</f>
        <v xml:space="preserve">   Volume of Sales(+) and Purchases(-) [maf]</v>
      </c>
      <c r="C73" s="134"/>
      <c r="D73" s="134"/>
      <c r="E73" s="134"/>
      <c r="F73" s="134"/>
      <c r="G73" s="134"/>
      <c r="H73" s="134"/>
      <c r="I73" s="134"/>
      <c r="J73" s="134"/>
      <c r="K73" s="134"/>
      <c r="L73" s="134"/>
      <c r="M73" s="67">
        <f>SUM(C73:L73)</f>
        <v>0</v>
      </c>
      <c r="N73" t="str">
        <f>IF(A73="","",N65)</f>
        <v>Add if multiple transactions, e.g.: 0.5 + 0.25</v>
      </c>
    </row>
    <row r="74" spans="1:14" x14ac:dyDescent="0.35">
      <c r="A74" s="32" t="str">
        <f>IF(A73="","","   Cash Intake(+) and Payments(-) [$ Mill]")</f>
        <v xml:space="preserve">   Cash Intake(+) and Payments(-) [$ Mill]</v>
      </c>
      <c r="C74" s="135"/>
      <c r="D74" s="135"/>
      <c r="E74" s="135"/>
      <c r="F74" s="135"/>
      <c r="G74" s="135"/>
      <c r="H74" s="135"/>
      <c r="I74" s="135"/>
      <c r="J74" s="135"/>
      <c r="K74" s="135"/>
      <c r="L74" s="135"/>
      <c r="M74" s="65">
        <f>SUM(C74:L74)</f>
        <v>0</v>
      </c>
      <c r="N74" t="str">
        <f t="shared" ref="N74:N78" si="28">IF(A74="","",N66)</f>
        <v>Add if multiple transactions, e.g.: $350*0.5 + $450*0.25</v>
      </c>
    </row>
    <row r="75" spans="1:14" x14ac:dyDescent="0.35">
      <c r="A75" s="32" t="str">
        <f>IF(A74="","","   Volume all players (should be zero)")</f>
        <v xml:space="preserve">   Volume all players (should be zero)</v>
      </c>
      <c r="C75" s="67" t="str">
        <f t="shared" ref="C75:M75" si="29">IF(OR(C$26="",$A75=""),"",C$112)</f>
        <v/>
      </c>
      <c r="D75" s="67" t="str">
        <f t="shared" si="29"/>
        <v/>
      </c>
      <c r="E75" s="67" t="str">
        <f t="shared" si="29"/>
        <v/>
      </c>
      <c r="F75" s="67" t="str">
        <f t="shared" si="29"/>
        <v/>
      </c>
      <c r="G75" s="67" t="str">
        <f t="shared" si="29"/>
        <v/>
      </c>
      <c r="H75" s="67" t="str">
        <f t="shared" si="29"/>
        <v/>
      </c>
      <c r="I75" s="67" t="str">
        <f t="shared" si="29"/>
        <v/>
      </c>
      <c r="J75" s="67" t="str">
        <f t="shared" si="29"/>
        <v/>
      </c>
      <c r="K75" s="67" t="str">
        <f t="shared" si="29"/>
        <v/>
      </c>
      <c r="L75" s="67" t="str">
        <f t="shared" si="29"/>
        <v/>
      </c>
      <c r="M75" t="str">
        <f t="shared" si="29"/>
        <v/>
      </c>
      <c r="N75" t="str">
        <f t="shared" si="28"/>
        <v>If non-zero, players need to change amount(s)</v>
      </c>
    </row>
    <row r="76" spans="1:14" x14ac:dyDescent="0.35">
      <c r="A76" s="1" t="str">
        <f>IF(A74="","","   Available Water [maf]")</f>
        <v xml:space="preserve">   Available Water [maf]</v>
      </c>
      <c r="C76" s="14" t="str">
        <f t="shared" ref="C76:L76" si="30">IF(OR(C$26="",$A76=""),"",C32+C50-C42-C73)</f>
        <v/>
      </c>
      <c r="D76" s="14" t="str">
        <f t="shared" si="30"/>
        <v/>
      </c>
      <c r="E76" s="14" t="str">
        <f t="shared" si="30"/>
        <v/>
      </c>
      <c r="F76" s="14" t="str">
        <f>IF(OR(F$26="",$A76=""),"",F32+F50-F42-F73)</f>
        <v/>
      </c>
      <c r="G76" s="14" t="str">
        <f t="shared" si="30"/>
        <v/>
      </c>
      <c r="H76" s="14" t="str">
        <f t="shared" si="30"/>
        <v/>
      </c>
      <c r="I76" s="14" t="str">
        <f t="shared" si="30"/>
        <v/>
      </c>
      <c r="J76" s="14" t="str">
        <f t="shared" si="30"/>
        <v/>
      </c>
      <c r="K76" s="14" t="str">
        <f t="shared" si="30"/>
        <v/>
      </c>
      <c r="L76" s="14" t="str">
        <f t="shared" si="30"/>
        <v/>
      </c>
      <c r="N76" t="str">
        <f t="shared" si="28"/>
        <v>Available water = Account Balance + Available Inflow - Evaporation + Sales - Purchases</v>
      </c>
    </row>
    <row r="77" spans="1:14" x14ac:dyDescent="0.35">
      <c r="A77" s="1" t="str">
        <f>IF(A76="","","   Account Withdraw [maf]")</f>
        <v xml:space="preserve">   Account Withdraw [maf]</v>
      </c>
      <c r="C77" s="136"/>
      <c r="D77" s="136"/>
      <c r="E77" s="136"/>
      <c r="F77" s="136"/>
      <c r="G77" s="136"/>
      <c r="H77" s="136"/>
      <c r="I77" s="136"/>
      <c r="J77" s="136"/>
      <c r="K77" s="136"/>
      <c r="L77" s="136"/>
      <c r="N77" t="str">
        <f t="shared" si="28"/>
        <v>Must be less than Available water</v>
      </c>
    </row>
    <row r="78" spans="1:14" x14ac:dyDescent="0.35">
      <c r="A78" s="32" t="str">
        <f>IF(A77="","","   End of Year Balance [maf]")</f>
        <v xml:space="preserve">   End of Year Balance [maf]</v>
      </c>
      <c r="C78" s="66" t="str">
        <f>IF(OR(C$26="",$A78=""),"",C76-C77)</f>
        <v/>
      </c>
      <c r="D78" s="66" t="str">
        <f t="shared" ref="D78:L78" si="31">IF(OR(D$26="",$A78=""),"",D76-D77)</f>
        <v/>
      </c>
      <c r="E78" s="66" t="str">
        <f t="shared" si="31"/>
        <v/>
      </c>
      <c r="F78" s="66" t="str">
        <f t="shared" si="31"/>
        <v/>
      </c>
      <c r="G78" s="66" t="str">
        <f t="shared" si="31"/>
        <v/>
      </c>
      <c r="H78" s="66" t="str">
        <f t="shared" si="31"/>
        <v/>
      </c>
      <c r="I78" s="66" t="str">
        <f t="shared" si="31"/>
        <v/>
      </c>
      <c r="J78" s="66" t="str">
        <f t="shared" si="31"/>
        <v/>
      </c>
      <c r="K78" s="66" t="str">
        <f t="shared" si="31"/>
        <v/>
      </c>
      <c r="L78" s="66" t="str">
        <f t="shared" si="31"/>
        <v/>
      </c>
      <c r="N78" t="str">
        <f t="shared" si="28"/>
        <v>Available water - Account Withdraw</v>
      </c>
    </row>
    <row r="79" spans="1:14" x14ac:dyDescent="0.35">
      <c r="C79"/>
    </row>
    <row r="80" spans="1:14" x14ac:dyDescent="0.35">
      <c r="A80" s="143" t="str">
        <f>IF(A$8="","[Unused]",A8)</f>
        <v>Shared, Reserve</v>
      </c>
      <c r="B80" s="143"/>
      <c r="C80" s="143"/>
      <c r="D80" s="143"/>
      <c r="E80" s="143"/>
      <c r="F80" s="143"/>
      <c r="G80" s="143"/>
      <c r="H80" s="143"/>
      <c r="I80" s="143"/>
      <c r="J80" s="143"/>
      <c r="K80" s="143"/>
      <c r="L80" s="143"/>
      <c r="M80" s="144" t="s">
        <v>107</v>
      </c>
      <c r="N80" s="143" t="s">
        <v>172</v>
      </c>
    </row>
    <row r="81" spans="1:14" x14ac:dyDescent="0.35">
      <c r="A81" s="32" t="str">
        <f>IF(A80="[Unused]","","   Volume of Sales(+) and Purchases(-) [maf]")</f>
        <v xml:space="preserve">   Volume of Sales(+) and Purchases(-) [maf]</v>
      </c>
      <c r="C81" s="134"/>
      <c r="D81" s="134"/>
      <c r="E81" s="134"/>
      <c r="F81" s="134"/>
      <c r="G81" s="134"/>
      <c r="H81" s="134"/>
      <c r="I81" s="134"/>
      <c r="J81" s="134"/>
      <c r="K81" s="134"/>
      <c r="L81" s="134"/>
      <c r="M81" s="67">
        <f>SUM(C81:L81)</f>
        <v>0</v>
      </c>
      <c r="N81" t="str">
        <f>IF(A81="","",N73)</f>
        <v>Add if multiple transactions, e.g.: 0.5 + 0.25</v>
      </c>
    </row>
    <row r="82" spans="1:14" x14ac:dyDescent="0.35">
      <c r="A82" s="32" t="str">
        <f>IF(A81="","","   Cash Intake(+) and Payments(-) [$ Mill]")</f>
        <v xml:space="preserve">   Cash Intake(+) and Payments(-) [$ Mill]</v>
      </c>
      <c r="C82" s="135"/>
      <c r="D82" s="135"/>
      <c r="E82" s="135"/>
      <c r="F82" s="135"/>
      <c r="G82" s="135"/>
      <c r="H82" s="135"/>
      <c r="I82" s="135"/>
      <c r="J82" s="135"/>
      <c r="K82" s="135"/>
      <c r="L82" s="135"/>
      <c r="M82" s="65">
        <f>SUM(C82:L82)</f>
        <v>0</v>
      </c>
      <c r="N82" t="str">
        <f t="shared" ref="N82:N86" si="32">IF(A82="","",N74)</f>
        <v>Add if multiple transactions, e.g.: $350*0.5 + $450*0.25</v>
      </c>
    </row>
    <row r="83" spans="1:14" x14ac:dyDescent="0.35">
      <c r="A83" s="32" t="str">
        <f>IF(A82="","","   Volume all players (should be zero)")</f>
        <v xml:space="preserve">   Volume all players (should be zero)</v>
      </c>
      <c r="C83" s="67" t="str">
        <f t="shared" ref="C83:M83" si="33">IF(OR(C$26="",$A83=""),"",C$112)</f>
        <v/>
      </c>
      <c r="D83" s="67" t="str">
        <f t="shared" si="33"/>
        <v/>
      </c>
      <c r="E83" s="67" t="str">
        <f t="shared" si="33"/>
        <v/>
      </c>
      <c r="F83" s="67" t="str">
        <f t="shared" si="33"/>
        <v/>
      </c>
      <c r="G83" s="67" t="str">
        <f t="shared" si="33"/>
        <v/>
      </c>
      <c r="H83" s="67" t="str">
        <f t="shared" si="33"/>
        <v/>
      </c>
      <c r="I83" s="67" t="str">
        <f t="shared" si="33"/>
        <v/>
      </c>
      <c r="J83" s="67" t="str">
        <f t="shared" si="33"/>
        <v/>
      </c>
      <c r="K83" s="67" t="str">
        <f t="shared" si="33"/>
        <v/>
      </c>
      <c r="L83" s="67" t="str">
        <f t="shared" si="33"/>
        <v/>
      </c>
      <c r="M83" t="str">
        <f t="shared" si="33"/>
        <v/>
      </c>
      <c r="N83" t="str">
        <f t="shared" si="32"/>
        <v>If non-zero, players need to change amount(s)</v>
      </c>
    </row>
    <row r="84" spans="1:14" x14ac:dyDescent="0.35">
      <c r="A84" s="1" t="str">
        <f>IF(A82="","","   Available Water [maf]")</f>
        <v xml:space="preserve">   Available Water [maf]</v>
      </c>
      <c r="C84" s="14" t="str">
        <f t="shared" ref="C84:L84" si="34">IF(OR(C$26="",$A84=""),"",C33+C51-C43-C81)</f>
        <v/>
      </c>
      <c r="D84" s="14" t="str">
        <f t="shared" si="34"/>
        <v/>
      </c>
      <c r="E84" s="14" t="str">
        <f t="shared" si="34"/>
        <v/>
      </c>
      <c r="F84" s="14" t="str">
        <f t="shared" si="34"/>
        <v/>
      </c>
      <c r="G84" s="14" t="str">
        <f t="shared" si="34"/>
        <v/>
      </c>
      <c r="H84" s="14" t="str">
        <f t="shared" si="34"/>
        <v/>
      </c>
      <c r="I84" s="14" t="str">
        <f t="shared" si="34"/>
        <v/>
      </c>
      <c r="J84" s="14" t="str">
        <f t="shared" si="34"/>
        <v/>
      </c>
      <c r="K84" s="14" t="str">
        <f t="shared" si="34"/>
        <v/>
      </c>
      <c r="L84" s="14" t="str">
        <f t="shared" si="34"/>
        <v/>
      </c>
      <c r="N84" t="str">
        <f t="shared" si="32"/>
        <v>Available water = Account Balance + Available Inflow - Evaporation + Sales - Purchases</v>
      </c>
    </row>
    <row r="85" spans="1:14" x14ac:dyDescent="0.35">
      <c r="A85" s="1" t="str">
        <f>IF(A84="","","   Account Withdraw [maf]")</f>
        <v xml:space="preserve">   Account Withdraw [maf]</v>
      </c>
      <c r="C85" s="136"/>
      <c r="D85" s="136"/>
      <c r="E85" s="136"/>
      <c r="F85" s="136"/>
      <c r="G85" s="136"/>
      <c r="H85" s="136"/>
      <c r="I85" s="136"/>
      <c r="J85" s="136"/>
      <c r="K85" s="136"/>
      <c r="L85" s="136"/>
      <c r="N85" t="str">
        <f t="shared" si="32"/>
        <v>Must be less than Available water</v>
      </c>
    </row>
    <row r="86" spans="1:14" x14ac:dyDescent="0.35">
      <c r="A86" s="32" t="str">
        <f>IF(A85="","","   End of Year Balance [maf]")</f>
        <v xml:space="preserve">   End of Year Balance [maf]</v>
      </c>
      <c r="C86" s="66" t="str">
        <f>IF(OR(C$26="",$A86=""),"",C84-C85)</f>
        <v/>
      </c>
      <c r="D86" s="66" t="str">
        <f t="shared" ref="D86:L86" si="35">IF(OR(D$26="",$A86=""),"",D84-D85)</f>
        <v/>
      </c>
      <c r="E86" s="66" t="str">
        <f t="shared" si="35"/>
        <v/>
      </c>
      <c r="F86" s="66" t="str">
        <f t="shared" si="35"/>
        <v/>
      </c>
      <c r="G86" s="66" t="str">
        <f t="shared" si="35"/>
        <v/>
      </c>
      <c r="H86" s="66" t="str">
        <f t="shared" si="35"/>
        <v/>
      </c>
      <c r="I86" s="66" t="str">
        <f t="shared" si="35"/>
        <v/>
      </c>
      <c r="J86" s="66" t="str">
        <f t="shared" si="35"/>
        <v/>
      </c>
      <c r="K86" s="66" t="str">
        <f t="shared" si="35"/>
        <v/>
      </c>
      <c r="L86" s="66" t="str">
        <f t="shared" si="35"/>
        <v/>
      </c>
      <c r="N86" t="str">
        <f t="shared" si="32"/>
        <v>Available water - Account Withdraw</v>
      </c>
    </row>
    <row r="87" spans="1:14" x14ac:dyDescent="0.35">
      <c r="C87"/>
    </row>
    <row r="88" spans="1:14" x14ac:dyDescent="0.35">
      <c r="A88" s="143" t="str">
        <f>IF(A$9="","[Unused]",A9)</f>
        <v>[Unused]</v>
      </c>
      <c r="B88" s="143"/>
      <c r="C88" s="143"/>
      <c r="D88" s="143"/>
      <c r="E88" s="143"/>
      <c r="F88" s="143"/>
      <c r="G88" s="143"/>
      <c r="H88" s="143"/>
      <c r="I88" s="143"/>
      <c r="J88" s="143"/>
      <c r="K88" s="143"/>
      <c r="L88" s="143"/>
      <c r="M88" s="144" t="s">
        <v>107</v>
      </c>
      <c r="N88" s="143" t="s">
        <v>172</v>
      </c>
    </row>
    <row r="89" spans="1:14" x14ac:dyDescent="0.35">
      <c r="A89" s="32" t="str">
        <f>IF(A88="[Unused]","","   Volume of Sales(+) and Purchases(-) [maf]")</f>
        <v/>
      </c>
      <c r="C89" s="134"/>
      <c r="D89" s="134"/>
      <c r="E89" s="134"/>
      <c r="F89" s="134"/>
      <c r="G89" s="134"/>
      <c r="H89" s="134"/>
      <c r="I89" s="134"/>
      <c r="J89" s="134"/>
      <c r="K89" s="134"/>
      <c r="L89" s="134"/>
      <c r="M89" s="67">
        <f>SUM(C89:L89)</f>
        <v>0</v>
      </c>
      <c r="N89" t="str">
        <f>IF(A89="","",N81)</f>
        <v/>
      </c>
    </row>
    <row r="90" spans="1:14" x14ac:dyDescent="0.35">
      <c r="A90" s="32" t="str">
        <f>IF(A89="","","   Cash Intake(+) and Payments(-) [$ Mill]")</f>
        <v/>
      </c>
      <c r="C90" s="135"/>
      <c r="D90" s="135"/>
      <c r="E90" s="135"/>
      <c r="F90" s="135"/>
      <c r="G90" s="135"/>
      <c r="H90" s="135"/>
      <c r="I90" s="135"/>
      <c r="J90" s="135"/>
      <c r="K90" s="135"/>
      <c r="L90" s="135"/>
      <c r="M90" s="65">
        <f>SUM(C90:L90)</f>
        <v>0</v>
      </c>
      <c r="N90" t="str">
        <f t="shared" ref="N90:N94" si="36">IF(A90="","",N82)</f>
        <v/>
      </c>
    </row>
    <row r="91" spans="1:14" x14ac:dyDescent="0.35">
      <c r="A91" s="32" t="str">
        <f>IF(A90="","","   Volume all players (should be zero)")</f>
        <v/>
      </c>
      <c r="C91" s="67" t="str">
        <f t="shared" ref="C91:M91" si="37">IF(OR(C$26="",$A91=""),"",C$112)</f>
        <v/>
      </c>
      <c r="D91" s="67" t="str">
        <f t="shared" si="37"/>
        <v/>
      </c>
      <c r="E91" s="67" t="str">
        <f t="shared" si="37"/>
        <v/>
      </c>
      <c r="F91" s="67" t="str">
        <f t="shared" si="37"/>
        <v/>
      </c>
      <c r="G91" s="67" t="str">
        <f t="shared" si="37"/>
        <v/>
      </c>
      <c r="H91" s="67" t="str">
        <f t="shared" si="37"/>
        <v/>
      </c>
      <c r="I91" s="67" t="str">
        <f t="shared" si="37"/>
        <v/>
      </c>
      <c r="J91" s="67" t="str">
        <f t="shared" si="37"/>
        <v/>
      </c>
      <c r="K91" s="67" t="str">
        <f t="shared" si="37"/>
        <v/>
      </c>
      <c r="L91" s="67" t="str">
        <f t="shared" si="37"/>
        <v/>
      </c>
      <c r="M91" t="str">
        <f t="shared" si="37"/>
        <v/>
      </c>
      <c r="N91" t="str">
        <f t="shared" si="36"/>
        <v/>
      </c>
    </row>
    <row r="92" spans="1:14" x14ac:dyDescent="0.35">
      <c r="A92" s="1" t="str">
        <f>IF(A90="","","   Available Water [maf]")</f>
        <v/>
      </c>
      <c r="C92" s="14" t="str">
        <f t="shared" ref="C92:L92" si="38">IF(OR(C$26="",$A92=""),"",C34+C52-C44-C89)</f>
        <v/>
      </c>
      <c r="D92" s="14" t="str">
        <f t="shared" si="38"/>
        <v/>
      </c>
      <c r="E92" s="14" t="str">
        <f t="shared" si="38"/>
        <v/>
      </c>
      <c r="F92" s="14" t="str">
        <f t="shared" si="38"/>
        <v/>
      </c>
      <c r="G92" s="14" t="str">
        <f t="shared" si="38"/>
        <v/>
      </c>
      <c r="H92" s="14" t="str">
        <f t="shared" si="38"/>
        <v/>
      </c>
      <c r="I92" s="14" t="str">
        <f t="shared" si="38"/>
        <v/>
      </c>
      <c r="J92" s="14" t="str">
        <f t="shared" si="38"/>
        <v/>
      </c>
      <c r="K92" s="14" t="str">
        <f t="shared" si="38"/>
        <v/>
      </c>
      <c r="L92" s="14" t="str">
        <f t="shared" si="38"/>
        <v/>
      </c>
      <c r="N92" t="str">
        <f t="shared" si="36"/>
        <v/>
      </c>
    </row>
    <row r="93" spans="1:14" x14ac:dyDescent="0.35">
      <c r="A93" s="1" t="str">
        <f>IF(A92="","","   Account Withdraw [maf]")</f>
        <v/>
      </c>
      <c r="C93" s="136"/>
      <c r="D93" s="136"/>
      <c r="E93" s="136"/>
      <c r="F93" s="136"/>
      <c r="G93" s="136"/>
      <c r="H93" s="136"/>
      <c r="I93" s="136"/>
      <c r="J93" s="136"/>
      <c r="K93" s="136"/>
      <c r="L93" s="136"/>
      <c r="N93" t="str">
        <f t="shared" si="36"/>
        <v/>
      </c>
    </row>
    <row r="94" spans="1:14" x14ac:dyDescent="0.35">
      <c r="A94" s="32" t="str">
        <f>IF(A93="","","   End of Year Balance [maf]")</f>
        <v/>
      </c>
      <c r="C94" s="66" t="str">
        <f>IF(OR(C$26="",$A94=""),"",C92-C93)</f>
        <v/>
      </c>
      <c r="D94" s="66" t="str">
        <f t="shared" ref="D94:L94" si="39">IF(OR(D$26="",$A94=""),"",D92-D93)</f>
        <v/>
      </c>
      <c r="E94" s="66" t="str">
        <f t="shared" si="39"/>
        <v/>
      </c>
      <c r="F94" s="66" t="str">
        <f t="shared" si="39"/>
        <v/>
      </c>
      <c r="G94" s="66" t="str">
        <f t="shared" si="39"/>
        <v/>
      </c>
      <c r="H94" s="66" t="str">
        <f t="shared" si="39"/>
        <v/>
      </c>
      <c r="I94" s="66" t="str">
        <f t="shared" si="39"/>
        <v/>
      </c>
      <c r="J94" s="66" t="str">
        <f t="shared" si="39"/>
        <v/>
      </c>
      <c r="K94" s="66" t="str">
        <f t="shared" si="39"/>
        <v/>
      </c>
      <c r="L94" s="66" t="str">
        <f t="shared" si="39"/>
        <v/>
      </c>
      <c r="N94" t="str">
        <f t="shared" si="36"/>
        <v/>
      </c>
    </row>
    <row r="95" spans="1:14" x14ac:dyDescent="0.35">
      <c r="C95"/>
    </row>
    <row r="96" spans="1:14" x14ac:dyDescent="0.35">
      <c r="A96" s="143" t="str">
        <f>IF(A$10="","[Unused]",A10)</f>
        <v>[Unused]</v>
      </c>
      <c r="B96" s="143"/>
      <c r="C96" s="143"/>
      <c r="D96" s="143"/>
      <c r="E96" s="143"/>
      <c r="F96" s="143"/>
      <c r="G96" s="143"/>
      <c r="H96" s="143"/>
      <c r="I96" s="143"/>
      <c r="J96" s="143"/>
      <c r="K96" s="143"/>
      <c r="L96" s="143"/>
      <c r="M96" s="144" t="s">
        <v>107</v>
      </c>
      <c r="N96" s="143" t="s">
        <v>172</v>
      </c>
    </row>
    <row r="97" spans="1:14" x14ac:dyDescent="0.35">
      <c r="A97" s="32" t="str">
        <f>IF(A96="[Unused]","","   Volume of Sales(+) and Purchases(-) [maf]")</f>
        <v/>
      </c>
      <c r="C97" s="134"/>
      <c r="D97" s="134"/>
      <c r="E97" s="134"/>
      <c r="F97" s="134"/>
      <c r="G97" s="134"/>
      <c r="H97" s="134"/>
      <c r="I97" s="134"/>
      <c r="J97" s="134"/>
      <c r="K97" s="134"/>
      <c r="L97" s="134"/>
      <c r="M97" s="67">
        <f>SUM(C97:L97)</f>
        <v>0</v>
      </c>
      <c r="N97" t="str">
        <f>IF(A97="","",N89)</f>
        <v/>
      </c>
    </row>
    <row r="98" spans="1:14" x14ac:dyDescent="0.35">
      <c r="A98" s="32" t="str">
        <f>IF(A97="","","   Cash Intake(+) and Payments(-) [$ Mill]")</f>
        <v/>
      </c>
      <c r="C98" s="135"/>
      <c r="D98" s="135"/>
      <c r="E98" s="135"/>
      <c r="F98" s="135"/>
      <c r="G98" s="135"/>
      <c r="H98" s="135"/>
      <c r="I98" s="135"/>
      <c r="J98" s="135"/>
      <c r="K98" s="135"/>
      <c r="L98" s="135"/>
      <c r="M98" s="65">
        <f>SUM(C98:L98)</f>
        <v>0</v>
      </c>
      <c r="N98" t="str">
        <f t="shared" ref="N98:N102" si="40">IF(A98="","",N90)</f>
        <v/>
      </c>
    </row>
    <row r="99" spans="1:14" x14ac:dyDescent="0.35">
      <c r="A99" s="32" t="str">
        <f>IF(A98="","","   Volume all players (should be zero)")</f>
        <v/>
      </c>
      <c r="C99" s="67" t="str">
        <f t="shared" ref="C99:M99" si="41">IF(OR(C$26="",$A99=""),"",C$112)</f>
        <v/>
      </c>
      <c r="D99" s="67" t="str">
        <f t="shared" si="41"/>
        <v/>
      </c>
      <c r="E99" s="67" t="str">
        <f t="shared" si="41"/>
        <v/>
      </c>
      <c r="F99" s="67" t="str">
        <f t="shared" si="41"/>
        <v/>
      </c>
      <c r="G99" s="67" t="str">
        <f t="shared" si="41"/>
        <v/>
      </c>
      <c r="H99" s="67" t="str">
        <f t="shared" si="41"/>
        <v/>
      </c>
      <c r="I99" s="67" t="str">
        <f t="shared" si="41"/>
        <v/>
      </c>
      <c r="J99" s="67" t="str">
        <f t="shared" si="41"/>
        <v/>
      </c>
      <c r="K99" s="67" t="str">
        <f t="shared" si="41"/>
        <v/>
      </c>
      <c r="L99" s="67" t="str">
        <f t="shared" si="41"/>
        <v/>
      </c>
      <c r="M99" t="str">
        <f t="shared" si="41"/>
        <v/>
      </c>
      <c r="N99" t="str">
        <f t="shared" si="40"/>
        <v/>
      </c>
    </row>
    <row r="100" spans="1:14" x14ac:dyDescent="0.35">
      <c r="A100" s="1" t="str">
        <f>IF(A98="","","   Available Water [maf]")</f>
        <v/>
      </c>
      <c r="C100" s="14" t="str">
        <f t="shared" ref="C100:L100" si="42">IF(OR(C$26="",$A100=""),"",C35+C53-C45-C97)</f>
        <v/>
      </c>
      <c r="D100" s="14" t="str">
        <f t="shared" si="42"/>
        <v/>
      </c>
      <c r="E100" s="14" t="str">
        <f t="shared" si="42"/>
        <v/>
      </c>
      <c r="F100" s="14" t="str">
        <f t="shared" si="42"/>
        <v/>
      </c>
      <c r="G100" s="14" t="str">
        <f t="shared" si="42"/>
        <v/>
      </c>
      <c r="H100" s="14" t="str">
        <f t="shared" si="42"/>
        <v/>
      </c>
      <c r="I100" s="14" t="str">
        <f t="shared" si="42"/>
        <v/>
      </c>
      <c r="J100" s="14" t="str">
        <f t="shared" si="42"/>
        <v/>
      </c>
      <c r="K100" s="14" t="str">
        <f t="shared" si="42"/>
        <v/>
      </c>
      <c r="L100" s="14" t="str">
        <f t="shared" si="42"/>
        <v/>
      </c>
      <c r="N100" t="str">
        <f t="shared" si="40"/>
        <v/>
      </c>
    </row>
    <row r="101" spans="1:14" x14ac:dyDescent="0.35">
      <c r="A101" s="1" t="str">
        <f>IF(A100="","","   Account Withdraw [maf]")</f>
        <v/>
      </c>
      <c r="C101" s="136"/>
      <c r="D101" s="136"/>
      <c r="E101" s="136"/>
      <c r="F101" s="136"/>
      <c r="G101" s="136"/>
      <c r="H101" s="136"/>
      <c r="I101" s="136"/>
      <c r="J101" s="136"/>
      <c r="K101" s="136"/>
      <c r="L101" s="136"/>
      <c r="N101" t="str">
        <f t="shared" si="40"/>
        <v/>
      </c>
    </row>
    <row r="102" spans="1:14" x14ac:dyDescent="0.35">
      <c r="A102" s="32" t="str">
        <f>IF(A101="","","   End of Year Balance [maf]")</f>
        <v/>
      </c>
      <c r="C102" s="66" t="str">
        <f>IF(OR(C$26="",$A102=""),"",C100-C101)</f>
        <v/>
      </c>
      <c r="D102" s="66" t="str">
        <f t="shared" ref="D102:L102" si="43">IF(OR(D$26="",$A102=""),"",D100-D101)</f>
        <v/>
      </c>
      <c r="E102" s="66" t="str">
        <f t="shared" si="43"/>
        <v/>
      </c>
      <c r="F102" s="66" t="str">
        <f t="shared" si="43"/>
        <v/>
      </c>
      <c r="G102" s="66" t="str">
        <f t="shared" si="43"/>
        <v/>
      </c>
      <c r="H102" s="66" t="str">
        <f t="shared" si="43"/>
        <v/>
      </c>
      <c r="I102" s="66" t="str">
        <f t="shared" si="43"/>
        <v/>
      </c>
      <c r="J102" s="66" t="str">
        <f t="shared" si="43"/>
        <v/>
      </c>
      <c r="K102" s="66" t="str">
        <f t="shared" si="43"/>
        <v/>
      </c>
      <c r="L102" s="66" t="str">
        <f t="shared" si="43"/>
        <v/>
      </c>
      <c r="N102" t="str">
        <f t="shared" si="40"/>
        <v/>
      </c>
    </row>
    <row r="103" spans="1:14" x14ac:dyDescent="0.35">
      <c r="C103"/>
    </row>
    <row r="104" spans="1:14" x14ac:dyDescent="0.35">
      <c r="A104" s="145" t="s">
        <v>183</v>
      </c>
      <c r="B104" s="145"/>
      <c r="C104" s="145"/>
      <c r="D104" s="145"/>
      <c r="E104" s="145"/>
      <c r="F104" s="145"/>
      <c r="G104" s="145"/>
      <c r="H104" s="145"/>
      <c r="I104" s="145"/>
      <c r="J104" s="145"/>
      <c r="K104" s="145"/>
      <c r="L104" s="145"/>
      <c r="M104" s="145"/>
      <c r="N104" s="145"/>
    </row>
    <row r="105" spans="1:14" x14ac:dyDescent="0.35">
      <c r="A105" s="1" t="s">
        <v>149</v>
      </c>
      <c r="C105"/>
      <c r="M105" t="s">
        <v>182</v>
      </c>
      <c r="N105" t="s">
        <v>150</v>
      </c>
    </row>
    <row r="106" spans="1:14" x14ac:dyDescent="0.35">
      <c r="A106" t="str">
        <f t="shared" ref="A106:A111" si="44">IF(A5="","","    "&amp;A5)</f>
        <v xml:space="preserve">    Upper Basin</v>
      </c>
      <c r="B106" s="1"/>
      <c r="C106" s="67" t="str">
        <f t="shared" ref="C106:L111" ca="1" si="45">IF(OR(C$26="",$A106=""),"",OFFSET(C$57,8*(ROW(B106)-ROW(B$106)),0))</f>
        <v/>
      </c>
      <c r="D106" s="67" t="str">
        <f t="shared" ca="1" si="45"/>
        <v/>
      </c>
      <c r="E106" s="67" t="str">
        <f t="shared" ca="1" si="45"/>
        <v/>
      </c>
      <c r="F106" s="67" t="str">
        <f t="shared" ca="1" si="45"/>
        <v/>
      </c>
      <c r="G106" s="67" t="str">
        <f t="shared" ca="1" si="45"/>
        <v/>
      </c>
      <c r="H106" s="67" t="str">
        <f t="shared" ca="1" si="45"/>
        <v/>
      </c>
      <c r="I106" s="67" t="str">
        <f t="shared" ca="1" si="45"/>
        <v/>
      </c>
      <c r="J106" s="67" t="str">
        <f t="shared" ca="1" si="45"/>
        <v/>
      </c>
      <c r="K106" s="67" t="str">
        <f t="shared" ca="1" si="45"/>
        <v/>
      </c>
      <c r="L106" s="67" t="str">
        <f t="shared" ca="1" si="45"/>
        <v/>
      </c>
      <c r="M106" s="67">
        <f ca="1">IF(OR($A106=""),"",SUM(C106:L106))</f>
        <v>0</v>
      </c>
      <c r="N106" s="65">
        <f>IF(OR($A106=""),"",M58)</f>
        <v>0</v>
      </c>
    </row>
    <row r="107" spans="1:14" x14ac:dyDescent="0.35">
      <c r="A107" t="str">
        <f t="shared" si="44"/>
        <v xml:space="preserve">    Lower Basin</v>
      </c>
      <c r="B107" s="1"/>
      <c r="C107" s="67" t="str">
        <f t="shared" ca="1" si="45"/>
        <v/>
      </c>
      <c r="D107" s="67" t="str">
        <f t="shared" ca="1" si="45"/>
        <v/>
      </c>
      <c r="E107" s="67" t="str">
        <f t="shared" ca="1" si="45"/>
        <v/>
      </c>
      <c r="F107" s="67" t="str">
        <f t="shared" ca="1" si="45"/>
        <v/>
      </c>
      <c r="G107" s="67" t="str">
        <f t="shared" ca="1" si="45"/>
        <v/>
      </c>
      <c r="H107" s="67" t="str">
        <f t="shared" ca="1" si="45"/>
        <v/>
      </c>
      <c r="I107" s="67" t="str">
        <f t="shared" ca="1" si="45"/>
        <v/>
      </c>
      <c r="J107" s="67" t="str">
        <f t="shared" ca="1" si="45"/>
        <v/>
      </c>
      <c r="K107" s="67" t="str">
        <f t="shared" ca="1" si="45"/>
        <v/>
      </c>
      <c r="L107" s="67" t="str">
        <f t="shared" ca="1" si="45"/>
        <v/>
      </c>
      <c r="M107" s="67">
        <f t="shared" ref="M107:M111" ca="1" si="46">IF(OR($A107=""),"",SUM(C107:L107))</f>
        <v>0</v>
      </c>
      <c r="N107" s="65">
        <f>IF(OR($A107=""),"",M66)</f>
        <v>0</v>
      </c>
    </row>
    <row r="108" spans="1:14" x14ac:dyDescent="0.35">
      <c r="A108" t="str">
        <f t="shared" si="44"/>
        <v xml:space="preserve">    Mexico</v>
      </c>
      <c r="B108" s="1"/>
      <c r="C108" s="67" t="str">
        <f t="shared" ca="1" si="45"/>
        <v/>
      </c>
      <c r="D108" s="67" t="str">
        <f t="shared" ca="1" si="45"/>
        <v/>
      </c>
      <c r="E108" s="67" t="str">
        <f t="shared" ca="1" si="45"/>
        <v/>
      </c>
      <c r="F108" s="67" t="str">
        <f t="shared" ca="1" si="45"/>
        <v/>
      </c>
      <c r="G108" s="67" t="str">
        <f t="shared" ca="1" si="45"/>
        <v/>
      </c>
      <c r="H108" s="67" t="str">
        <f t="shared" ca="1" si="45"/>
        <v/>
      </c>
      <c r="I108" s="67" t="str">
        <f t="shared" ca="1" si="45"/>
        <v/>
      </c>
      <c r="J108" s="67" t="str">
        <f t="shared" ca="1" si="45"/>
        <v/>
      </c>
      <c r="K108" s="67" t="str">
        <f t="shared" ca="1" si="45"/>
        <v/>
      </c>
      <c r="L108" s="67" t="str">
        <f t="shared" ca="1" si="45"/>
        <v/>
      </c>
      <c r="M108" s="67">
        <f t="shared" ca="1" si="46"/>
        <v>0</v>
      </c>
      <c r="N108" s="65">
        <f>IF(OR($A108=""),"",M74)</f>
        <v>0</v>
      </c>
    </row>
    <row r="109" spans="1:14" x14ac:dyDescent="0.35">
      <c r="A109" t="str">
        <f t="shared" si="44"/>
        <v xml:space="preserve">    Shared, Reserve</v>
      </c>
      <c r="B109" s="1"/>
      <c r="C109" s="67" t="str">
        <f t="shared" ca="1" si="45"/>
        <v/>
      </c>
      <c r="D109" s="67" t="str">
        <f t="shared" ca="1" si="45"/>
        <v/>
      </c>
      <c r="E109" s="67" t="str">
        <f t="shared" ca="1" si="45"/>
        <v/>
      </c>
      <c r="F109" s="67" t="str">
        <f t="shared" ca="1" si="45"/>
        <v/>
      </c>
      <c r="G109" s="67" t="str">
        <f t="shared" ca="1" si="45"/>
        <v/>
      </c>
      <c r="H109" s="67" t="str">
        <f t="shared" ca="1" si="45"/>
        <v/>
      </c>
      <c r="I109" s="67" t="str">
        <f t="shared" ca="1" si="45"/>
        <v/>
      </c>
      <c r="J109" s="67" t="str">
        <f t="shared" ca="1" si="45"/>
        <v/>
      </c>
      <c r="K109" s="67" t="str">
        <f t="shared" ca="1" si="45"/>
        <v/>
      </c>
      <c r="L109" s="67" t="str">
        <f t="shared" ca="1" si="45"/>
        <v/>
      </c>
      <c r="M109" s="67">
        <f t="shared" ca="1" si="46"/>
        <v>0</v>
      </c>
      <c r="N109" s="65">
        <f>IF(OR($A109=""),"",M82)</f>
        <v>0</v>
      </c>
    </row>
    <row r="110" spans="1:14" x14ac:dyDescent="0.35">
      <c r="A110" t="str">
        <f t="shared" si="44"/>
        <v/>
      </c>
      <c r="B110" s="1"/>
      <c r="C110" s="67" t="str">
        <f t="shared" ca="1" si="45"/>
        <v/>
      </c>
      <c r="D110" s="67" t="str">
        <f t="shared" ca="1" si="45"/>
        <v/>
      </c>
      <c r="E110" s="67" t="str">
        <f t="shared" ca="1" si="45"/>
        <v/>
      </c>
      <c r="F110" s="67" t="str">
        <f t="shared" ca="1" si="45"/>
        <v/>
      </c>
      <c r="G110" s="67" t="str">
        <f t="shared" ca="1" si="45"/>
        <v/>
      </c>
      <c r="H110" s="67" t="str">
        <f t="shared" ca="1" si="45"/>
        <v/>
      </c>
      <c r="I110" s="67" t="str">
        <f t="shared" ca="1" si="45"/>
        <v/>
      </c>
      <c r="J110" s="67" t="str">
        <f t="shared" ca="1" si="45"/>
        <v/>
      </c>
      <c r="K110" s="67" t="str">
        <f t="shared" ca="1" si="45"/>
        <v/>
      </c>
      <c r="L110" s="67" t="str">
        <f t="shared" ca="1" si="45"/>
        <v/>
      </c>
      <c r="M110" s="67" t="str">
        <f t="shared" si="46"/>
        <v/>
      </c>
      <c r="N110" s="65" t="str">
        <f>IF(OR($A110=""),"",M90)</f>
        <v/>
      </c>
    </row>
    <row r="111" spans="1:14" x14ac:dyDescent="0.35">
      <c r="A111" t="str">
        <f t="shared" si="44"/>
        <v/>
      </c>
      <c r="B111" s="1"/>
      <c r="C111" s="67" t="str">
        <f t="shared" ca="1" si="45"/>
        <v/>
      </c>
      <c r="D111" s="67" t="str">
        <f t="shared" ca="1" si="45"/>
        <v/>
      </c>
      <c r="E111" s="67" t="str">
        <f t="shared" ca="1" si="45"/>
        <v/>
      </c>
      <c r="F111" s="67" t="str">
        <f t="shared" ca="1" si="45"/>
        <v/>
      </c>
      <c r="G111" s="67" t="str">
        <f t="shared" ca="1" si="45"/>
        <v/>
      </c>
      <c r="H111" s="67" t="str">
        <f t="shared" ca="1" si="45"/>
        <v/>
      </c>
      <c r="I111" s="67" t="str">
        <f t="shared" ca="1" si="45"/>
        <v/>
      </c>
      <c r="J111" s="67" t="str">
        <f t="shared" ca="1" si="45"/>
        <v/>
      </c>
      <c r="K111" s="67" t="str">
        <f t="shared" ca="1" si="45"/>
        <v/>
      </c>
      <c r="L111" s="67" t="str">
        <f t="shared" ca="1" si="45"/>
        <v/>
      </c>
      <c r="M111" s="67" t="str">
        <f t="shared" si="46"/>
        <v/>
      </c>
      <c r="N111" s="65" t="str">
        <f>IF(OR($A111=""),"",M98)</f>
        <v/>
      </c>
    </row>
    <row r="112" spans="1:14" x14ac:dyDescent="0.35">
      <c r="A112" t="s">
        <v>146</v>
      </c>
      <c r="B112" s="1"/>
      <c r="C112" s="51" t="str">
        <f>IF(C$26&lt;&gt;"",SUM(C106:C111),"")</f>
        <v/>
      </c>
      <c r="D112" s="51" t="str">
        <f t="shared" ref="D112:L112" si="47">IF(D$26&lt;&gt;"",SUM(D106:D111),"")</f>
        <v/>
      </c>
      <c r="E112" s="119" t="str">
        <f t="shared" si="47"/>
        <v/>
      </c>
      <c r="F112" s="51" t="str">
        <f t="shared" si="47"/>
        <v/>
      </c>
      <c r="G112" s="51" t="str">
        <f t="shared" si="47"/>
        <v/>
      </c>
      <c r="H112" s="51" t="str">
        <f t="shared" si="47"/>
        <v/>
      </c>
      <c r="I112" s="51" t="str">
        <f t="shared" si="47"/>
        <v/>
      </c>
      <c r="J112" s="51" t="str">
        <f t="shared" si="47"/>
        <v/>
      </c>
      <c r="K112" s="51" t="str">
        <f t="shared" si="47"/>
        <v/>
      </c>
      <c r="L112" s="51" t="str">
        <f t="shared" si="47"/>
        <v/>
      </c>
      <c r="M112" s="34"/>
    </row>
    <row r="113" spans="1:12" x14ac:dyDescent="0.35">
      <c r="A113" s="1" t="s">
        <v>134</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t="str">
        <f t="shared" ref="C114:L119" ca="1" si="48">IF(OR(C$26="",$A114=""),"",OFFSET(C$61,8*(ROW(B114)-ROW(B$114)),0))</f>
        <v/>
      </c>
      <c r="D114" s="67" t="str">
        <f t="shared" ca="1" si="48"/>
        <v/>
      </c>
      <c r="E114" s="67" t="str">
        <f t="shared" ca="1" si="48"/>
        <v/>
      </c>
      <c r="F114" s="67" t="str">
        <f t="shared" ca="1" si="48"/>
        <v/>
      </c>
      <c r="G114" s="67" t="str">
        <f t="shared" ca="1" si="48"/>
        <v/>
      </c>
      <c r="H114" s="67" t="str">
        <f t="shared" ca="1" si="48"/>
        <v/>
      </c>
      <c r="I114" s="67" t="str">
        <f t="shared" ca="1" si="48"/>
        <v/>
      </c>
      <c r="J114" s="67" t="str">
        <f t="shared" ca="1" si="48"/>
        <v/>
      </c>
      <c r="K114" s="67" t="str">
        <f t="shared" ca="1" si="48"/>
        <v/>
      </c>
      <c r="L114" s="67" t="str">
        <f t="shared" ca="1" si="48"/>
        <v/>
      </c>
    </row>
    <row r="115" spans="1:12" x14ac:dyDescent="0.35">
      <c r="A115" t="str">
        <f>IF(A6="","","    "&amp;A6&amp;" - Release from Mead")</f>
        <v xml:space="preserve">    Lower Basin - Release from Mead</v>
      </c>
      <c r="C115" s="67" t="str">
        <f t="shared" ca="1" si="48"/>
        <v/>
      </c>
      <c r="D115" s="67" t="str">
        <f t="shared" ca="1" si="48"/>
        <v/>
      </c>
      <c r="E115" s="67" t="str">
        <f t="shared" ca="1" si="48"/>
        <v/>
      </c>
      <c r="F115" s="67" t="str">
        <f t="shared" ca="1" si="48"/>
        <v/>
      </c>
      <c r="G115" s="67" t="str">
        <f t="shared" ca="1" si="48"/>
        <v/>
      </c>
      <c r="H115" s="67" t="str">
        <f t="shared" ca="1" si="48"/>
        <v/>
      </c>
      <c r="I115" s="67" t="str">
        <f t="shared" ca="1" si="48"/>
        <v/>
      </c>
      <c r="J115" s="67" t="str">
        <f t="shared" ca="1" si="48"/>
        <v/>
      </c>
      <c r="K115" s="67" t="str">
        <f t="shared" ca="1" si="48"/>
        <v/>
      </c>
      <c r="L115" s="67" t="str">
        <f t="shared" ca="1" si="48"/>
        <v/>
      </c>
    </row>
    <row r="116" spans="1:12" x14ac:dyDescent="0.35">
      <c r="A116" t="str">
        <f>IF(A7="","","    "&amp;A7&amp;" - Release from Mead")</f>
        <v xml:space="preserve">    Mexico - Release from Mead</v>
      </c>
      <c r="C116" s="67" t="str">
        <f t="shared" ca="1" si="48"/>
        <v/>
      </c>
      <c r="D116" s="67" t="str">
        <f t="shared" ca="1" si="48"/>
        <v/>
      </c>
      <c r="E116" s="67" t="str">
        <f t="shared" ca="1" si="48"/>
        <v/>
      </c>
      <c r="F116" s="67" t="str">
        <f t="shared" ca="1" si="48"/>
        <v/>
      </c>
      <c r="G116" s="67" t="str">
        <f t="shared" ca="1" si="48"/>
        <v/>
      </c>
      <c r="H116" s="67" t="str">
        <f t="shared" ca="1" si="48"/>
        <v/>
      </c>
      <c r="I116" s="67" t="str">
        <f t="shared" ca="1" si="48"/>
        <v/>
      </c>
      <c r="J116" s="67" t="str">
        <f t="shared" ca="1" si="48"/>
        <v/>
      </c>
      <c r="K116" s="67" t="str">
        <f t="shared" ca="1" si="48"/>
        <v/>
      </c>
      <c r="L116" s="67" t="str">
        <f t="shared" ca="1" si="48"/>
        <v/>
      </c>
    </row>
    <row r="117" spans="1:12" x14ac:dyDescent="0.35">
      <c r="A117" t="str">
        <f>IF(A8="","","    "&amp;A8&amp;" - Release from Mead")</f>
        <v xml:space="preserve">    Shared, Reserve - Release from Mead</v>
      </c>
      <c r="C117" s="67" t="str">
        <f t="shared" ca="1" si="48"/>
        <v/>
      </c>
      <c r="D117" s="67" t="str">
        <f t="shared" ca="1" si="48"/>
        <v/>
      </c>
      <c r="E117" s="67" t="str">
        <f t="shared" ca="1" si="48"/>
        <v/>
      </c>
      <c r="F117" s="67" t="str">
        <f t="shared" ca="1" si="48"/>
        <v/>
      </c>
      <c r="G117" s="67" t="str">
        <f t="shared" ca="1" si="48"/>
        <v/>
      </c>
      <c r="H117" s="67" t="str">
        <f t="shared" ca="1" si="48"/>
        <v/>
      </c>
      <c r="I117" s="67" t="str">
        <f t="shared" ca="1" si="48"/>
        <v/>
      </c>
      <c r="J117" s="67" t="str">
        <f t="shared" ca="1" si="48"/>
        <v/>
      </c>
      <c r="K117" s="67" t="str">
        <f t="shared" ca="1" si="48"/>
        <v/>
      </c>
      <c r="L117" s="67" t="str">
        <f t="shared" ca="1" si="48"/>
        <v/>
      </c>
    </row>
    <row r="118" spans="1:12" x14ac:dyDescent="0.35">
      <c r="A118" t="str">
        <f>IF(A9="","","    "&amp;A9&amp;" - Release from Mead")</f>
        <v/>
      </c>
      <c r="C118" s="67" t="str">
        <f t="shared" ca="1" si="48"/>
        <v/>
      </c>
      <c r="D118" s="67" t="str">
        <f t="shared" ca="1" si="48"/>
        <v/>
      </c>
      <c r="E118" s="67" t="str">
        <f t="shared" ca="1" si="48"/>
        <v/>
      </c>
      <c r="F118" s="67" t="str">
        <f t="shared" ca="1" si="48"/>
        <v/>
      </c>
      <c r="G118" s="67" t="str">
        <f t="shared" ca="1" si="48"/>
        <v/>
      </c>
      <c r="H118" s="67" t="str">
        <f t="shared" ca="1" si="48"/>
        <v/>
      </c>
      <c r="I118" s="67" t="str">
        <f t="shared" ca="1" si="48"/>
        <v/>
      </c>
      <c r="J118" s="67" t="str">
        <f t="shared" ca="1" si="48"/>
        <v/>
      </c>
      <c r="K118" s="67" t="str">
        <f t="shared" ca="1" si="48"/>
        <v/>
      </c>
      <c r="L118" s="67" t="str">
        <f t="shared" ca="1" si="48"/>
        <v/>
      </c>
    </row>
    <row r="119" spans="1:12" x14ac:dyDescent="0.35">
      <c r="A119" t="str">
        <f>IF(A10="","","    "&amp;A10&amp;" - Release from Mead")</f>
        <v/>
      </c>
      <c r="C119" s="67" t="str">
        <f t="shared" ca="1" si="48"/>
        <v/>
      </c>
      <c r="D119" s="67" t="str">
        <f t="shared" ca="1" si="48"/>
        <v/>
      </c>
      <c r="E119" s="67" t="str">
        <f t="shared" ca="1" si="48"/>
        <v/>
      </c>
      <c r="F119" s="67" t="str">
        <f t="shared" ca="1" si="48"/>
        <v/>
      </c>
      <c r="G119" s="67" t="str">
        <f t="shared" ca="1" si="48"/>
        <v/>
      </c>
      <c r="H119" s="67" t="str">
        <f t="shared" ca="1" si="48"/>
        <v/>
      </c>
      <c r="I119" s="67" t="str">
        <f t="shared" ca="1" si="48"/>
        <v/>
      </c>
      <c r="J119" s="67" t="str">
        <f t="shared" ca="1" si="48"/>
        <v/>
      </c>
      <c r="K119" s="67" t="str">
        <f t="shared" ca="1" si="48"/>
        <v/>
      </c>
      <c r="L119" s="67" t="str">
        <f t="shared" ca="1" si="48"/>
        <v/>
      </c>
    </row>
    <row r="120" spans="1:12" x14ac:dyDescent="0.35">
      <c r="A120" s="1" t="s">
        <v>139</v>
      </c>
      <c r="B120" s="1"/>
      <c r="D120" s="2"/>
      <c r="E120" s="2"/>
      <c r="F120" s="2"/>
      <c r="G120" s="2"/>
      <c r="H120" s="2"/>
      <c r="I120" s="2"/>
      <c r="J120" s="2"/>
      <c r="K120" s="2"/>
      <c r="L120" s="2"/>
    </row>
    <row r="121" spans="1:12" x14ac:dyDescent="0.35">
      <c r="A121" t="str">
        <f t="shared" ref="A121:A126" si="49">IF(A5="","","    "&amp;A5)</f>
        <v xml:space="preserve">    Upper Basin</v>
      </c>
      <c r="C121" s="67" t="str">
        <f t="shared" ref="C121:L126" ca="1" si="50">IF(OR(C$26="",$A121=""),"",OFFSET(C$62,8*(ROW(B121)-ROW(B$121)),0))</f>
        <v/>
      </c>
      <c r="D121" s="67" t="str">
        <f t="shared" ca="1" si="50"/>
        <v/>
      </c>
      <c r="E121" s="67" t="str">
        <f t="shared" ca="1" si="50"/>
        <v/>
      </c>
      <c r="F121" s="67" t="str">
        <f t="shared" ca="1" si="50"/>
        <v/>
      </c>
      <c r="G121" s="67" t="str">
        <f t="shared" ca="1" si="50"/>
        <v/>
      </c>
      <c r="H121" s="67" t="str">
        <f t="shared" ca="1" si="50"/>
        <v/>
      </c>
      <c r="I121" s="67" t="str">
        <f t="shared" ca="1" si="50"/>
        <v/>
      </c>
      <c r="J121" s="67" t="str">
        <f t="shared" ca="1" si="50"/>
        <v/>
      </c>
      <c r="K121" s="67" t="str">
        <f t="shared" ca="1" si="50"/>
        <v/>
      </c>
      <c r="L121" s="67" t="str">
        <f t="shared" ca="1" si="50"/>
        <v/>
      </c>
    </row>
    <row r="122" spans="1:12" x14ac:dyDescent="0.35">
      <c r="A122" t="str">
        <f t="shared" si="49"/>
        <v xml:space="preserve">    Lower Basin</v>
      </c>
      <c r="C122" s="67" t="str">
        <f t="shared" ca="1" si="50"/>
        <v/>
      </c>
      <c r="D122" s="67" t="str">
        <f t="shared" ca="1" si="50"/>
        <v/>
      </c>
      <c r="E122" s="67" t="str">
        <f t="shared" ca="1" si="50"/>
        <v/>
      </c>
      <c r="F122" s="67" t="str">
        <f t="shared" ca="1" si="50"/>
        <v/>
      </c>
      <c r="G122" s="67" t="str">
        <f t="shared" ca="1" si="50"/>
        <v/>
      </c>
      <c r="H122" s="67" t="str">
        <f t="shared" ca="1" si="50"/>
        <v/>
      </c>
      <c r="I122" s="67" t="str">
        <f t="shared" ca="1" si="50"/>
        <v/>
      </c>
      <c r="J122" s="67" t="str">
        <f t="shared" ca="1" si="50"/>
        <v/>
      </c>
      <c r="K122" s="67" t="str">
        <f t="shared" ca="1" si="50"/>
        <v/>
      </c>
      <c r="L122" s="67" t="str">
        <f t="shared" ca="1" si="50"/>
        <v/>
      </c>
    </row>
    <row r="123" spans="1:12" x14ac:dyDescent="0.35">
      <c r="A123" t="str">
        <f t="shared" si="49"/>
        <v xml:space="preserve">    Mexico</v>
      </c>
      <c r="C123" s="67" t="str">
        <f t="shared" ca="1" si="50"/>
        <v/>
      </c>
      <c r="D123" s="67" t="str">
        <f t="shared" ca="1" si="50"/>
        <v/>
      </c>
      <c r="E123" s="67" t="str">
        <f t="shared" ca="1" si="50"/>
        <v/>
      </c>
      <c r="F123" s="67" t="str">
        <f t="shared" ca="1" si="50"/>
        <v/>
      </c>
      <c r="G123" s="67" t="str">
        <f t="shared" ca="1" si="50"/>
        <v/>
      </c>
      <c r="H123" s="67" t="str">
        <f t="shared" ca="1" si="50"/>
        <v/>
      </c>
      <c r="I123" s="67" t="str">
        <f t="shared" ca="1" si="50"/>
        <v/>
      </c>
      <c r="J123" s="67" t="str">
        <f t="shared" ca="1" si="50"/>
        <v/>
      </c>
      <c r="K123" s="67" t="str">
        <f t="shared" ca="1" si="50"/>
        <v/>
      </c>
      <c r="L123" s="67" t="str">
        <f t="shared" ca="1" si="50"/>
        <v/>
      </c>
    </row>
    <row r="124" spans="1:12" x14ac:dyDescent="0.35">
      <c r="A124" t="str">
        <f t="shared" si="49"/>
        <v xml:space="preserve">    Shared, Reserve</v>
      </c>
      <c r="C124" s="67" t="str">
        <f t="shared" ca="1" si="50"/>
        <v/>
      </c>
      <c r="D124" s="67" t="str">
        <f t="shared" ca="1" si="50"/>
        <v/>
      </c>
      <c r="E124" s="67" t="str">
        <f t="shared" ca="1" si="50"/>
        <v/>
      </c>
      <c r="F124" s="67" t="str">
        <f t="shared" ca="1" si="50"/>
        <v/>
      </c>
      <c r="G124" s="67" t="str">
        <f t="shared" ca="1" si="50"/>
        <v/>
      </c>
      <c r="H124" s="67" t="str">
        <f t="shared" ca="1" si="50"/>
        <v/>
      </c>
      <c r="I124" s="67" t="str">
        <f t="shared" ca="1" si="50"/>
        <v/>
      </c>
      <c r="J124" s="67" t="str">
        <f t="shared" ca="1" si="50"/>
        <v/>
      </c>
      <c r="K124" s="67" t="str">
        <f t="shared" ca="1" si="50"/>
        <v/>
      </c>
      <c r="L124" s="67" t="str">
        <f t="shared" ca="1" si="50"/>
        <v/>
      </c>
    </row>
    <row r="125" spans="1:12" x14ac:dyDescent="0.35">
      <c r="A125" t="str">
        <f t="shared" si="49"/>
        <v/>
      </c>
      <c r="C125" s="67" t="str">
        <f t="shared" ca="1" si="50"/>
        <v/>
      </c>
      <c r="D125" s="67" t="str">
        <f t="shared" ca="1" si="50"/>
        <v/>
      </c>
      <c r="E125" s="67" t="str">
        <f t="shared" ca="1" si="50"/>
        <v/>
      </c>
      <c r="F125" s="67" t="str">
        <f t="shared" ca="1" si="50"/>
        <v/>
      </c>
      <c r="G125" s="67" t="str">
        <f t="shared" ca="1" si="50"/>
        <v/>
      </c>
      <c r="H125" s="67" t="str">
        <f t="shared" ca="1" si="50"/>
        <v/>
      </c>
      <c r="I125" s="67" t="str">
        <f t="shared" ca="1" si="50"/>
        <v/>
      </c>
      <c r="J125" s="67" t="str">
        <f t="shared" ca="1" si="50"/>
        <v/>
      </c>
      <c r="K125" s="67" t="str">
        <f t="shared" ca="1" si="50"/>
        <v/>
      </c>
      <c r="L125" s="67" t="str">
        <f t="shared" ca="1" si="50"/>
        <v/>
      </c>
    </row>
    <row r="126" spans="1:12" x14ac:dyDescent="0.35">
      <c r="A126" t="str">
        <f t="shared" si="49"/>
        <v/>
      </c>
      <c r="C126" s="67" t="str">
        <f t="shared" ca="1" si="50"/>
        <v/>
      </c>
      <c r="D126" s="67" t="str">
        <f t="shared" ca="1" si="50"/>
        <v/>
      </c>
      <c r="E126" s="67" t="str">
        <f t="shared" ca="1" si="50"/>
        <v/>
      </c>
      <c r="F126" s="67" t="str">
        <f t="shared" ca="1" si="50"/>
        <v/>
      </c>
      <c r="G126" s="67" t="str">
        <f t="shared" ca="1" si="50"/>
        <v/>
      </c>
      <c r="H126" s="67" t="str">
        <f t="shared" ca="1" si="50"/>
        <v/>
      </c>
      <c r="I126" s="67" t="str">
        <f t="shared" ca="1" si="50"/>
        <v/>
      </c>
      <c r="J126" s="67" t="str">
        <f t="shared" ca="1" si="50"/>
        <v/>
      </c>
      <c r="K126" s="67" t="str">
        <f t="shared" ca="1" si="50"/>
        <v/>
      </c>
      <c r="L126" s="67" t="str">
        <f t="shared" ca="1" si="50"/>
        <v/>
      </c>
    </row>
    <row r="127" spans="1:12" x14ac:dyDescent="0.35">
      <c r="A127" s="1" t="s">
        <v>123</v>
      </c>
      <c r="B127" s="1"/>
      <c r="C127" s="14" t="str">
        <f>IF(C$26&lt;&gt;"",SUM(C121:C126),"")</f>
        <v/>
      </c>
      <c r="D127" s="14" t="str">
        <f t="shared" ref="D127:L127" si="51">IF(D$26&lt;&gt;"",SUM(D121:D126),"")</f>
        <v/>
      </c>
      <c r="E127" s="14" t="str">
        <f t="shared" si="51"/>
        <v/>
      </c>
      <c r="F127" s="14" t="str">
        <f t="shared" si="51"/>
        <v/>
      </c>
      <c r="G127" s="14" t="str">
        <f t="shared" si="51"/>
        <v/>
      </c>
      <c r="H127" s="14" t="str">
        <f t="shared" si="51"/>
        <v/>
      </c>
      <c r="I127" s="14" t="str">
        <f t="shared" si="51"/>
        <v/>
      </c>
      <c r="J127" s="14" t="str">
        <f t="shared" si="51"/>
        <v/>
      </c>
      <c r="K127" s="14" t="str">
        <f t="shared" si="51"/>
        <v/>
      </c>
      <c r="L127" s="14" t="str">
        <f t="shared" si="51"/>
        <v/>
      </c>
    </row>
    <row r="128" spans="1:12" x14ac:dyDescent="0.35">
      <c r="A128" s="1" t="s">
        <v>197</v>
      </c>
      <c r="B128" s="1"/>
      <c r="C128" s="68"/>
      <c r="D128" s="68"/>
      <c r="E128" s="68"/>
      <c r="F128" s="68"/>
      <c r="G128" s="68"/>
      <c r="H128" s="68"/>
      <c r="I128" s="68"/>
      <c r="J128" s="68"/>
      <c r="K128" s="68"/>
      <c r="L128" s="68"/>
    </row>
    <row r="129" spans="1:14" x14ac:dyDescent="0.35">
      <c r="A129" s="1" t="s">
        <v>193</v>
      </c>
      <c r="B129" s="1"/>
      <c r="C129" s="14" t="str">
        <f>IF(C26="","",C$128*C$127)</f>
        <v/>
      </c>
      <c r="D129" s="14" t="str">
        <f t="shared" ref="D129:L129" si="52">IF(D26="","",D$128*D$127)</f>
        <v/>
      </c>
      <c r="E129" s="14" t="str">
        <f t="shared" si="52"/>
        <v/>
      </c>
      <c r="F129" s="14" t="str">
        <f t="shared" si="52"/>
        <v/>
      </c>
      <c r="G129" s="14" t="str">
        <f t="shared" si="52"/>
        <v/>
      </c>
      <c r="H129" s="14" t="str">
        <f t="shared" si="52"/>
        <v/>
      </c>
      <c r="I129" s="14" t="str">
        <f t="shared" si="52"/>
        <v/>
      </c>
      <c r="J129" s="14" t="str">
        <f t="shared" si="52"/>
        <v/>
      </c>
      <c r="K129" s="14" t="str">
        <f t="shared" si="52"/>
        <v/>
      </c>
      <c r="L129" s="14" t="str">
        <f t="shared" si="52"/>
        <v/>
      </c>
    </row>
    <row r="130" spans="1:14" x14ac:dyDescent="0.35">
      <c r="A130" s="1" t="s">
        <v>194</v>
      </c>
      <c r="B130" s="1"/>
      <c r="C130" s="14" t="str">
        <f>IF(C27="","",(1-C$128)*C$127)</f>
        <v/>
      </c>
      <c r="D130" s="14" t="str">
        <f t="shared" ref="D130:L130" si="53">IF(D27="","",(1-D$128)*D$127)</f>
        <v/>
      </c>
      <c r="E130" s="14" t="str">
        <f t="shared" si="53"/>
        <v/>
      </c>
      <c r="F130" s="14" t="str">
        <f t="shared" si="53"/>
        <v/>
      </c>
      <c r="G130" s="14" t="str">
        <f t="shared" si="53"/>
        <v/>
      </c>
      <c r="H130" s="14" t="str">
        <f t="shared" si="53"/>
        <v/>
      </c>
      <c r="I130" s="14" t="str">
        <f t="shared" si="53"/>
        <v/>
      </c>
      <c r="J130" s="14" t="str">
        <f t="shared" si="53"/>
        <v/>
      </c>
      <c r="K130" s="14" t="str">
        <f t="shared" si="53"/>
        <v/>
      </c>
      <c r="L130" s="14" t="str">
        <f t="shared" si="53"/>
        <v/>
      </c>
    </row>
    <row r="131" spans="1:14" x14ac:dyDescent="0.35">
      <c r="A131" s="32" t="s">
        <v>282</v>
      </c>
      <c r="B131" s="1"/>
      <c r="C131" s="87" t="str">
        <f>IF(C$26&lt;&gt;"",VLOOKUP(C129*1000000,'Powell-Elevation-Area'!$B$5:$H$689,7),"")</f>
        <v/>
      </c>
      <c r="D131" s="87" t="str">
        <f>IF(D$26&lt;&gt;"",VLOOKUP(D129*1000000,'Powell-Elevation-Area'!$B$5:$H$689,7),"")</f>
        <v/>
      </c>
      <c r="E131" s="87" t="str">
        <f>IF(E$26&lt;&gt;"",VLOOKUP(E129*1000000,'Powell-Elevation-Area'!$B$5:$H$689,7),"")</f>
        <v/>
      </c>
      <c r="F131" s="87" t="str">
        <f>IF(F$26&lt;&gt;"",VLOOKUP(F129*1000000,'Powell-Elevation-Area'!$B$5:$H$689,7),"")</f>
        <v/>
      </c>
      <c r="G131" s="87" t="str">
        <f>IF(G$26&lt;&gt;"",VLOOKUP(G129*1000000,'Powell-Elevation-Area'!$B$5:$H$689,7),"")</f>
        <v/>
      </c>
      <c r="H131" s="87" t="str">
        <f>IF(H$26&lt;&gt;"",VLOOKUP(H129*1000000,'Powell-Elevation-Area'!$B$5:$H$689,7),"")</f>
        <v/>
      </c>
      <c r="I131" s="87" t="str">
        <f>IF(I$26&lt;&gt;"",VLOOKUP(I129*1000000,'Powell-Elevation-Area'!$B$5:$H$689,7),"")</f>
        <v/>
      </c>
      <c r="J131" s="87" t="str">
        <f>IF(J$26&lt;&gt;"",VLOOKUP(J129*1000000,'Powell-Elevation-Area'!$B$5:$H$689,7),"")</f>
        <v/>
      </c>
      <c r="K131" s="87" t="str">
        <f>IF(K$26&lt;&gt;"",VLOOKUP(K129*1000000,'Powell-Elevation-Area'!$B$5:$H$689,7),"")</f>
        <v/>
      </c>
      <c r="L131" s="87" t="str">
        <f>IF(L$26&lt;&gt;"",VLOOKUP(L129*1000000,'Powell-Elevation-Area'!$B$5:$H$689,7),"")</f>
        <v/>
      </c>
    </row>
    <row r="132" spans="1:14" x14ac:dyDescent="0.35">
      <c r="A132" s="32" t="s">
        <v>283</v>
      </c>
      <c r="B132" s="1"/>
      <c r="C132" s="87" t="str">
        <f>IF(C$26&lt;&gt;"",VLOOKUP(C130*1000000,'Mead-Elevation-Area'!$B$5:$H$689,7),"")</f>
        <v/>
      </c>
      <c r="D132" s="87" t="str">
        <f>IF(D$26&lt;&gt;"",VLOOKUP(D130*1000000,'Mead-Elevation-Area'!$B$5:$H$689,7),"")</f>
        <v/>
      </c>
      <c r="E132" s="87" t="str">
        <f>IF(E$26&lt;&gt;"",VLOOKUP(E130*1000000,'Mead-Elevation-Area'!$B$5:$H$689,7),"")</f>
        <v/>
      </c>
      <c r="F132" s="87" t="str">
        <f>IF(F$26&lt;&gt;"",VLOOKUP(F130*1000000,'Mead-Elevation-Area'!$B$5:$H$689,7),"")</f>
        <v/>
      </c>
      <c r="G132" s="87" t="str">
        <f>IF(G$26&lt;&gt;"",VLOOKUP(G130*1000000,'Mead-Elevation-Area'!$B$5:$H$689,7),"")</f>
        <v/>
      </c>
      <c r="H132" s="87" t="str">
        <f>IF(H$26&lt;&gt;"",VLOOKUP(H130*1000000,'Mead-Elevation-Area'!$B$5:$H$689,7),"")</f>
        <v/>
      </c>
      <c r="I132" s="87" t="str">
        <f>IF(I$26&lt;&gt;"",VLOOKUP(I130*1000000,'Mead-Elevation-Area'!$B$5:$H$689,7),"")</f>
        <v/>
      </c>
      <c r="J132" s="87" t="str">
        <f>IF(J$26&lt;&gt;"",VLOOKUP(J130*1000000,'Mead-Elevation-Area'!$B$5:$H$689,7),"")</f>
        <v/>
      </c>
      <c r="K132" s="87" t="str">
        <f>IF(K$26&lt;&gt;"",VLOOKUP(K130*1000000,'Mead-Elevation-Area'!$B$5:$H$689,7),"")</f>
        <v/>
      </c>
      <c r="L132" s="87" t="str">
        <f>IF(L$26&lt;&gt;"",VLOOKUP(L130*1000000,'Mead-Elevation-Area'!$B$5:$H$689,7),"")</f>
        <v/>
      </c>
    </row>
    <row r="133" spans="1:14" x14ac:dyDescent="0.35">
      <c r="A133" s="1" t="s">
        <v>295</v>
      </c>
      <c r="B133" s="1"/>
    </row>
    <row r="134" spans="1:14" x14ac:dyDescent="0.35">
      <c r="A134" s="32" t="s">
        <v>296</v>
      </c>
      <c r="B134" s="1"/>
      <c r="C134" s="14" t="str">
        <f>IF(C$26&lt;&gt;"",-C129+C37+C26-C61-VLOOKUP(C37*1000000,'Powell-Elevation-Area'!$B$5:$D$689,3)*$B$20/1000000,"")</f>
        <v/>
      </c>
      <c r="D134" s="14" t="str">
        <f>IF(D$26&lt;&gt;"",-D129+D37+D26-D61-VLOOKUP(D37*1000000,'Powell-Elevation-Area'!$B$5:$D$689,3)*$B$20/1000000,"")</f>
        <v/>
      </c>
      <c r="E134" s="14" t="str">
        <f>IF(E$26&lt;&gt;"",-E129+E37+E26-E61-VLOOKUP(E37*1000000,'Powell-Elevation-Area'!$B$5:$D$689,3)*$B$20/1000000,"")</f>
        <v/>
      </c>
      <c r="F134" s="14" t="str">
        <f>IF(F$26&lt;&gt;"",-F129+F37+F26-F61-VLOOKUP(F37*1000000,'Powell-Elevation-Area'!$B$5:$D$689,3)*$B$20/1000000,"")</f>
        <v/>
      </c>
      <c r="G134" s="14" t="str">
        <f>IF(G$26&lt;&gt;"",-G129+G37+G26-G61-VLOOKUP(G37*1000000,'Powell-Elevation-Area'!$B$5:$D$689,3)*$B$20/1000000,"")</f>
        <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195</v>
      </c>
    </row>
    <row r="135" spans="1:14" x14ac:dyDescent="0.35">
      <c r="A135" s="32" t="s">
        <v>310</v>
      </c>
      <c r="B135" s="1"/>
      <c r="C135" s="87" t="str">
        <f>IF(C$26&lt;&gt;"",VLOOKUP(C131,PowellReleaseTemperature!$A$5:$B$11,2),"")</f>
        <v/>
      </c>
      <c r="D135" s="87" t="str">
        <f>IF(D$26&lt;&gt;"",VLOOKUP(D131,PowellReleaseTemperature!$A$5:$B$11,2),"")</f>
        <v/>
      </c>
      <c r="E135" s="87" t="str">
        <f>IF(E$26&lt;&gt;"",VLOOKUP(E131,PowellReleaseTemperature!$A$5:$B$11,2),"")</f>
        <v/>
      </c>
      <c r="F135" s="87" t="str">
        <f>IF(F$26&lt;&gt;"",VLOOKUP(F131,PowellReleaseTemperature!$A$5:$B$11,2),"")</f>
        <v/>
      </c>
      <c r="G135" s="87" t="str">
        <f>IF(G$26&lt;&gt;"",VLOOKUP(G131,PowellReleaseTemperature!$A$5:$B$11,2),"")</f>
        <v/>
      </c>
      <c r="H135" s="87" t="str">
        <f>IF(H$26&lt;&gt;"",VLOOKUP(H131,PowellReleaseTemperature!$A$5:$B$11,2),"")</f>
        <v/>
      </c>
      <c r="I135" s="87" t="str">
        <f>IF(I$26&lt;&gt;"",VLOOKUP(I131,PowellReleaseTemperature!$A$5:$B$11,2),"")</f>
        <v/>
      </c>
      <c r="J135" s="87" t="str">
        <f>IF(J$26&lt;&gt;"",VLOOKUP(J131,PowellReleaseTemperature!$A$5:$B$11,2),"")</f>
        <v/>
      </c>
      <c r="K135" s="87" t="str">
        <f>IF(K$26&lt;&gt;"",VLOOKUP(K131,PowellReleaseTemperature!$A$5:$B$11,2),"")</f>
        <v/>
      </c>
      <c r="L135" s="87" t="str">
        <f>IF(L$26&lt;&gt;"",VLOOKUP(L131,PowellReleaseTemperature!$A$5:$B$11,2),"")</f>
        <v/>
      </c>
      <c r="N135" t="s">
        <v>301</v>
      </c>
    </row>
    <row r="136" spans="1:14" s="89" customFormat="1" ht="62.5" customHeight="1" x14ac:dyDescent="0.35">
      <c r="A136" s="121" t="s">
        <v>311</v>
      </c>
      <c r="B136" s="88"/>
      <c r="C136" s="120" t="str">
        <f>IF(C$26&lt;&gt;"",VLOOKUP(C$131,PowellReleaseTemperature!$A$5:$E$11,5),"")</f>
        <v/>
      </c>
      <c r="D136" s="120" t="str">
        <f>IF(D$26&lt;&gt;"",VLOOKUP(D$131,PowellReleaseTemperature!$A$5:$E$11,5),"")</f>
        <v/>
      </c>
      <c r="E136" s="120" t="str">
        <f>IF(E$26&lt;&gt;"",VLOOKUP(E$131,PowellReleaseTemperature!$A$5:$E$11,5),"")</f>
        <v/>
      </c>
      <c r="F136" s="120" t="str">
        <f>IF(F$26&lt;&gt;"",VLOOKUP(F$131,PowellReleaseTemperature!$A$5:$E$11,5),"")</f>
        <v/>
      </c>
      <c r="G136" s="120" t="str">
        <f>IF(G$26&lt;&gt;"",VLOOKUP(G$131,PowellReleaseTemperature!$A$5:$E$11,5),"")</f>
        <v/>
      </c>
      <c r="H136" s="120" t="str">
        <f>IF(H$26&lt;&gt;"",VLOOKUP(H$131,PowellReleaseTemperature!$A$5:$E$11,5),"")</f>
        <v/>
      </c>
      <c r="I136" s="120" t="str">
        <f>IF(I$26&lt;&gt;"",VLOOKUP(I$131,PowellReleaseTemperature!$A$5:$E$11,5),"")</f>
        <v/>
      </c>
      <c r="J136" s="120" t="str">
        <f>IF(J$26&lt;&gt;"",VLOOKUP(J$131,PowellReleaseTemperature!$A$5:$E$11,5),"")</f>
        <v/>
      </c>
      <c r="K136" s="120" t="str">
        <f>IF(K$26&lt;&gt;"",VLOOKUP(K$131,PowellReleaseTemperature!$A$5:$E$11,5),"")</f>
        <v/>
      </c>
      <c r="L136" s="120" t="str">
        <f>IF(L$26&lt;&gt;"",VLOOKUP(L$131,PowellReleaseTemperature!$A$5:$E$11,5),"")</f>
        <v/>
      </c>
    </row>
    <row r="137" spans="1:14" s="89" customFormat="1" ht="32" customHeight="1" x14ac:dyDescent="0.35">
      <c r="A137" s="121" t="s">
        <v>317</v>
      </c>
      <c r="B137" s="88"/>
      <c r="C137" s="120" t="str">
        <f>IF(C$26&lt;&gt;"",VLOOKUP(C$131,PowellReleaseTemperature!$A$5:$F$11,6),"")</f>
        <v/>
      </c>
      <c r="D137" s="120" t="str">
        <f>IF(D$26&lt;&gt;"",VLOOKUP(D$131,PowellReleaseTemperature!$A$5:$F$11,6),"")</f>
        <v/>
      </c>
      <c r="E137" s="120" t="str">
        <f>IF(E$26&lt;&gt;"",VLOOKUP(E$131,PowellReleaseTemperature!$A$5:$F$11,6),"")</f>
        <v/>
      </c>
      <c r="F137" s="120" t="str">
        <f>IF(F$26&lt;&gt;"",VLOOKUP(F$131,PowellReleaseTemperature!$A$5:$F$11,6),"")</f>
        <v/>
      </c>
      <c r="G137" s="120" t="str">
        <f>IF(G$26&lt;&gt;"",VLOOKUP(G$131,PowellReleaseTemperature!$A$5:$F$11,6),"")</f>
        <v/>
      </c>
      <c r="H137" s="120" t="str">
        <f>IF(H$26&lt;&gt;"",VLOOKUP(H$131,PowellReleaseTemperature!$A$5:$F$11,6),"")</f>
        <v/>
      </c>
      <c r="I137" s="120" t="str">
        <f>IF(I$26&lt;&gt;"",VLOOKUP(I$131,PowellReleaseTemperature!$A$5:$F$11,6),"")</f>
        <v/>
      </c>
      <c r="J137" s="120" t="str">
        <f>IF(J$26&lt;&gt;"",VLOOKUP(J$131,PowellReleaseTemperature!$A$5:$F$11,6),"")</f>
        <v/>
      </c>
      <c r="K137" s="120" t="str">
        <f>IF(K$26&lt;&gt;"",VLOOKUP(K$131,PowellReleaseTemperature!$A$5:$F$11,6),"")</f>
        <v/>
      </c>
      <c r="L137" s="120" t="str">
        <f>IF(L$26&lt;&gt;"",VLOOKUP(L$131,PowellReleaseTemperature!$A$5:$F$11,6),"")</f>
        <v/>
      </c>
    </row>
    <row r="138" spans="1:14" x14ac:dyDescent="0.35">
      <c r="C138" s="29"/>
    </row>
    <row r="139" spans="1:14" x14ac:dyDescent="0.35">
      <c r="A139" s="1" t="s">
        <v>125</v>
      </c>
      <c r="C139" s="140" t="str">
        <f>IF(C$26&lt;&gt;"",0.2,"")</f>
        <v/>
      </c>
      <c r="D139" s="140" t="str">
        <f t="shared" ref="D139:L139" si="54">IF(D$26&lt;&gt;"",0.2,"")</f>
        <v/>
      </c>
      <c r="E139" s="140" t="str">
        <f t="shared" si="54"/>
        <v/>
      </c>
      <c r="F139" s="140" t="str">
        <f t="shared" si="54"/>
        <v/>
      </c>
      <c r="G139" s="140" t="str">
        <f t="shared" si="54"/>
        <v/>
      </c>
      <c r="H139" s="140" t="str">
        <f t="shared" si="54"/>
        <v/>
      </c>
      <c r="I139" s="140" t="str">
        <f t="shared" si="54"/>
        <v/>
      </c>
      <c r="J139" s="140" t="str">
        <f t="shared" si="54"/>
        <v/>
      </c>
      <c r="K139" s="140" t="str">
        <f t="shared" si="54"/>
        <v/>
      </c>
      <c r="L139" s="140" t="str">
        <f t="shared" si="54"/>
        <v/>
      </c>
    </row>
    <row r="140" spans="1:14" x14ac:dyDescent="0.35">
      <c r="A140" t="s">
        <v>126</v>
      </c>
      <c r="C140" s="14" t="str">
        <f t="shared" ref="C140:L140" si="55">IF(C$26&lt;&gt;"",C115+C139,"")</f>
        <v/>
      </c>
      <c r="D140" s="14" t="str">
        <f t="shared" si="55"/>
        <v/>
      </c>
      <c r="E140" s="14" t="str">
        <f t="shared" si="55"/>
        <v/>
      </c>
      <c r="F140" s="14" t="str">
        <f t="shared" si="55"/>
        <v/>
      </c>
      <c r="G140" s="14" t="str">
        <f t="shared" si="55"/>
        <v/>
      </c>
      <c r="H140" s="14" t="str">
        <f t="shared" si="55"/>
        <v/>
      </c>
      <c r="I140" s="14" t="str">
        <f t="shared" si="55"/>
        <v/>
      </c>
      <c r="J140" s="14" t="str">
        <f t="shared" si="55"/>
        <v/>
      </c>
      <c r="K140" s="14" t="str">
        <f t="shared" si="55"/>
        <v/>
      </c>
      <c r="L140" s="14" t="str">
        <f t="shared" si="55"/>
        <v/>
      </c>
    </row>
    <row r="142" spans="1:14" x14ac:dyDescent="0.35">
      <c r="D142" s="18"/>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D61">
    <cfRule type="cellIs" dxfId="367" priority="72" operator="greaterThan">
      <formula>$D$60</formula>
    </cfRule>
  </conditionalFormatting>
  <conditionalFormatting sqref="C61">
    <cfRule type="cellIs" dxfId="366" priority="70" operator="greaterThan">
      <formula>$C$60</formula>
    </cfRule>
  </conditionalFormatting>
  <conditionalFormatting sqref="E61">
    <cfRule type="cellIs" dxfId="365" priority="68" operator="greaterThan">
      <formula>$E$60</formula>
    </cfRule>
  </conditionalFormatting>
  <conditionalFormatting sqref="F61">
    <cfRule type="cellIs" dxfId="364" priority="67" operator="greaterThan">
      <formula>$F$60</formula>
    </cfRule>
  </conditionalFormatting>
  <conditionalFormatting sqref="G61">
    <cfRule type="cellIs" dxfId="363" priority="66" operator="greaterThan">
      <formula>$G$60</formula>
    </cfRule>
  </conditionalFormatting>
  <conditionalFormatting sqref="H61">
    <cfRule type="cellIs" dxfId="362" priority="65" operator="greaterThan">
      <formula>$H$60</formula>
    </cfRule>
  </conditionalFormatting>
  <conditionalFormatting sqref="I61">
    <cfRule type="cellIs" dxfId="361" priority="64" operator="greaterThan">
      <formula>$I$60</formula>
    </cfRule>
  </conditionalFormatting>
  <conditionalFormatting sqref="J61">
    <cfRule type="cellIs" dxfId="360" priority="63" operator="greaterThan">
      <formula>$J$60</formula>
    </cfRule>
  </conditionalFormatting>
  <conditionalFormatting sqref="K61">
    <cfRule type="cellIs" dxfId="359" priority="62" operator="greaterThan">
      <formula>$K$60</formula>
    </cfRule>
  </conditionalFormatting>
  <conditionalFormatting sqref="L61">
    <cfRule type="cellIs" dxfId="358" priority="61" operator="greaterThan">
      <formula>$L$60</formula>
    </cfRule>
  </conditionalFormatting>
  <conditionalFormatting sqref="C69">
    <cfRule type="cellIs" dxfId="357" priority="53" operator="greaterThan">
      <formula>$C$68</formula>
    </cfRule>
  </conditionalFormatting>
  <conditionalFormatting sqref="D69">
    <cfRule type="cellIs" dxfId="356" priority="52" operator="greaterThan">
      <formula>$D$68</formula>
    </cfRule>
  </conditionalFormatting>
  <conditionalFormatting sqref="E69">
    <cfRule type="cellIs" dxfId="355" priority="51" operator="greaterThan">
      <formula>$E$68</formula>
    </cfRule>
  </conditionalFormatting>
  <conditionalFormatting sqref="F69">
    <cfRule type="cellIs" dxfId="354" priority="50" operator="greaterThan">
      <formula>$F$68</formula>
    </cfRule>
  </conditionalFormatting>
  <conditionalFormatting sqref="G69">
    <cfRule type="cellIs" dxfId="353" priority="49" operator="greaterThan">
      <formula>$G$68</formula>
    </cfRule>
  </conditionalFormatting>
  <conditionalFormatting sqref="H69">
    <cfRule type="cellIs" dxfId="352" priority="48" operator="greaterThan">
      <formula>$H$68</formula>
    </cfRule>
  </conditionalFormatting>
  <conditionalFormatting sqref="I69">
    <cfRule type="cellIs" dxfId="351" priority="47" operator="greaterThan">
      <formula>$I$68</formula>
    </cfRule>
  </conditionalFormatting>
  <conditionalFormatting sqref="J69">
    <cfRule type="cellIs" dxfId="350" priority="46" operator="greaterThan">
      <formula>$J$68</formula>
    </cfRule>
  </conditionalFormatting>
  <conditionalFormatting sqref="K69">
    <cfRule type="cellIs" dxfId="349" priority="45" operator="greaterThan">
      <formula>$K$68</formula>
    </cfRule>
  </conditionalFormatting>
  <conditionalFormatting sqref="L69">
    <cfRule type="cellIs" dxfId="348" priority="44" operator="greaterThan">
      <formula>$L$68</formula>
    </cfRule>
  </conditionalFormatting>
  <conditionalFormatting sqref="C77">
    <cfRule type="cellIs" dxfId="347" priority="43" operator="greaterThan">
      <formula>$C$76</formula>
    </cfRule>
  </conditionalFormatting>
  <conditionalFormatting sqref="D77">
    <cfRule type="cellIs" dxfId="346" priority="42" operator="greaterThan">
      <formula>$D$76</formula>
    </cfRule>
  </conditionalFormatting>
  <conditionalFormatting sqref="E77">
    <cfRule type="cellIs" dxfId="345" priority="41" operator="greaterThan">
      <formula>$E$76</formula>
    </cfRule>
  </conditionalFormatting>
  <conditionalFormatting sqref="F77">
    <cfRule type="cellIs" dxfId="344" priority="40" operator="greaterThan">
      <formula>$F$76</formula>
    </cfRule>
  </conditionalFormatting>
  <conditionalFormatting sqref="G77">
    <cfRule type="cellIs" dxfId="343" priority="39" operator="greaterThan">
      <formula>$G$76</formula>
    </cfRule>
  </conditionalFormatting>
  <conditionalFormatting sqref="H77">
    <cfRule type="cellIs" dxfId="342" priority="38" operator="greaterThan">
      <formula>$H$76</formula>
    </cfRule>
  </conditionalFormatting>
  <conditionalFormatting sqref="I77">
    <cfRule type="cellIs" dxfId="341" priority="37" operator="greaterThan">
      <formula>$I$76</formula>
    </cfRule>
  </conditionalFormatting>
  <conditionalFormatting sqref="J77">
    <cfRule type="cellIs" dxfId="340" priority="36" operator="greaterThan">
      <formula>$J$76</formula>
    </cfRule>
  </conditionalFormatting>
  <conditionalFormatting sqref="K77">
    <cfRule type="cellIs" dxfId="339" priority="35" operator="greaterThan">
      <formula>$K$76</formula>
    </cfRule>
  </conditionalFormatting>
  <conditionalFormatting sqref="L77">
    <cfRule type="cellIs" dxfId="338" priority="34" operator="greaterThan">
      <formula>$L$76</formula>
    </cfRule>
  </conditionalFormatting>
  <conditionalFormatting sqref="C85:L85">
    <cfRule type="cellIs" dxfId="337" priority="33" operator="greaterThan">
      <formula>$C$84</formula>
    </cfRule>
  </conditionalFormatting>
  <conditionalFormatting sqref="C93">
    <cfRule type="cellIs" dxfId="336" priority="32" operator="greaterThan">
      <formula>$C$92</formula>
    </cfRule>
  </conditionalFormatting>
  <conditionalFormatting sqref="D93">
    <cfRule type="cellIs" dxfId="335" priority="31" operator="greaterThan">
      <formula>$D$92</formula>
    </cfRule>
  </conditionalFormatting>
  <conditionalFormatting sqref="E93">
    <cfRule type="cellIs" dxfId="334" priority="30" operator="greaterThan">
      <formula>$E$92</formula>
    </cfRule>
  </conditionalFormatting>
  <conditionalFormatting sqref="F93">
    <cfRule type="cellIs" dxfId="333" priority="29" operator="greaterThan">
      <formula>$F$92</formula>
    </cfRule>
  </conditionalFormatting>
  <conditionalFormatting sqref="G93">
    <cfRule type="cellIs" dxfId="332" priority="28" operator="greaterThan">
      <formula>$G$92</formula>
    </cfRule>
  </conditionalFormatting>
  <conditionalFormatting sqref="H93">
    <cfRule type="cellIs" dxfId="331" priority="27" operator="greaterThan">
      <formula>$H$92</formula>
    </cfRule>
  </conditionalFormatting>
  <conditionalFormatting sqref="I93">
    <cfRule type="cellIs" dxfId="330" priority="26" operator="greaterThan">
      <formula>$I$92</formula>
    </cfRule>
  </conditionalFormatting>
  <conditionalFormatting sqref="J93">
    <cfRule type="cellIs" dxfId="329" priority="25" operator="greaterThan">
      <formula>$J$92</formula>
    </cfRule>
  </conditionalFormatting>
  <conditionalFormatting sqref="K93">
    <cfRule type="cellIs" dxfId="328" priority="24" operator="greaterThan">
      <formula>$K$92</formula>
    </cfRule>
  </conditionalFormatting>
  <conditionalFormatting sqref="L93">
    <cfRule type="cellIs" dxfId="327" priority="23" operator="greaterThan">
      <formula>$L$92</formula>
    </cfRule>
  </conditionalFormatting>
  <conditionalFormatting sqref="C101">
    <cfRule type="cellIs" dxfId="326" priority="22" operator="greaterThan">
      <formula>$C$100</formula>
    </cfRule>
  </conditionalFormatting>
  <conditionalFormatting sqref="D101">
    <cfRule type="cellIs" dxfId="325" priority="21" operator="greaterThan">
      <formula>$D$100</formula>
    </cfRule>
  </conditionalFormatting>
  <conditionalFormatting sqref="E101">
    <cfRule type="cellIs" dxfId="324" priority="20" operator="greaterThan">
      <formula>$E$100</formula>
    </cfRule>
  </conditionalFormatting>
  <conditionalFormatting sqref="F101">
    <cfRule type="cellIs" dxfId="323" priority="19" operator="greaterThan">
      <formula>$F$100</formula>
    </cfRule>
  </conditionalFormatting>
  <conditionalFormatting sqref="G101">
    <cfRule type="cellIs" dxfId="322" priority="18" operator="greaterThan">
      <formula>$G$100</formula>
    </cfRule>
  </conditionalFormatting>
  <conditionalFormatting sqref="H101">
    <cfRule type="cellIs" dxfId="321" priority="17" operator="greaterThan">
      <formula>$H$100</formula>
    </cfRule>
  </conditionalFormatting>
  <conditionalFormatting sqref="I101">
    <cfRule type="cellIs" dxfId="320" priority="16" operator="greaterThan">
      <formula>$I$100</formula>
    </cfRule>
  </conditionalFormatting>
  <conditionalFormatting sqref="J101">
    <cfRule type="cellIs" dxfId="319" priority="15" operator="greaterThan">
      <formula>$J$100</formula>
    </cfRule>
  </conditionalFormatting>
  <conditionalFormatting sqref="K101">
    <cfRule type="cellIs" dxfId="318" priority="14" operator="greaterThan">
      <formula>$K$100</formula>
    </cfRule>
  </conditionalFormatting>
  <conditionalFormatting sqref="L101">
    <cfRule type="cellIs" dxfId="317" priority="13"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1" id="{2E8E1F1A-DB8E-46AC-B445-4B08C08A2609}">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69" id="{B3CF332E-43D7-4591-990E-99D63032C2D5}">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60" id="{AC7D9747-A7FD-41D8-9631-FE28BB9159BB}">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59" id="{F0078519-686D-4615-8592-15B55477C915}">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58" id="{954F5819-27CD-4B64-9A30-AED6BEE4EE39}">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57" id="{5B6B5DEF-2761-4756-9AA1-B9FAAFCA5259}">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6" id="{90F95D62-3C21-48C7-B56D-6F562D5F5354}">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5" id="{1515BB5F-EAF4-4495-8A87-A4A385599BAD}">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4" id="{9B9C6C60-D571-423E-ACA7-CAE7A789B49B}">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2" id="{89639FE1-3D0E-4DB2-9E19-8D08FAA2BD0F}">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8" operator="equal" id="{4F334973-DF80-49FB-B85E-70C7DACD3F21}">
            <xm:f>PowellReleaseTemperature!$B$10</xm:f>
            <x14:dxf>
              <font>
                <color auto="1"/>
              </font>
              <fill>
                <patternFill>
                  <bgColor theme="4"/>
                </patternFill>
              </fill>
            </x14:dxf>
          </x14:cfRule>
          <x14:cfRule type="cellIs" priority="9" operator="equal" id="{D8C1E945-CCF8-42FF-AC24-C4C1EBB7703A}">
            <xm:f>PowellReleaseTemperature!$B$9</xm:f>
            <x14:dxf>
              <font>
                <color theme="4" tint="-0.24994659260841701"/>
              </font>
              <fill>
                <patternFill>
                  <bgColor theme="8" tint="0.59996337778862885"/>
                </patternFill>
              </fill>
            </x14:dxf>
          </x14:cfRule>
          <x14:cfRule type="cellIs" priority="10" operator="equal" id="{6478EA29-0619-4868-B42C-341766179D24}">
            <xm:f>PowellReleaseTemperature!$B$8</xm:f>
            <x14:dxf>
              <font>
                <color rgb="FF9C0006"/>
              </font>
              <fill>
                <patternFill>
                  <bgColor rgb="FFFFC7CE"/>
                </patternFill>
              </fill>
            </x14:dxf>
          </x14:cfRule>
          <x14:cfRule type="cellIs" priority="11" operator="equal" id="{101D9798-F4C7-44BD-8ACD-8A536C039696}">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4" operator="equal" id="{7E66B46B-F14D-47C4-A9C1-EF572AD7ECCB}">
            <xm:f>PowellReleaseTemperature!$E$5</xm:f>
            <x14:dxf>
              <font>
                <color auto="1"/>
              </font>
              <fill>
                <patternFill>
                  <bgColor rgb="FFFF0000"/>
                </patternFill>
              </fill>
            </x14:dxf>
          </x14:cfRule>
          <x14:cfRule type="cellIs" priority="5" operator="equal" id="{65F92F56-F22B-44D1-A2E3-0DA611BBF3FE}">
            <xm:f>PowellReleaseTemperature!$E$8</xm:f>
            <x14:dxf>
              <font>
                <color rgb="FF9C0006"/>
              </font>
              <fill>
                <patternFill>
                  <bgColor rgb="FFFFC7CE"/>
                </patternFill>
              </fill>
            </x14:dxf>
          </x14:cfRule>
          <x14:cfRule type="cellIs" priority="6" operator="equal" id="{E237A83F-40C7-446E-A2D2-AC132DB6947C}">
            <xm:f>PowellReleaseTemperature!$E$9</xm:f>
            <x14:dxf>
              <font>
                <color theme="4" tint="-0.24994659260841701"/>
              </font>
              <fill>
                <patternFill>
                  <bgColor theme="8" tint="0.59996337778862885"/>
                </patternFill>
              </fill>
            </x14:dxf>
          </x14:cfRule>
          <x14:cfRule type="cellIs" priority="7" operator="equal" id="{FD7E1C0C-97F1-4921-A973-2C6A718973DB}">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1" operator="equal" id="{C92C4A26-D135-45E3-BA43-A40C929D49FA}">
            <xm:f>PowellReleaseTemperature!$F$10</xm:f>
            <x14:dxf>
              <font>
                <color auto="1"/>
              </font>
              <fill>
                <patternFill>
                  <bgColor theme="4"/>
                </patternFill>
              </fill>
            </x14:dxf>
          </x14:cfRule>
          <x14:cfRule type="cellIs" priority="2" operator="equal" id="{162D3715-ED7C-4B49-BFAE-99BAEEAA821D}">
            <xm:f>PowellReleaseTemperature!$F$9</xm:f>
            <x14:dxf>
              <font>
                <color theme="4" tint="-0.24994659260841701"/>
              </font>
              <fill>
                <patternFill>
                  <bgColor theme="8" tint="0.59996337778862885"/>
                </patternFill>
              </fill>
            </x14:dxf>
          </x14:cfRule>
          <x14:cfRule type="cellIs" priority="3" operator="equal" id="{3589BE8D-7CF4-46F6-BCC9-FE29617E0A7F}">
            <xm:f>PowellReleaseTemperature!$F$5</xm:f>
            <x14:dxf>
              <font>
                <color auto="1"/>
              </font>
              <fill>
                <patternFill>
                  <bgColor rgb="FFFF0000"/>
                </patternFill>
              </fill>
            </x14:dxf>
          </x14:cfRule>
          <xm:sqref>C137:L137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N142"/>
  <sheetViews>
    <sheetView zoomScale="150" zoomScaleNormal="150" workbookViewId="0">
      <selection activeCell="B13" sqref="B13:F13"/>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10.45312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73" t="s">
        <v>151</v>
      </c>
      <c r="B3" s="173"/>
      <c r="C3" s="173"/>
      <c r="D3" s="173"/>
      <c r="E3" s="173"/>
      <c r="F3" s="173"/>
      <c r="G3" s="173"/>
      <c r="H3" s="118"/>
      <c r="I3" s="118"/>
      <c r="J3" s="118"/>
      <c r="K3" s="118"/>
    </row>
    <row r="4" spans="1:13" x14ac:dyDescent="0.35">
      <c r="A4" s="53" t="s">
        <v>38</v>
      </c>
      <c r="B4" s="53" t="s">
        <v>42</v>
      </c>
      <c r="C4" s="174" t="s">
        <v>43</v>
      </c>
      <c r="D4" s="175"/>
      <c r="E4" s="175"/>
      <c r="F4" s="175"/>
      <c r="G4" s="176"/>
      <c r="M4" s="1" t="s">
        <v>321</v>
      </c>
    </row>
    <row r="5" spans="1:13" x14ac:dyDescent="0.35">
      <c r="A5" s="133" t="s">
        <v>39</v>
      </c>
      <c r="B5" s="133"/>
      <c r="C5" s="177"/>
      <c r="D5" s="178"/>
      <c r="E5" s="178"/>
      <c r="F5" s="178"/>
      <c r="G5" s="178"/>
      <c r="M5" t="s">
        <v>322</v>
      </c>
    </row>
    <row r="6" spans="1:13" x14ac:dyDescent="0.35">
      <c r="A6" s="133" t="s">
        <v>40</v>
      </c>
      <c r="B6" s="133"/>
      <c r="C6" s="177"/>
      <c r="D6" s="178"/>
      <c r="E6" s="178"/>
      <c r="F6" s="178"/>
      <c r="G6" s="178"/>
      <c r="M6" t="s">
        <v>327</v>
      </c>
    </row>
    <row r="7" spans="1:13" x14ac:dyDescent="0.35">
      <c r="A7" s="133" t="s">
        <v>41</v>
      </c>
      <c r="B7" s="133"/>
      <c r="C7" s="177"/>
      <c r="D7" s="178"/>
      <c r="E7" s="178"/>
      <c r="F7" s="178"/>
      <c r="G7" s="178"/>
      <c r="M7" t="s">
        <v>328</v>
      </c>
    </row>
    <row r="8" spans="1:13" x14ac:dyDescent="0.35">
      <c r="A8" s="117" t="s">
        <v>157</v>
      </c>
      <c r="B8" s="117"/>
      <c r="C8" s="179"/>
      <c r="D8" s="179"/>
      <c r="E8" s="179"/>
      <c r="F8" s="179"/>
      <c r="G8" s="179"/>
    </row>
    <row r="9" spans="1:13" x14ac:dyDescent="0.35">
      <c r="A9" s="133"/>
      <c r="B9" s="133"/>
      <c r="C9" s="167"/>
      <c r="D9" s="167"/>
      <c r="E9" s="167"/>
      <c r="F9" s="167"/>
      <c r="G9" s="167"/>
    </row>
    <row r="10" spans="1:13" x14ac:dyDescent="0.35">
      <c r="A10" s="133"/>
      <c r="B10" s="133"/>
      <c r="C10" s="167"/>
      <c r="D10" s="167"/>
      <c r="E10" s="167"/>
      <c r="F10" s="167"/>
      <c r="G10" s="167"/>
    </row>
    <row r="11" spans="1:13" x14ac:dyDescent="0.35">
      <c r="A11" s="16"/>
      <c r="B11" s="2"/>
      <c r="C11"/>
    </row>
    <row r="12" spans="1:13" x14ac:dyDescent="0.35">
      <c r="A12" s="19" t="s">
        <v>45</v>
      </c>
      <c r="B12" s="166" t="s">
        <v>198</v>
      </c>
      <c r="C12" s="166"/>
      <c r="D12" s="166"/>
      <c r="E12" s="166"/>
      <c r="F12" s="166"/>
    </row>
    <row r="13" spans="1:13" x14ac:dyDescent="0.35">
      <c r="B13" s="168" t="s">
        <v>351</v>
      </c>
      <c r="C13" s="169"/>
      <c r="D13" s="169"/>
      <c r="E13" s="169"/>
      <c r="F13" s="169"/>
    </row>
    <row r="14" spans="1:13" x14ac:dyDescent="0.35">
      <c r="B14" s="170" t="s">
        <v>330</v>
      </c>
      <c r="C14" s="171"/>
      <c r="D14" s="171"/>
      <c r="E14" s="171"/>
      <c r="F14" s="171"/>
    </row>
    <row r="15" spans="1:13" x14ac:dyDescent="0.35">
      <c r="B15" s="172" t="s">
        <v>46</v>
      </c>
      <c r="C15" s="172"/>
      <c r="D15" s="172"/>
      <c r="E15" s="172"/>
      <c r="F15" s="172"/>
    </row>
    <row r="17" spans="1:14" x14ac:dyDescent="0.35">
      <c r="A17" s="1" t="s">
        <v>53</v>
      </c>
      <c r="D17" s="166" t="s">
        <v>154</v>
      </c>
      <c r="E17" s="166"/>
      <c r="F17" s="166"/>
      <c r="G17" s="166"/>
    </row>
    <row r="19" spans="1:14" x14ac:dyDescent="0.35">
      <c r="A19" s="1" t="s">
        <v>32</v>
      </c>
      <c r="B19" s="1" t="s">
        <v>110</v>
      </c>
      <c r="C19" s="13" t="s">
        <v>111</v>
      </c>
    </row>
    <row r="20" spans="1:14" x14ac:dyDescent="0.35">
      <c r="A20" t="s">
        <v>109</v>
      </c>
      <c r="B20" s="140">
        <v>5.73</v>
      </c>
      <c r="C20" s="140">
        <v>6</v>
      </c>
      <c r="D20" s="23" t="s">
        <v>112</v>
      </c>
    </row>
    <row r="21" spans="1:14" x14ac:dyDescent="0.35">
      <c r="A21" t="s">
        <v>141</v>
      </c>
      <c r="B21" s="140">
        <v>11</v>
      </c>
      <c r="C21" s="140">
        <v>10.1</v>
      </c>
      <c r="D21" s="11" t="s">
        <v>34</v>
      </c>
    </row>
    <row r="22" spans="1:14" x14ac:dyDescent="0.35">
      <c r="A22" t="s">
        <v>189</v>
      </c>
      <c r="B22" s="62">
        <v>3525</v>
      </c>
      <c r="C22" s="62">
        <v>1020</v>
      </c>
      <c r="D22" s="11"/>
    </row>
    <row r="23" spans="1:14" x14ac:dyDescent="0.35">
      <c r="A23" t="s">
        <v>175</v>
      </c>
      <c r="B23" s="140">
        <f>VLOOKUP(B22,'Powell-Elevation-Area'!$A$5:$B$689,2)/1000000</f>
        <v>5.9265762500000001</v>
      </c>
      <c r="C23" s="140">
        <f>VLOOKUP(C22,'Mead-Elevation-Area'!$A$5:$B$689,2)/1000000</f>
        <v>5.664593</v>
      </c>
      <c r="D23" s="11"/>
      <c r="E23" s="45"/>
    </row>
    <row r="25" spans="1:14" s="1" customFormat="1" x14ac:dyDescent="0.35">
      <c r="A25" s="146" t="s">
        <v>35</v>
      </c>
      <c r="B25" s="147" t="s">
        <v>48</v>
      </c>
      <c r="C25" s="147" t="s">
        <v>5</v>
      </c>
      <c r="D25" s="147" t="s">
        <v>6</v>
      </c>
      <c r="E25" s="147" t="s">
        <v>7</v>
      </c>
      <c r="F25" s="147" t="s">
        <v>8</v>
      </c>
      <c r="G25" s="147" t="s">
        <v>9</v>
      </c>
      <c r="H25" s="147" t="s">
        <v>10</v>
      </c>
      <c r="I25" s="147" t="s">
        <v>11</v>
      </c>
      <c r="J25" s="147" t="s">
        <v>12</v>
      </c>
      <c r="K25" s="147" t="s">
        <v>36</v>
      </c>
      <c r="L25" s="147" t="s">
        <v>37</v>
      </c>
      <c r="M25" s="147" t="s">
        <v>107</v>
      </c>
      <c r="N25" s="147" t="s">
        <v>172</v>
      </c>
    </row>
    <row r="26" spans="1:14" x14ac:dyDescent="0.35">
      <c r="A26" s="1" t="s">
        <v>44</v>
      </c>
      <c r="B26" s="1"/>
      <c r="C26" s="141"/>
      <c r="D26" s="141"/>
      <c r="E26" s="141"/>
      <c r="F26" s="141"/>
      <c r="G26" s="141"/>
      <c r="H26" s="141"/>
      <c r="I26" s="141"/>
      <c r="J26" s="141"/>
      <c r="K26" s="141"/>
      <c r="L26" s="141"/>
    </row>
    <row r="27" spans="1:14" x14ac:dyDescent="0.35">
      <c r="A27" s="1" t="s">
        <v>121</v>
      </c>
      <c r="B27" s="1"/>
      <c r="C27" s="140" t="str">
        <f>IF(C$26&lt;&gt;"",0.8,"")</f>
        <v/>
      </c>
      <c r="D27" s="140" t="str">
        <f t="shared" ref="D27:L27" si="0">IF(D$26&lt;&gt;"",0.8,"")</f>
        <v/>
      </c>
      <c r="E27" s="140" t="str">
        <f t="shared" si="0"/>
        <v/>
      </c>
      <c r="F27" s="140" t="str">
        <f t="shared" si="0"/>
        <v/>
      </c>
      <c r="G27" s="140" t="str">
        <f t="shared" si="0"/>
        <v/>
      </c>
      <c r="H27" s="140" t="str">
        <f t="shared" si="0"/>
        <v/>
      </c>
      <c r="I27" s="140" t="str">
        <f t="shared" si="0"/>
        <v/>
      </c>
      <c r="J27" s="140" t="str">
        <f t="shared" si="0"/>
        <v/>
      </c>
      <c r="K27" s="140" t="str">
        <f t="shared" si="0"/>
        <v/>
      </c>
      <c r="L27" s="140" t="str">
        <f t="shared" si="0"/>
        <v/>
      </c>
    </row>
    <row r="28" spans="1:14" x14ac:dyDescent="0.35">
      <c r="A28" s="1" t="s">
        <v>305</v>
      </c>
      <c r="B28" s="1"/>
      <c r="C28" s="140" t="str">
        <f>IF(C$26&lt;&gt;"",0.6,"")</f>
        <v/>
      </c>
      <c r="D28" s="140" t="str">
        <f t="shared" ref="D28:L28" si="1">IF(D$26&lt;&gt;"",0.6,"")</f>
        <v/>
      </c>
      <c r="E28" s="140" t="str">
        <f t="shared" si="1"/>
        <v/>
      </c>
      <c r="F28" s="140" t="str">
        <f t="shared" si="1"/>
        <v/>
      </c>
      <c r="G28" s="140" t="str">
        <f t="shared" si="1"/>
        <v/>
      </c>
      <c r="H28" s="140" t="str">
        <f t="shared" si="1"/>
        <v/>
      </c>
      <c r="I28" s="140" t="str">
        <f t="shared" si="1"/>
        <v/>
      </c>
      <c r="J28" s="140" t="str">
        <f t="shared" si="1"/>
        <v/>
      </c>
      <c r="K28" s="140" t="str">
        <f t="shared" si="1"/>
        <v/>
      </c>
      <c r="L28" s="140" t="str">
        <f t="shared" si="1"/>
        <v/>
      </c>
    </row>
    <row r="29" spans="1:14" x14ac:dyDescent="0.35">
      <c r="A29" s="1" t="s">
        <v>124</v>
      </c>
      <c r="B29" s="114">
        <f>SUM(B30:B35)-SUM(B21:C21)</f>
        <v>0</v>
      </c>
      <c r="C29" s="14" t="str">
        <f>IF(C$26&lt;&gt;"",SUM(B21:C21),"")</f>
        <v/>
      </c>
      <c r="D29" s="14" t="str">
        <f>IF(D$26&lt;&gt;"",C127,"")</f>
        <v/>
      </c>
      <c r="E29" s="14" t="str">
        <f t="shared" ref="E29:L29" si="2">IF(E$26&lt;&gt;"",D127,"")</f>
        <v/>
      </c>
      <c r="F29" s="14" t="str">
        <f t="shared" si="2"/>
        <v/>
      </c>
      <c r="G29" s="14" t="str">
        <f t="shared" si="2"/>
        <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15">
        <f>B21-B23</f>
        <v>5.0734237499999999</v>
      </c>
      <c r="C30" s="112" t="str">
        <f>IF(OR(C$26="",$A30=""),"",B30)</f>
        <v/>
      </c>
      <c r="D30" s="14" t="str">
        <f>IF(OR(D$26="",$A30=""),"",C121)</f>
        <v/>
      </c>
      <c r="E30" s="14" t="str">
        <f t="shared" ref="E30:L30" si="4">IF(OR(E$26="",$A30=""),"",D121)</f>
        <v/>
      </c>
      <c r="F30" s="14" t="str">
        <f t="shared" si="4"/>
        <v/>
      </c>
      <c r="G30" s="14" t="str">
        <f t="shared" si="4"/>
        <v/>
      </c>
      <c r="H30" s="14" t="str">
        <f t="shared" si="4"/>
        <v/>
      </c>
      <c r="I30" s="14" t="str">
        <f t="shared" si="4"/>
        <v/>
      </c>
      <c r="J30" s="14" t="str">
        <f t="shared" si="4"/>
        <v/>
      </c>
      <c r="K30" s="14" t="str">
        <f t="shared" si="4"/>
        <v/>
      </c>
      <c r="L30" s="14" t="str">
        <f t="shared" si="4"/>
        <v/>
      </c>
      <c r="N30" t="s">
        <v>177</v>
      </c>
    </row>
    <row r="31" spans="1:14" x14ac:dyDescent="0.35">
      <c r="A31" t="str">
        <f t="shared" si="3"/>
        <v xml:space="preserve">    Lower Basin Balance</v>
      </c>
      <c r="B31" s="115">
        <f>C21-C23-B32</f>
        <v>4.2614069999999993</v>
      </c>
      <c r="C31" s="112" t="str">
        <f t="shared" ref="C31:C35" si="5">IF(OR(C$26="",$A31=""),"",B31)</f>
        <v/>
      </c>
      <c r="D31" s="14" t="str">
        <f t="shared" ref="D31:L35" si="6">IF(OR(D$26="",$A31=""),"",C122)</f>
        <v/>
      </c>
      <c r="E31" s="14" t="str">
        <f t="shared" si="6"/>
        <v/>
      </c>
      <c r="F31" s="14" t="str">
        <f t="shared" si="6"/>
        <v/>
      </c>
      <c r="G31" s="14" t="str">
        <f t="shared" si="6"/>
        <v/>
      </c>
      <c r="H31" s="14" t="str">
        <f t="shared" si="6"/>
        <v/>
      </c>
      <c r="I31" s="14" t="str">
        <f t="shared" si="6"/>
        <v/>
      </c>
      <c r="J31" s="14" t="str">
        <f t="shared" si="6"/>
        <v/>
      </c>
      <c r="K31" s="14" t="str">
        <f t="shared" si="6"/>
        <v/>
      </c>
      <c r="L31" s="14" t="str">
        <f t="shared" si="6"/>
        <v/>
      </c>
      <c r="N31" t="s">
        <v>174</v>
      </c>
    </row>
    <row r="32" spans="1:14" x14ac:dyDescent="0.35">
      <c r="A32" t="str">
        <f t="shared" si="3"/>
        <v xml:space="preserve">    Mexico Balance</v>
      </c>
      <c r="B32" s="116">
        <v>0.17399999999999999</v>
      </c>
      <c r="C32" s="113" t="str">
        <f t="shared" si="5"/>
        <v/>
      </c>
      <c r="D32" s="52" t="str">
        <f t="shared" si="6"/>
        <v/>
      </c>
      <c r="E32" s="52" t="str">
        <f t="shared" si="6"/>
        <v/>
      </c>
      <c r="F32" s="52" t="str">
        <f t="shared" si="6"/>
        <v/>
      </c>
      <c r="G32" s="52" t="str">
        <f t="shared" si="6"/>
        <v/>
      </c>
      <c r="H32" s="14" t="str">
        <f t="shared" si="6"/>
        <v/>
      </c>
      <c r="I32" s="14" t="str">
        <f t="shared" si="6"/>
        <v/>
      </c>
      <c r="J32" s="14" t="str">
        <f t="shared" si="6"/>
        <v/>
      </c>
      <c r="K32" s="14" t="str">
        <f t="shared" si="6"/>
        <v/>
      </c>
      <c r="L32" s="14" t="str">
        <f t="shared" si="6"/>
        <v/>
      </c>
      <c r="N32" t="s">
        <v>173</v>
      </c>
    </row>
    <row r="33" spans="1:14" x14ac:dyDescent="0.35">
      <c r="A33" t="str">
        <f t="shared" si="3"/>
        <v xml:space="preserve">    Shared, Reserve Balance</v>
      </c>
      <c r="B33" s="115">
        <f>SUM(B23:C23)</f>
        <v>11.59116925</v>
      </c>
      <c r="C33" s="112" t="str">
        <f t="shared" si="5"/>
        <v/>
      </c>
      <c r="D33" s="14" t="str">
        <f t="shared" si="6"/>
        <v/>
      </c>
      <c r="E33" s="14" t="str">
        <f t="shared" si="6"/>
        <v/>
      </c>
      <c r="F33" s="14" t="str">
        <f t="shared" si="6"/>
        <v/>
      </c>
      <c r="G33" s="14" t="str">
        <f t="shared" si="6"/>
        <v/>
      </c>
      <c r="H33" s="14" t="str">
        <f t="shared" si="6"/>
        <v/>
      </c>
      <c r="I33" s="14" t="str">
        <f t="shared" si="6"/>
        <v/>
      </c>
      <c r="J33" s="14" t="str">
        <f t="shared" si="6"/>
        <v/>
      </c>
      <c r="K33" s="14" t="str">
        <f t="shared" si="6"/>
        <v/>
      </c>
      <c r="L33" s="14" t="str">
        <f t="shared" si="6"/>
        <v/>
      </c>
    </row>
    <row r="34" spans="1:14" x14ac:dyDescent="0.35">
      <c r="A34" t="str">
        <f t="shared" si="3"/>
        <v/>
      </c>
      <c r="B34" s="115"/>
      <c r="C34" s="112"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176</v>
      </c>
    </row>
    <row r="35" spans="1:14" x14ac:dyDescent="0.35">
      <c r="A35" t="str">
        <f t="shared" si="3"/>
        <v/>
      </c>
      <c r="B35" s="117"/>
      <c r="C35" s="112"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196</v>
      </c>
      <c r="C36"/>
    </row>
    <row r="37" spans="1:14" x14ac:dyDescent="0.35">
      <c r="A37" t="s">
        <v>113</v>
      </c>
      <c r="C37" s="14" t="str">
        <f>IF(C$26&lt;&gt;"",B21,"")</f>
        <v/>
      </c>
      <c r="D37" s="14" t="str">
        <f>IF(D$26&lt;&gt;"",C129,"")</f>
        <v/>
      </c>
      <c r="E37" s="14" t="str">
        <f t="shared" ref="E37:G38" si="7">IF(E$26&lt;&gt;"",D129,"")</f>
        <v/>
      </c>
      <c r="F37" s="14" t="str">
        <f t="shared" si="7"/>
        <v/>
      </c>
      <c r="G37" s="14" t="str">
        <f t="shared" si="7"/>
        <v/>
      </c>
      <c r="H37" s="14" t="str">
        <f t="shared" ref="H37:H38" si="8">IF(H$26&lt;&gt;"",G129,"")</f>
        <v/>
      </c>
      <c r="I37" s="14" t="str">
        <f t="shared" ref="I37:I38" si="9">IF(I$26&lt;&gt;"",H129,"")</f>
        <v/>
      </c>
      <c r="J37" s="14" t="str">
        <f t="shared" ref="J37:J38" si="10">IF(J$26&lt;&gt;"",I129,"")</f>
        <v/>
      </c>
      <c r="K37" s="14" t="str">
        <f t="shared" ref="K37:K38" si="11">IF(K$26&lt;&gt;"",J129,"")</f>
        <v/>
      </c>
      <c r="L37" s="14" t="str">
        <f t="shared" ref="L37:L38" si="12">IF(L$26&lt;&gt;"",K129,"")</f>
        <v/>
      </c>
    </row>
    <row r="38" spans="1:14" x14ac:dyDescent="0.35">
      <c r="A38" t="s">
        <v>114</v>
      </c>
      <c r="C38" s="14" t="str">
        <f>IF(C$26&lt;&gt;"",C21,"")</f>
        <v/>
      </c>
      <c r="D38" s="14" t="str">
        <f>IF(D$26&lt;&gt;"",C130,"")</f>
        <v/>
      </c>
      <c r="E38" s="14" t="str">
        <f t="shared" si="7"/>
        <v/>
      </c>
      <c r="F38" s="14" t="str">
        <f t="shared" si="7"/>
        <v/>
      </c>
      <c r="G38" s="14" t="str">
        <f t="shared" si="7"/>
        <v/>
      </c>
      <c r="H38" s="14" t="str">
        <f t="shared" si="8"/>
        <v/>
      </c>
      <c r="I38" s="14" t="str">
        <f t="shared" si="9"/>
        <v/>
      </c>
      <c r="J38" s="14" t="str">
        <f t="shared" si="10"/>
        <v/>
      </c>
      <c r="K38" s="14" t="str">
        <f t="shared" si="11"/>
        <v/>
      </c>
      <c r="L38" s="14" t="str">
        <f t="shared" si="12"/>
        <v/>
      </c>
    </row>
    <row r="39" spans="1:14" x14ac:dyDescent="0.35">
      <c r="A39" s="1" t="s">
        <v>119</v>
      </c>
      <c r="B39" s="1"/>
      <c r="C39" s="14" t="str">
        <f>IF(C$26&lt;&gt;"",VLOOKUP(C37*1000000,'Powell-Elevation-Area'!$B$5:$D$689,3)*$B$20/1000000 + VLOOKUP(C38*1000000,'Mead-Elevation-Area'!$B$5:$D$676,3)*$C$20/1000000,"")</f>
        <v/>
      </c>
      <c r="D39" s="14" t="str">
        <f>IF(D$26&lt;&gt;"",VLOOKUP(D37*1000000,'Powell-Elevation-Area'!$B$5:$D$689,3)*$B$20/1000000 + VLOOKUP(D38*1000000,'Mead-Elevation-Area'!$B$5:$D$676,3)*$C$20/1000000,"")</f>
        <v/>
      </c>
      <c r="E39" s="14" t="str">
        <f>IF(E$26&lt;&gt;"",VLOOKUP(E37*1000000,'Powell-Elevation-Area'!$B$5:$D$689,3)*$B$20/1000000 + VLOOKUP(E38*1000000,'Mead-Elevation-Area'!$B$5:$D$676,3)*$C$20/1000000,"")</f>
        <v/>
      </c>
      <c r="F39" s="14" t="str">
        <f>IF(F$26&lt;&gt;"",VLOOKUP(F37*1000000,'Powell-Elevation-Area'!$B$5:$D$689,3)*$B$20/1000000 + VLOOKUP(F38*1000000,'Mead-Elevation-Area'!$B$5:$D$676,3)*$C$20/1000000,"")</f>
        <v/>
      </c>
      <c r="G39" s="14" t="str">
        <f>IF(G$26&lt;&gt;"",VLOOKUP(G37*1000000,'Powell-Elevation-Area'!$B$5:$D$689,3)*$B$20/1000000 + VLOOKUP(G38*1000000,'Mead-Elevation-Area'!$B$5:$D$676,3)*$C$20/1000000,"")</f>
        <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13">IF(A5="","","    "&amp;A5&amp;" Share")</f>
        <v xml:space="preserve">    Upper Basin Share</v>
      </c>
      <c r="B40" s="1"/>
      <c r="C40" s="14" t="str">
        <f t="shared" ref="C40:L45" si="14">IF(OR(C$26="",$A40=""),"",C$39*C30/C$29)</f>
        <v/>
      </c>
      <c r="D40" s="14" t="str">
        <f t="shared" si="14"/>
        <v/>
      </c>
      <c r="E40" s="14" t="str">
        <f t="shared" si="14"/>
        <v/>
      </c>
      <c r="F40" s="14" t="str">
        <f t="shared" si="14"/>
        <v/>
      </c>
      <c r="G40" s="14" t="str">
        <f t="shared" si="14"/>
        <v/>
      </c>
      <c r="H40" s="14" t="str">
        <f t="shared" si="14"/>
        <v/>
      </c>
      <c r="I40" s="14" t="str">
        <f t="shared" si="14"/>
        <v/>
      </c>
      <c r="J40" s="14" t="str">
        <f t="shared" si="14"/>
        <v/>
      </c>
      <c r="K40" s="14" t="str">
        <f t="shared" si="14"/>
        <v/>
      </c>
      <c r="L40" s="14" t="str">
        <f t="shared" si="14"/>
        <v/>
      </c>
    </row>
    <row r="41" spans="1:14" x14ac:dyDescent="0.35">
      <c r="A41" t="str">
        <f t="shared" si="13"/>
        <v xml:space="preserve">    Lower Basin Share</v>
      </c>
      <c r="B41" s="1"/>
      <c r="C41" s="14" t="str">
        <f t="shared" si="14"/>
        <v/>
      </c>
      <c r="D41" s="14" t="str">
        <f t="shared" si="14"/>
        <v/>
      </c>
      <c r="E41" s="14" t="str">
        <f t="shared" si="14"/>
        <v/>
      </c>
      <c r="F41" s="14" t="str">
        <f t="shared" si="14"/>
        <v/>
      </c>
      <c r="G41" s="14" t="str">
        <f t="shared" si="14"/>
        <v/>
      </c>
      <c r="H41" s="14" t="str">
        <f t="shared" si="14"/>
        <v/>
      </c>
      <c r="I41" s="14" t="str">
        <f t="shared" si="14"/>
        <v/>
      </c>
      <c r="J41" s="14" t="str">
        <f t="shared" si="14"/>
        <v/>
      </c>
      <c r="K41" s="14" t="str">
        <f t="shared" si="14"/>
        <v/>
      </c>
      <c r="L41" s="14" t="str">
        <f t="shared" si="14"/>
        <v/>
      </c>
    </row>
    <row r="42" spans="1:14" x14ac:dyDescent="0.35">
      <c r="A42" t="str">
        <f t="shared" si="13"/>
        <v xml:space="preserve">    Mexico Share</v>
      </c>
      <c r="B42" s="1"/>
      <c r="C42" s="14" t="str">
        <f t="shared" si="14"/>
        <v/>
      </c>
      <c r="D42" s="14" t="str">
        <f t="shared" si="14"/>
        <v/>
      </c>
      <c r="E42" s="14" t="str">
        <f t="shared" si="14"/>
        <v/>
      </c>
      <c r="F42" s="14" t="str">
        <f t="shared" si="14"/>
        <v/>
      </c>
      <c r="G42" s="14" t="str">
        <f t="shared" si="14"/>
        <v/>
      </c>
      <c r="H42" s="14" t="str">
        <f t="shared" si="14"/>
        <v/>
      </c>
      <c r="I42" s="14" t="str">
        <f t="shared" si="14"/>
        <v/>
      </c>
      <c r="J42" s="14" t="str">
        <f t="shared" si="14"/>
        <v/>
      </c>
      <c r="K42" s="14" t="str">
        <f t="shared" si="14"/>
        <v/>
      </c>
      <c r="L42" s="14" t="str">
        <f t="shared" si="14"/>
        <v/>
      </c>
    </row>
    <row r="43" spans="1:14" x14ac:dyDescent="0.35">
      <c r="A43" t="str">
        <f t="shared" si="13"/>
        <v xml:space="preserve">    Shared, Reserve Share</v>
      </c>
      <c r="B43" s="1"/>
      <c r="C43" s="14" t="str">
        <f t="shared" si="14"/>
        <v/>
      </c>
      <c r="D43" s="14" t="str">
        <f t="shared" si="14"/>
        <v/>
      </c>
      <c r="E43" s="14" t="str">
        <f t="shared" si="14"/>
        <v/>
      </c>
      <c r="F43" s="14" t="str">
        <f t="shared" si="14"/>
        <v/>
      </c>
      <c r="G43" s="14" t="str">
        <f t="shared" si="14"/>
        <v/>
      </c>
      <c r="H43" s="14" t="str">
        <f t="shared" si="14"/>
        <v/>
      </c>
      <c r="I43" s="14" t="str">
        <f t="shared" si="14"/>
        <v/>
      </c>
      <c r="J43" s="14" t="str">
        <f t="shared" si="14"/>
        <v/>
      </c>
      <c r="K43" s="14" t="str">
        <f t="shared" si="14"/>
        <v/>
      </c>
      <c r="L43" s="14" t="str">
        <f t="shared" si="14"/>
        <v/>
      </c>
    </row>
    <row r="44" spans="1:14" x14ac:dyDescent="0.3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259</v>
      </c>
      <c r="B46" s="75"/>
      <c r="C46" s="49" t="str">
        <f>IF(C$26&lt;&gt;"",1.5-0.21/9/2-VLOOKUP(C38,LowerBasinCuts!$C$5:$P$13,13),"")</f>
        <v/>
      </c>
      <c r="D46" s="49" t="str">
        <f>IF(D$26&lt;&gt;"",1.5-0.21/9/2-VLOOKUP(D38,LowerBasinCuts!$C$5:$P$13,13),"")</f>
        <v/>
      </c>
      <c r="E46" s="49" t="str">
        <f>IF(E$26&lt;&gt;"",1.5-0.21/9/2-VLOOKUP(E38,LowerBasinCuts!$C$5:$P$13,13),"")</f>
        <v/>
      </c>
      <c r="F46" s="49" t="str">
        <f>IF(F$26&lt;&gt;"",1.5-0.21/9/2-VLOOKUP(F38,LowerBasinCuts!$C$5:$P$13,13),"")</f>
        <v/>
      </c>
      <c r="G46" s="49" t="str">
        <f>IF(G$26&lt;&gt;"",1.5-0.21/9/2-VLOOKUP(G38,LowerBasinCuts!$C$5:$P$13,13),"")</f>
        <v/>
      </c>
      <c r="H46" s="49" t="str">
        <f>IF(H$26&lt;&gt;"",1.5-0.21/9/2-VLOOKUP(H38,LowerBasinCuts!$C$5:$P$13,13),"")</f>
        <v/>
      </c>
      <c r="I46" s="49" t="str">
        <f>IF(I$26&lt;&gt;"",1.5-0.21/9/2-VLOOKUP(I38,LowerBasinCuts!$C$5:$P$13,13),"")</f>
        <v/>
      </c>
      <c r="J46" s="49" t="str">
        <f>IF(J$26&lt;&gt;"",1.5-0.21/9/2-VLOOKUP(J38,LowerBasinCuts!$C$5:$P$13,13),"")</f>
        <v/>
      </c>
      <c r="K46" s="49" t="str">
        <f>IF(K$26&lt;&gt;"",1.5-0.21/9/2-VLOOKUP(K38,LowerBasinCuts!$C$5:$P$13,13),"")</f>
        <v/>
      </c>
      <c r="L46" s="49" t="str">
        <f>IF(L$26&lt;&gt;"",1.5-0.21/9/2-VLOOKUP(L38,LowerBasinCuts!$C$5:$P$13,13),"")</f>
        <v/>
      </c>
    </row>
    <row r="47" spans="1:14" x14ac:dyDescent="0.35">
      <c r="A47" s="1" t="s">
        <v>306</v>
      </c>
      <c r="B47" s="1"/>
      <c r="C47" s="51" t="str">
        <f>IF(C26="","",SUM(C26:C27)-C28)</f>
        <v/>
      </c>
      <c r="D47" s="51" t="str">
        <f t="shared" ref="D47:L47" si="15">IF(D26="","",SUM(D26:D27)-D28)</f>
        <v/>
      </c>
      <c r="E47" s="14" t="str">
        <f t="shared" si="15"/>
        <v/>
      </c>
      <c r="F47" s="51" t="str">
        <f t="shared" si="15"/>
        <v/>
      </c>
      <c r="G47" s="51" t="str">
        <f t="shared" si="15"/>
        <v/>
      </c>
      <c r="H47" s="51" t="str">
        <f t="shared" si="15"/>
        <v/>
      </c>
      <c r="I47" s="51" t="str">
        <f t="shared" si="15"/>
        <v/>
      </c>
      <c r="J47" s="51" t="str">
        <f t="shared" si="15"/>
        <v/>
      </c>
      <c r="K47" s="51" t="str">
        <f t="shared" si="15"/>
        <v/>
      </c>
      <c r="L47" s="51" t="str">
        <f t="shared" si="15"/>
        <v/>
      </c>
      <c r="M47" s="45"/>
      <c r="N47" s="45"/>
    </row>
    <row r="48" spans="1:14" x14ac:dyDescent="0.35">
      <c r="A48" t="str">
        <f t="shared" ref="A48:A53" si="16">IF(A5="","","    To "&amp;A5)</f>
        <v xml:space="preserve">    To Upper Basin</v>
      </c>
      <c r="B48" s="138" t="s">
        <v>147</v>
      </c>
      <c r="C48" s="112" t="str">
        <f>IF(OR(C$26="",$A48=""),"",IF(C$26&gt;SUM(MIN($B49,C26-C50/2)+C50/2),C$26-SUM(MIN($B49,C26-C50/2)+C50/2),0))</f>
        <v/>
      </c>
      <c r="D48" s="112" t="str">
        <f t="shared" ref="D48:L48" si="17">IF(OR(D$26="",$A48=""),"",IF(D$26&gt;SUM(MIN($B49,D26-D50/2)+D50/2),D$26-SUM(MIN($B49,D26-D50/2)+D50/2),0))</f>
        <v/>
      </c>
      <c r="E48" s="112" t="str">
        <f t="shared" si="17"/>
        <v/>
      </c>
      <c r="F48" s="112" t="str">
        <f t="shared" si="17"/>
        <v/>
      </c>
      <c r="G48" s="112" t="str">
        <f t="shared" si="17"/>
        <v/>
      </c>
      <c r="H48" s="112" t="str">
        <f t="shared" si="17"/>
        <v/>
      </c>
      <c r="I48" s="112" t="str">
        <f t="shared" si="17"/>
        <v/>
      </c>
      <c r="J48" s="112" t="str">
        <f t="shared" si="17"/>
        <v/>
      </c>
      <c r="K48" s="112" t="str">
        <f t="shared" si="17"/>
        <v/>
      </c>
      <c r="L48" s="112" t="str">
        <f t="shared" si="17"/>
        <v/>
      </c>
      <c r="M48" s="29"/>
      <c r="N48" s="29"/>
    </row>
    <row r="49" spans="1:14" x14ac:dyDescent="0.35">
      <c r="A49" t="str">
        <f t="shared" si="16"/>
        <v xml:space="preserve">    To Lower Basin</v>
      </c>
      <c r="B49" s="139">
        <f>7.5</f>
        <v>7.5</v>
      </c>
      <c r="C49" s="112" t="str">
        <f>IF(OR(C$26="",$A49=""),"",C27-C28-C51-C50/2+MIN($B49,C26-C50/2))</f>
        <v/>
      </c>
      <c r="D49" s="112" t="str">
        <f t="shared" ref="D49:L49" si="18">IF(OR(D$26="",$A49=""),"",D27-D28-D51-D50/2+MIN($B49,D26-D50/2))</f>
        <v/>
      </c>
      <c r="E49" s="112" t="str">
        <f t="shared" si="18"/>
        <v/>
      </c>
      <c r="F49" s="112" t="str">
        <f t="shared" si="18"/>
        <v/>
      </c>
      <c r="G49" s="112" t="str">
        <f t="shared" si="18"/>
        <v/>
      </c>
      <c r="H49" s="112" t="str">
        <f t="shared" si="18"/>
        <v/>
      </c>
      <c r="I49" s="112" t="str">
        <f t="shared" si="18"/>
        <v/>
      </c>
      <c r="J49" s="112" t="str">
        <f t="shared" si="18"/>
        <v/>
      </c>
      <c r="K49" s="112" t="str">
        <f t="shared" si="18"/>
        <v/>
      </c>
      <c r="L49" s="112" t="str">
        <f t="shared" si="18"/>
        <v/>
      </c>
      <c r="M49" s="29"/>
      <c r="N49" s="29"/>
    </row>
    <row r="50" spans="1:14" x14ac:dyDescent="0.35">
      <c r="A50" t="str">
        <f t="shared" si="16"/>
        <v xml:space="preserve">    To Mexico</v>
      </c>
      <c r="B50" s="139" t="s">
        <v>185</v>
      </c>
      <c r="C50" s="112" t="str">
        <f>IF(OR(C$26="",$A50=""),"",IF(C$47&gt;SUM(C51:C52,C46),C46,C$47-SUM(C51:C52)))</f>
        <v/>
      </c>
      <c r="D50" s="112" t="str">
        <f t="shared" ref="D50:L50" si="19">IF(OR(D$26="",$A50=""),"",IF(D$47&gt;SUM(D51:D52,D46),D46,D$47-SUM(D51:D52)))</f>
        <v/>
      </c>
      <c r="E50" s="112" t="str">
        <f t="shared" si="19"/>
        <v/>
      </c>
      <c r="F50" s="112" t="str">
        <f t="shared" si="19"/>
        <v/>
      </c>
      <c r="G50" s="112" t="str">
        <f t="shared" si="19"/>
        <v/>
      </c>
      <c r="H50" s="112" t="str">
        <f t="shared" si="19"/>
        <v/>
      </c>
      <c r="I50" s="112" t="str">
        <f t="shared" si="19"/>
        <v/>
      </c>
      <c r="J50" s="112" t="str">
        <f t="shared" si="19"/>
        <v/>
      </c>
      <c r="K50" s="112" t="str">
        <f t="shared" si="19"/>
        <v/>
      </c>
      <c r="L50" s="112" t="str">
        <f t="shared" si="19"/>
        <v/>
      </c>
      <c r="M50" s="29"/>
      <c r="N50" s="29"/>
    </row>
    <row r="51" spans="1:14" x14ac:dyDescent="0.35">
      <c r="A51" t="str">
        <f t="shared" si="16"/>
        <v xml:space="preserve">    To Shared, Reserve</v>
      </c>
      <c r="B51" s="139" t="s">
        <v>184</v>
      </c>
      <c r="C51" s="112" t="str">
        <f>IF(OR(C$26="",$A51=""),"",IF(C$47&gt;C43,C43,C47))</f>
        <v/>
      </c>
      <c r="D51" s="112" t="str">
        <f t="shared" ref="D51:L51" si="20">IF(OR(D$26="",$A51=""),"",IF(D$47&gt;D43,D43,D47))</f>
        <v/>
      </c>
      <c r="E51" s="112" t="str">
        <f t="shared" si="20"/>
        <v/>
      </c>
      <c r="F51" s="112" t="str">
        <f t="shared" si="20"/>
        <v/>
      </c>
      <c r="G51" s="112" t="str">
        <f t="shared" si="20"/>
        <v/>
      </c>
      <c r="H51" s="112" t="str">
        <f t="shared" si="20"/>
        <v/>
      </c>
      <c r="I51" s="112" t="str">
        <f t="shared" si="20"/>
        <v/>
      </c>
      <c r="J51" s="112" t="str">
        <f t="shared" si="20"/>
        <v/>
      </c>
      <c r="K51" s="112" t="str">
        <f t="shared" si="20"/>
        <v/>
      </c>
      <c r="L51" s="112" t="str">
        <f t="shared" si="20"/>
        <v/>
      </c>
      <c r="M51" s="29"/>
      <c r="N51" s="29"/>
    </row>
    <row r="52" spans="1:14" x14ac:dyDescent="0.35">
      <c r="A52" t="str">
        <f t="shared" si="16"/>
        <v/>
      </c>
      <c r="B52" s="139"/>
      <c r="C52" s="112"/>
      <c r="D52" s="112"/>
      <c r="E52" s="112"/>
      <c r="F52" s="112"/>
      <c r="G52" s="112"/>
      <c r="H52" s="112"/>
      <c r="I52" s="112"/>
      <c r="J52" s="112"/>
      <c r="K52" s="112"/>
      <c r="L52" s="112"/>
      <c r="M52" s="29"/>
      <c r="N52" s="29"/>
    </row>
    <row r="53" spans="1:14" x14ac:dyDescent="0.35">
      <c r="A53" t="str">
        <f t="shared" si="16"/>
        <v/>
      </c>
      <c r="B53" s="139"/>
      <c r="C53" s="113"/>
      <c r="D53" s="113"/>
      <c r="E53" s="113"/>
      <c r="F53" s="113"/>
      <c r="G53" s="113"/>
      <c r="H53" s="113"/>
      <c r="I53" s="113"/>
      <c r="J53" s="113"/>
      <c r="K53" s="113"/>
      <c r="L53" s="113"/>
      <c r="M53" s="29"/>
      <c r="N53" s="29"/>
    </row>
    <row r="54" spans="1:14" x14ac:dyDescent="0.35">
      <c r="C54" s="45"/>
      <c r="D54" s="45"/>
      <c r="E54" s="45"/>
      <c r="F54" s="45"/>
      <c r="G54" s="45"/>
    </row>
    <row r="55" spans="1:14" x14ac:dyDescent="0.35">
      <c r="A55" s="142" t="s">
        <v>181</v>
      </c>
      <c r="B55" s="142"/>
      <c r="C55" s="142"/>
      <c r="D55" s="142"/>
      <c r="E55" s="142"/>
      <c r="F55" s="142"/>
      <c r="G55" s="142"/>
      <c r="H55" s="142"/>
      <c r="I55" s="142"/>
      <c r="J55" s="142"/>
      <c r="K55" s="142"/>
      <c r="L55" s="142"/>
      <c r="M55" s="142"/>
      <c r="N55" s="142"/>
    </row>
    <row r="56" spans="1:14" x14ac:dyDescent="0.35">
      <c r="A56" s="143" t="str">
        <f>IF(A$5="[Unused]","",A5)</f>
        <v>Upper Basin</v>
      </c>
      <c r="B56" s="143"/>
      <c r="C56" s="143"/>
      <c r="D56" s="143"/>
      <c r="E56" s="143"/>
      <c r="F56" s="143"/>
      <c r="G56" s="143"/>
      <c r="H56" s="143"/>
      <c r="I56" s="143"/>
      <c r="J56" s="143"/>
      <c r="K56" s="143"/>
      <c r="L56" s="143"/>
      <c r="M56" s="144" t="s">
        <v>107</v>
      </c>
      <c r="N56" s="143" t="s">
        <v>172</v>
      </c>
    </row>
    <row r="57" spans="1:14" x14ac:dyDescent="0.35">
      <c r="A57" s="32" t="str">
        <f>IF(A56="[Unused]","","   Volume of Sales(+) and Purchases(-) [maf]")</f>
        <v xml:space="preserve">   Volume of Sales(+) and Purchases(-) [maf]</v>
      </c>
      <c r="C57" s="134"/>
      <c r="D57" s="134"/>
      <c r="E57" s="134"/>
      <c r="F57" s="134"/>
      <c r="G57" s="134"/>
      <c r="H57" s="134"/>
      <c r="I57" s="134"/>
      <c r="J57" s="134"/>
      <c r="K57" s="134"/>
      <c r="L57" s="134"/>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35"/>
      <c r="D58" s="135"/>
      <c r="E58" s="135"/>
      <c r="F58" s="134"/>
      <c r="G58" s="135"/>
      <c r="H58" s="135"/>
      <c r="I58" s="135"/>
      <c r="J58" s="135"/>
      <c r="K58" s="135"/>
      <c r="L58" s="135"/>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t="str">
        <f t="shared" ref="C59:M59" si="21">IF(OR(C$26="",$A59=""),"",C$112)</f>
        <v/>
      </c>
      <c r="D59" s="67" t="str">
        <f t="shared" si="21"/>
        <v/>
      </c>
      <c r="E59" s="67" t="str">
        <f t="shared" si="21"/>
        <v/>
      </c>
      <c r="F59" s="67" t="str">
        <f t="shared" si="21"/>
        <v/>
      </c>
      <c r="G59" s="67" t="str">
        <f t="shared" si="21"/>
        <v/>
      </c>
      <c r="H59" s="67" t="str">
        <f t="shared" si="21"/>
        <v/>
      </c>
      <c r="I59" s="67" t="str">
        <f t="shared" si="21"/>
        <v/>
      </c>
      <c r="J59" s="67" t="str">
        <f t="shared" si="21"/>
        <v/>
      </c>
      <c r="K59" s="67" t="str">
        <f t="shared" si="21"/>
        <v/>
      </c>
      <c r="L59" s="67" t="str">
        <f t="shared" si="21"/>
        <v/>
      </c>
      <c r="M59" t="str">
        <f t="shared" si="21"/>
        <v/>
      </c>
      <c r="N59" t="str">
        <f>IF(A59="","","If non-zero, players need to change amount(s)")</f>
        <v>If non-zero, players need to change amount(s)</v>
      </c>
    </row>
    <row r="60" spans="1:14" x14ac:dyDescent="0.35">
      <c r="A60" s="1" t="str">
        <f>IF(A58="","","   Available Water [maf]")</f>
        <v xml:space="preserve">   Available Water [maf]</v>
      </c>
      <c r="C60" s="14" t="str">
        <f>IF(OR(C$26="",$A60=""),"",C30+C48-C40-C57)</f>
        <v/>
      </c>
      <c r="D60" s="14" t="str">
        <f t="shared" ref="D60:L60" si="22">IF(OR(D$26="",$A60=""),"",D30+D48-D40-D57)</f>
        <v/>
      </c>
      <c r="E60" s="14" t="str">
        <f t="shared" si="22"/>
        <v/>
      </c>
      <c r="F60" s="14" t="str">
        <f t="shared" si="22"/>
        <v/>
      </c>
      <c r="G60" s="14" t="str">
        <f t="shared" si="22"/>
        <v/>
      </c>
      <c r="H60" s="14" t="str">
        <f t="shared" si="22"/>
        <v/>
      </c>
      <c r="I60" s="14" t="str">
        <f t="shared" si="22"/>
        <v/>
      </c>
      <c r="J60" s="14" t="str">
        <f t="shared" si="22"/>
        <v/>
      </c>
      <c r="K60" s="14" t="str">
        <f t="shared" si="22"/>
        <v/>
      </c>
      <c r="L60" s="14" t="str">
        <f t="shared" si="22"/>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36"/>
      <c r="D61" s="136"/>
      <c r="E61" s="136"/>
      <c r="F61" s="136"/>
      <c r="G61" s="136"/>
      <c r="H61" s="136"/>
      <c r="I61" s="136"/>
      <c r="J61" s="136"/>
      <c r="K61" s="136"/>
      <c r="L61" s="136"/>
      <c r="N61" t="str">
        <f>IF(A61="","","Must be less than Available water")</f>
        <v>Must be less than Available water</v>
      </c>
    </row>
    <row r="62" spans="1:14" x14ac:dyDescent="0.35">
      <c r="A62" s="32" t="str">
        <f>IF(A61="","","   End of Year Balance [maf]")</f>
        <v xml:space="preserve">   End of Year Balance [maf]</v>
      </c>
      <c r="C62" s="66" t="str">
        <f>IF(OR(C$26="",$A62=""),"",C60-C61)</f>
        <v/>
      </c>
      <c r="D62" s="66" t="str">
        <f t="shared" ref="D62:L62" si="23">IF(OR(D$26="",$A62=""),"",D60-D61)</f>
        <v/>
      </c>
      <c r="E62" s="66" t="str">
        <f t="shared" si="23"/>
        <v/>
      </c>
      <c r="F62" s="66" t="str">
        <f t="shared" si="23"/>
        <v/>
      </c>
      <c r="G62" s="66" t="str">
        <f t="shared" si="23"/>
        <v/>
      </c>
      <c r="H62" s="66" t="str">
        <f t="shared" si="23"/>
        <v/>
      </c>
      <c r="I62" s="66" t="str">
        <f t="shared" si="23"/>
        <v/>
      </c>
      <c r="J62" s="66" t="str">
        <f t="shared" si="23"/>
        <v/>
      </c>
      <c r="K62" s="66" t="str">
        <f t="shared" si="23"/>
        <v/>
      </c>
      <c r="L62" s="66" t="str">
        <f t="shared" si="23"/>
        <v/>
      </c>
      <c r="N62" t="str">
        <f>IF(A62="","","Available water - Account Withdraw")</f>
        <v>Available water - Account Withdraw</v>
      </c>
    </row>
    <row r="63" spans="1:14" x14ac:dyDescent="0.35">
      <c r="C63"/>
    </row>
    <row r="64" spans="1:14" x14ac:dyDescent="0.35">
      <c r="A64" s="143" t="str">
        <f>IF(A$6="","[Unused]",A6)</f>
        <v>Lower Basin</v>
      </c>
      <c r="B64" s="143"/>
      <c r="C64" s="143"/>
      <c r="D64" s="143"/>
      <c r="E64" s="143"/>
      <c r="F64" s="143"/>
      <c r="G64" s="143"/>
      <c r="H64" s="143"/>
      <c r="I64" s="143"/>
      <c r="J64" s="143"/>
      <c r="K64" s="143"/>
      <c r="L64" s="143"/>
      <c r="M64" s="144" t="s">
        <v>107</v>
      </c>
      <c r="N64" s="143" t="s">
        <v>172</v>
      </c>
    </row>
    <row r="65" spans="1:14" x14ac:dyDescent="0.35">
      <c r="A65" s="32" t="str">
        <f>IF(A64="[Unused]","","   Volume of Sales(+) and Purchases(-) [maf]")</f>
        <v xml:space="preserve">   Volume of Sales(+) and Purchases(-) [maf]</v>
      </c>
      <c r="C65" s="134"/>
      <c r="D65" s="134"/>
      <c r="E65" s="134"/>
      <c r="F65" s="134"/>
      <c r="G65" s="134"/>
      <c r="H65" s="134"/>
      <c r="I65" s="134"/>
      <c r="J65" s="134"/>
      <c r="K65" s="134"/>
      <c r="L65" s="134"/>
      <c r="M65" s="67">
        <f>SUM(C65:L65)</f>
        <v>0</v>
      </c>
      <c r="N65" t="str">
        <f>IF(A65="","",N57)</f>
        <v>Add if multiple transactions, e.g.: 0.5 + 0.25</v>
      </c>
    </row>
    <row r="66" spans="1:14" x14ac:dyDescent="0.35">
      <c r="A66" s="32" t="str">
        <f>IF(A65="","","   Cash Intake(+) and Payments(-) [$ Mill]")</f>
        <v xml:space="preserve">   Cash Intake(+) and Payments(-) [$ Mill]</v>
      </c>
      <c r="C66" s="135"/>
      <c r="D66" s="135"/>
      <c r="E66" s="135"/>
      <c r="F66" s="135"/>
      <c r="G66" s="135"/>
      <c r="H66" s="135"/>
      <c r="I66" s="135"/>
      <c r="J66" s="135"/>
      <c r="K66" s="135"/>
      <c r="L66" s="135"/>
      <c r="M66" s="65">
        <f>SUM(C66:L66)</f>
        <v>0</v>
      </c>
      <c r="N66" t="str">
        <f t="shared" ref="N66:N70" si="24">IF(A66="","",N58)</f>
        <v>Add if multiple transactions, e.g.: $350*0.5 + $450*0.25</v>
      </c>
    </row>
    <row r="67" spans="1:14" x14ac:dyDescent="0.35">
      <c r="A67" s="32" t="str">
        <f>IF(A66="","","   Volume all players (should be zero)")</f>
        <v xml:space="preserve">   Volume all players (should be zero)</v>
      </c>
      <c r="C67" s="67" t="str">
        <f t="shared" ref="C67:M67" si="25">IF(OR(C$26="",$A67=""),"",C$112)</f>
        <v/>
      </c>
      <c r="D67" s="67" t="str">
        <f t="shared" si="25"/>
        <v/>
      </c>
      <c r="E67" s="67" t="str">
        <f t="shared" si="25"/>
        <v/>
      </c>
      <c r="F67" s="67" t="str">
        <f t="shared" si="25"/>
        <v/>
      </c>
      <c r="G67" s="67" t="str">
        <f t="shared" si="25"/>
        <v/>
      </c>
      <c r="H67" s="67" t="str">
        <f t="shared" si="25"/>
        <v/>
      </c>
      <c r="I67" s="67" t="str">
        <f t="shared" si="25"/>
        <v/>
      </c>
      <c r="J67" s="67" t="str">
        <f t="shared" si="25"/>
        <v/>
      </c>
      <c r="K67" s="67" t="str">
        <f t="shared" si="25"/>
        <v/>
      </c>
      <c r="L67" s="67" t="str">
        <f t="shared" si="25"/>
        <v/>
      </c>
      <c r="M67" t="str">
        <f t="shared" si="25"/>
        <v/>
      </c>
      <c r="N67" t="str">
        <f t="shared" si="24"/>
        <v>If non-zero, players need to change amount(s)</v>
      </c>
    </row>
    <row r="68" spans="1:14" x14ac:dyDescent="0.35">
      <c r="A68" s="1" t="str">
        <f>IF(A66="","","   Available Water [maf]")</f>
        <v xml:space="preserve">   Available Water [maf]</v>
      </c>
      <c r="C68" s="14" t="str">
        <f t="shared" ref="C68:L68" si="26">IF(OR(C$26="",$A68=""),"",C31+C49-C41-C65)</f>
        <v/>
      </c>
      <c r="D68" s="14" t="str">
        <f t="shared" si="26"/>
        <v/>
      </c>
      <c r="E68" s="14" t="str">
        <f t="shared" si="26"/>
        <v/>
      </c>
      <c r="F68" s="14" t="str">
        <f t="shared" si="26"/>
        <v/>
      </c>
      <c r="G68" s="14" t="str">
        <f t="shared" si="26"/>
        <v/>
      </c>
      <c r="H68" s="14" t="str">
        <f t="shared" si="26"/>
        <v/>
      </c>
      <c r="I68" s="14" t="str">
        <f t="shared" si="26"/>
        <v/>
      </c>
      <c r="J68" s="14" t="str">
        <f t="shared" si="26"/>
        <v/>
      </c>
      <c r="K68" s="14" t="str">
        <f t="shared" si="26"/>
        <v/>
      </c>
      <c r="L68" s="14" t="str">
        <f t="shared" si="26"/>
        <v/>
      </c>
      <c r="N68" t="str">
        <f t="shared" si="24"/>
        <v>Available water = Account Balance + Available Inflow - Evaporation + Sales - Purchases</v>
      </c>
    </row>
    <row r="69" spans="1:14" x14ac:dyDescent="0.35">
      <c r="A69" s="1" t="str">
        <f>IF(A68="","","   Account Withdraw [maf]")</f>
        <v xml:space="preserve">   Account Withdraw [maf]</v>
      </c>
      <c r="C69" s="136"/>
      <c r="D69" s="136"/>
      <c r="E69" s="136"/>
      <c r="F69" s="136"/>
      <c r="G69" s="136"/>
      <c r="H69" s="136"/>
      <c r="I69" s="136"/>
      <c r="J69" s="136"/>
      <c r="K69" s="136"/>
      <c r="L69" s="136"/>
      <c r="N69" t="str">
        <f t="shared" si="24"/>
        <v>Must be less than Available water</v>
      </c>
    </row>
    <row r="70" spans="1:14" x14ac:dyDescent="0.35">
      <c r="A70" s="32" t="str">
        <f>IF(A69="","","   End of Year Balance [maf]")</f>
        <v xml:space="preserve">   End of Year Balance [maf]</v>
      </c>
      <c r="C70" s="66" t="str">
        <f>IF(OR(C$26="",$A70=""),"",C68-C69)</f>
        <v/>
      </c>
      <c r="D70" s="66" t="str">
        <f t="shared" ref="D70:L70" si="27">IF(OR(D$26="",$A70=""),"",D68-D69)</f>
        <v/>
      </c>
      <c r="E70" s="66" t="str">
        <f t="shared" si="27"/>
        <v/>
      </c>
      <c r="F70" s="66" t="str">
        <f t="shared" si="27"/>
        <v/>
      </c>
      <c r="G70" s="66" t="str">
        <f t="shared" si="27"/>
        <v/>
      </c>
      <c r="H70" s="66" t="str">
        <f t="shared" si="27"/>
        <v/>
      </c>
      <c r="I70" s="66" t="str">
        <f t="shared" si="27"/>
        <v/>
      </c>
      <c r="J70" s="66" t="str">
        <f t="shared" si="27"/>
        <v/>
      </c>
      <c r="K70" s="66" t="str">
        <f t="shared" si="27"/>
        <v/>
      </c>
      <c r="L70" s="66" t="str">
        <f t="shared" si="27"/>
        <v/>
      </c>
      <c r="N70" t="str">
        <f t="shared" si="24"/>
        <v>Available water - Account Withdraw</v>
      </c>
    </row>
    <row r="71" spans="1:14" x14ac:dyDescent="0.35">
      <c r="C71"/>
    </row>
    <row r="72" spans="1:14" x14ac:dyDescent="0.35">
      <c r="A72" s="143" t="str">
        <f>IF(A$7="","[Unused]",A7)</f>
        <v>Mexico</v>
      </c>
      <c r="B72" s="143"/>
      <c r="C72" s="143"/>
      <c r="D72" s="143"/>
      <c r="E72" s="143"/>
      <c r="F72" s="143"/>
      <c r="G72" s="143"/>
      <c r="H72" s="143"/>
      <c r="I72" s="143"/>
      <c r="J72" s="143"/>
      <c r="K72" s="143"/>
      <c r="L72" s="143"/>
      <c r="M72" s="144" t="s">
        <v>107</v>
      </c>
      <c r="N72" s="143" t="s">
        <v>172</v>
      </c>
    </row>
    <row r="73" spans="1:14" x14ac:dyDescent="0.35">
      <c r="A73" s="32" t="str">
        <f>IF(A72="[Unused]","","   Volume of Sales(+) and Purchases(-) [maf]")</f>
        <v xml:space="preserve">   Volume of Sales(+) and Purchases(-) [maf]</v>
      </c>
      <c r="C73" s="134"/>
      <c r="D73" s="134"/>
      <c r="E73" s="134"/>
      <c r="F73" s="134"/>
      <c r="G73" s="134"/>
      <c r="H73" s="134"/>
      <c r="I73" s="134"/>
      <c r="J73" s="134"/>
      <c r="K73" s="134"/>
      <c r="L73" s="134"/>
      <c r="M73" s="67">
        <f>SUM(C73:L73)</f>
        <v>0</v>
      </c>
      <c r="N73" t="str">
        <f>IF(A73="","",N65)</f>
        <v>Add if multiple transactions, e.g.: 0.5 + 0.25</v>
      </c>
    </row>
    <row r="74" spans="1:14" x14ac:dyDescent="0.35">
      <c r="A74" s="32" t="str">
        <f>IF(A73="","","   Cash Intake(+) and Payments(-) [$ Mill]")</f>
        <v xml:space="preserve">   Cash Intake(+) and Payments(-) [$ Mill]</v>
      </c>
      <c r="C74" s="135"/>
      <c r="D74" s="135"/>
      <c r="E74" s="135"/>
      <c r="F74" s="135"/>
      <c r="G74" s="135"/>
      <c r="H74" s="135"/>
      <c r="I74" s="135"/>
      <c r="J74" s="135"/>
      <c r="K74" s="135"/>
      <c r="L74" s="135"/>
      <c r="M74" s="65">
        <f>SUM(C74:L74)</f>
        <v>0</v>
      </c>
      <c r="N74" t="str">
        <f t="shared" ref="N74:N78" si="28">IF(A74="","",N66)</f>
        <v>Add if multiple transactions, e.g.: $350*0.5 + $450*0.25</v>
      </c>
    </row>
    <row r="75" spans="1:14" x14ac:dyDescent="0.35">
      <c r="A75" s="32" t="str">
        <f>IF(A74="","","   Volume all players (should be zero)")</f>
        <v xml:space="preserve">   Volume all players (should be zero)</v>
      </c>
      <c r="C75" s="67" t="str">
        <f t="shared" ref="C75:M75" si="29">IF(OR(C$26="",$A75=""),"",C$112)</f>
        <v/>
      </c>
      <c r="D75" s="67" t="str">
        <f t="shared" si="29"/>
        <v/>
      </c>
      <c r="E75" s="67" t="str">
        <f t="shared" si="29"/>
        <v/>
      </c>
      <c r="F75" s="67" t="str">
        <f t="shared" si="29"/>
        <v/>
      </c>
      <c r="G75" s="67" t="str">
        <f t="shared" si="29"/>
        <v/>
      </c>
      <c r="H75" s="67" t="str">
        <f t="shared" si="29"/>
        <v/>
      </c>
      <c r="I75" s="67" t="str">
        <f t="shared" si="29"/>
        <v/>
      </c>
      <c r="J75" s="67" t="str">
        <f t="shared" si="29"/>
        <v/>
      </c>
      <c r="K75" s="67" t="str">
        <f t="shared" si="29"/>
        <v/>
      </c>
      <c r="L75" s="67" t="str">
        <f t="shared" si="29"/>
        <v/>
      </c>
      <c r="M75" t="str">
        <f t="shared" si="29"/>
        <v/>
      </c>
      <c r="N75" t="str">
        <f t="shared" si="28"/>
        <v>If non-zero, players need to change amount(s)</v>
      </c>
    </row>
    <row r="76" spans="1:14" x14ac:dyDescent="0.35">
      <c r="A76" s="1" t="str">
        <f>IF(A74="","","   Available Water [maf]")</f>
        <v xml:space="preserve">   Available Water [maf]</v>
      </c>
      <c r="C76" s="14" t="str">
        <f t="shared" ref="C76:L76" si="30">IF(OR(C$26="",$A76=""),"",C32+C50-C42-C73)</f>
        <v/>
      </c>
      <c r="D76" s="14" t="str">
        <f t="shared" si="30"/>
        <v/>
      </c>
      <c r="E76" s="14" t="str">
        <f t="shared" si="30"/>
        <v/>
      </c>
      <c r="F76" s="14" t="str">
        <f>IF(OR(F$26="",$A76=""),"",F32+F50-F42-F73)</f>
        <v/>
      </c>
      <c r="G76" s="14" t="str">
        <f t="shared" si="30"/>
        <v/>
      </c>
      <c r="H76" s="14" t="str">
        <f t="shared" si="30"/>
        <v/>
      </c>
      <c r="I76" s="14" t="str">
        <f t="shared" si="30"/>
        <v/>
      </c>
      <c r="J76" s="14" t="str">
        <f t="shared" si="30"/>
        <v/>
      </c>
      <c r="K76" s="14" t="str">
        <f t="shared" si="30"/>
        <v/>
      </c>
      <c r="L76" s="14" t="str">
        <f t="shared" si="30"/>
        <v/>
      </c>
      <c r="N76" t="str">
        <f t="shared" si="28"/>
        <v>Available water = Account Balance + Available Inflow - Evaporation + Sales - Purchases</v>
      </c>
    </row>
    <row r="77" spans="1:14" x14ac:dyDescent="0.35">
      <c r="A77" s="1" t="str">
        <f>IF(A76="","","   Account Withdraw [maf]")</f>
        <v xml:space="preserve">   Account Withdraw [maf]</v>
      </c>
      <c r="C77" s="136"/>
      <c r="D77" s="136"/>
      <c r="E77" s="136"/>
      <c r="F77" s="136"/>
      <c r="G77" s="136"/>
      <c r="H77" s="136"/>
      <c r="I77" s="136"/>
      <c r="J77" s="136"/>
      <c r="K77" s="136"/>
      <c r="L77" s="136"/>
      <c r="N77" t="str">
        <f t="shared" si="28"/>
        <v>Must be less than Available water</v>
      </c>
    </row>
    <row r="78" spans="1:14" x14ac:dyDescent="0.35">
      <c r="A78" s="32" t="str">
        <f>IF(A77="","","   End of Year Balance [maf]")</f>
        <v xml:space="preserve">   End of Year Balance [maf]</v>
      </c>
      <c r="C78" s="66" t="str">
        <f>IF(OR(C$26="",$A78=""),"",C76-C77)</f>
        <v/>
      </c>
      <c r="D78" s="66" t="str">
        <f t="shared" ref="D78:L78" si="31">IF(OR(D$26="",$A78=""),"",D76-D77)</f>
        <v/>
      </c>
      <c r="E78" s="66" t="str">
        <f t="shared" si="31"/>
        <v/>
      </c>
      <c r="F78" s="66" t="str">
        <f t="shared" si="31"/>
        <v/>
      </c>
      <c r="G78" s="66" t="str">
        <f t="shared" si="31"/>
        <v/>
      </c>
      <c r="H78" s="66" t="str">
        <f t="shared" si="31"/>
        <v/>
      </c>
      <c r="I78" s="66" t="str">
        <f t="shared" si="31"/>
        <v/>
      </c>
      <c r="J78" s="66" t="str">
        <f t="shared" si="31"/>
        <v/>
      </c>
      <c r="K78" s="66" t="str">
        <f t="shared" si="31"/>
        <v/>
      </c>
      <c r="L78" s="66" t="str">
        <f t="shared" si="31"/>
        <v/>
      </c>
      <c r="N78" t="str">
        <f t="shared" si="28"/>
        <v>Available water - Account Withdraw</v>
      </c>
    </row>
    <row r="79" spans="1:14" x14ac:dyDescent="0.35">
      <c r="C79"/>
    </row>
    <row r="80" spans="1:14" x14ac:dyDescent="0.35">
      <c r="A80" s="143" t="str">
        <f>IF(A$8="","[Unused]",A8)</f>
        <v>Shared, Reserve</v>
      </c>
      <c r="B80" s="143"/>
      <c r="C80" s="143"/>
      <c r="D80" s="143"/>
      <c r="E80" s="143"/>
      <c r="F80" s="143"/>
      <c r="G80" s="143"/>
      <c r="H80" s="143"/>
      <c r="I80" s="143"/>
      <c r="J80" s="143"/>
      <c r="K80" s="143"/>
      <c r="L80" s="143"/>
      <c r="M80" s="144" t="s">
        <v>107</v>
      </c>
      <c r="N80" s="143" t="s">
        <v>172</v>
      </c>
    </row>
    <row r="81" spans="1:14" x14ac:dyDescent="0.35">
      <c r="A81" s="32" t="str">
        <f>IF(A80="[Unused]","","   Volume of Sales(+) and Purchases(-) [maf]")</f>
        <v xml:space="preserve">   Volume of Sales(+) and Purchases(-) [maf]</v>
      </c>
      <c r="C81" s="134"/>
      <c r="D81" s="134"/>
      <c r="E81" s="134"/>
      <c r="F81" s="134"/>
      <c r="G81" s="134"/>
      <c r="H81" s="134"/>
      <c r="I81" s="134"/>
      <c r="J81" s="134"/>
      <c r="K81" s="134"/>
      <c r="L81" s="134"/>
      <c r="M81" s="67">
        <f>SUM(C81:L81)</f>
        <v>0</v>
      </c>
      <c r="N81" t="str">
        <f>IF(A81="","",N73)</f>
        <v>Add if multiple transactions, e.g.: 0.5 + 0.25</v>
      </c>
    </row>
    <row r="82" spans="1:14" x14ac:dyDescent="0.35">
      <c r="A82" s="32" t="str">
        <f>IF(A81="","","   Cash Intake(+) and Payments(-) [$ Mill]")</f>
        <v xml:space="preserve">   Cash Intake(+) and Payments(-) [$ Mill]</v>
      </c>
      <c r="C82" s="135"/>
      <c r="D82" s="135"/>
      <c r="E82" s="135"/>
      <c r="F82" s="135"/>
      <c r="G82" s="135"/>
      <c r="H82" s="135"/>
      <c r="I82" s="135"/>
      <c r="J82" s="135"/>
      <c r="K82" s="135"/>
      <c r="L82" s="135"/>
      <c r="M82" s="65">
        <f>SUM(C82:L82)</f>
        <v>0</v>
      </c>
      <c r="N82" t="str">
        <f t="shared" ref="N82:N86" si="32">IF(A82="","",N74)</f>
        <v>Add if multiple transactions, e.g.: $350*0.5 + $450*0.25</v>
      </c>
    </row>
    <row r="83" spans="1:14" x14ac:dyDescent="0.35">
      <c r="A83" s="32" t="str">
        <f>IF(A82="","","   Volume all players (should be zero)")</f>
        <v xml:space="preserve">   Volume all players (should be zero)</v>
      </c>
      <c r="C83" s="67" t="str">
        <f t="shared" ref="C83:M83" si="33">IF(OR(C$26="",$A83=""),"",C$112)</f>
        <v/>
      </c>
      <c r="D83" s="67" t="str">
        <f t="shared" si="33"/>
        <v/>
      </c>
      <c r="E83" s="67" t="str">
        <f t="shared" si="33"/>
        <v/>
      </c>
      <c r="F83" s="67" t="str">
        <f t="shared" si="33"/>
        <v/>
      </c>
      <c r="G83" s="67" t="str">
        <f t="shared" si="33"/>
        <v/>
      </c>
      <c r="H83" s="67" t="str">
        <f t="shared" si="33"/>
        <v/>
      </c>
      <c r="I83" s="67" t="str">
        <f t="shared" si="33"/>
        <v/>
      </c>
      <c r="J83" s="67" t="str">
        <f t="shared" si="33"/>
        <v/>
      </c>
      <c r="K83" s="67" t="str">
        <f t="shared" si="33"/>
        <v/>
      </c>
      <c r="L83" s="67" t="str">
        <f t="shared" si="33"/>
        <v/>
      </c>
      <c r="M83" t="str">
        <f t="shared" si="33"/>
        <v/>
      </c>
      <c r="N83" t="str">
        <f t="shared" si="32"/>
        <v>If non-zero, players need to change amount(s)</v>
      </c>
    </row>
    <row r="84" spans="1:14" x14ac:dyDescent="0.35">
      <c r="A84" s="1" t="str">
        <f>IF(A82="","","   Available Water [maf]")</f>
        <v xml:space="preserve">   Available Water [maf]</v>
      </c>
      <c r="C84" s="14" t="str">
        <f t="shared" ref="C84:L84" si="34">IF(OR(C$26="",$A84=""),"",C33+C51-C43-C81)</f>
        <v/>
      </c>
      <c r="D84" s="14" t="str">
        <f t="shared" si="34"/>
        <v/>
      </c>
      <c r="E84" s="14" t="str">
        <f t="shared" si="34"/>
        <v/>
      </c>
      <c r="F84" s="14" t="str">
        <f t="shared" si="34"/>
        <v/>
      </c>
      <c r="G84" s="14" t="str">
        <f t="shared" si="34"/>
        <v/>
      </c>
      <c r="H84" s="14" t="str">
        <f t="shared" si="34"/>
        <v/>
      </c>
      <c r="I84" s="14" t="str">
        <f t="shared" si="34"/>
        <v/>
      </c>
      <c r="J84" s="14" t="str">
        <f t="shared" si="34"/>
        <v/>
      </c>
      <c r="K84" s="14" t="str">
        <f t="shared" si="34"/>
        <v/>
      </c>
      <c r="L84" s="14" t="str">
        <f t="shared" si="34"/>
        <v/>
      </c>
      <c r="N84" t="str">
        <f t="shared" si="32"/>
        <v>Available water = Account Balance + Available Inflow - Evaporation + Sales - Purchases</v>
      </c>
    </row>
    <row r="85" spans="1:14" x14ac:dyDescent="0.35">
      <c r="A85" s="1" t="str">
        <f>IF(A84="","","   Account Withdraw [maf]")</f>
        <v xml:space="preserve">   Account Withdraw [maf]</v>
      </c>
      <c r="C85" s="136"/>
      <c r="D85" s="136"/>
      <c r="E85" s="136"/>
      <c r="F85" s="136"/>
      <c r="G85" s="136"/>
      <c r="H85" s="136"/>
      <c r="I85" s="136"/>
      <c r="J85" s="136"/>
      <c r="K85" s="136"/>
      <c r="L85" s="136"/>
      <c r="N85" t="str">
        <f t="shared" si="32"/>
        <v>Must be less than Available water</v>
      </c>
    </row>
    <row r="86" spans="1:14" x14ac:dyDescent="0.35">
      <c r="A86" s="32" t="str">
        <f>IF(A85="","","   End of Year Balance [maf]")</f>
        <v xml:space="preserve">   End of Year Balance [maf]</v>
      </c>
      <c r="C86" s="66" t="str">
        <f>IF(OR(C$26="",$A86=""),"",C84-C85)</f>
        <v/>
      </c>
      <c r="D86" s="66" t="str">
        <f t="shared" ref="D86:L86" si="35">IF(OR(D$26="",$A86=""),"",D84-D85)</f>
        <v/>
      </c>
      <c r="E86" s="66" t="str">
        <f t="shared" si="35"/>
        <v/>
      </c>
      <c r="F86" s="66" t="str">
        <f t="shared" si="35"/>
        <v/>
      </c>
      <c r="G86" s="66" t="str">
        <f t="shared" si="35"/>
        <v/>
      </c>
      <c r="H86" s="66" t="str">
        <f t="shared" si="35"/>
        <v/>
      </c>
      <c r="I86" s="66" t="str">
        <f t="shared" si="35"/>
        <v/>
      </c>
      <c r="J86" s="66" t="str">
        <f t="shared" si="35"/>
        <v/>
      </c>
      <c r="K86" s="66" t="str">
        <f t="shared" si="35"/>
        <v/>
      </c>
      <c r="L86" s="66" t="str">
        <f t="shared" si="35"/>
        <v/>
      </c>
      <c r="N86" t="str">
        <f t="shared" si="32"/>
        <v>Available water - Account Withdraw</v>
      </c>
    </row>
    <row r="87" spans="1:14" x14ac:dyDescent="0.35">
      <c r="C87"/>
    </row>
    <row r="88" spans="1:14" x14ac:dyDescent="0.35">
      <c r="A88" s="143" t="str">
        <f>IF(A$9="","[Unused]",A9)</f>
        <v>[Unused]</v>
      </c>
      <c r="B88" s="143"/>
      <c r="C88" s="143"/>
      <c r="D88" s="143"/>
      <c r="E88" s="143"/>
      <c r="F88" s="143"/>
      <c r="G88" s="143"/>
      <c r="H88" s="143"/>
      <c r="I88" s="143"/>
      <c r="J88" s="143"/>
      <c r="K88" s="143"/>
      <c r="L88" s="143"/>
      <c r="M88" s="144" t="s">
        <v>107</v>
      </c>
      <c r="N88" s="143" t="s">
        <v>172</v>
      </c>
    </row>
    <row r="89" spans="1:14" x14ac:dyDescent="0.35">
      <c r="A89" s="32" t="str">
        <f>IF(A88="[Unused]","","   Volume of Sales(+) and Purchases(-) [maf]")</f>
        <v/>
      </c>
      <c r="C89" s="134"/>
      <c r="D89" s="134"/>
      <c r="E89" s="134"/>
      <c r="F89" s="134"/>
      <c r="G89" s="134"/>
      <c r="H89" s="134"/>
      <c r="I89" s="134"/>
      <c r="J89" s="134"/>
      <c r="K89" s="134"/>
      <c r="L89" s="134"/>
      <c r="M89" s="67">
        <f>SUM(C89:L89)</f>
        <v>0</v>
      </c>
      <c r="N89" t="str">
        <f>IF(A89="","",N81)</f>
        <v/>
      </c>
    </row>
    <row r="90" spans="1:14" x14ac:dyDescent="0.35">
      <c r="A90" s="32" t="str">
        <f>IF(A89="","","   Cash Intake(+) and Payments(-) [$ Mill]")</f>
        <v/>
      </c>
      <c r="C90" s="135"/>
      <c r="D90" s="135"/>
      <c r="E90" s="135"/>
      <c r="F90" s="135"/>
      <c r="G90" s="135"/>
      <c r="H90" s="135"/>
      <c r="I90" s="135"/>
      <c r="J90" s="135"/>
      <c r="K90" s="135"/>
      <c r="L90" s="135"/>
      <c r="M90" s="65">
        <f>SUM(C90:L90)</f>
        <v>0</v>
      </c>
      <c r="N90" t="str">
        <f t="shared" ref="N90:N94" si="36">IF(A90="","",N82)</f>
        <v/>
      </c>
    </row>
    <row r="91" spans="1:14" x14ac:dyDescent="0.35">
      <c r="A91" s="32" t="str">
        <f>IF(A90="","","   Volume all players (should be zero)")</f>
        <v/>
      </c>
      <c r="C91" s="67" t="str">
        <f t="shared" ref="C91:M91" si="37">IF(OR(C$26="",$A91=""),"",C$112)</f>
        <v/>
      </c>
      <c r="D91" s="67" t="str">
        <f t="shared" si="37"/>
        <v/>
      </c>
      <c r="E91" s="67" t="str">
        <f t="shared" si="37"/>
        <v/>
      </c>
      <c r="F91" s="67" t="str">
        <f t="shared" si="37"/>
        <v/>
      </c>
      <c r="G91" s="67" t="str">
        <f t="shared" si="37"/>
        <v/>
      </c>
      <c r="H91" s="67" t="str">
        <f t="shared" si="37"/>
        <v/>
      </c>
      <c r="I91" s="67" t="str">
        <f t="shared" si="37"/>
        <v/>
      </c>
      <c r="J91" s="67" t="str">
        <f t="shared" si="37"/>
        <v/>
      </c>
      <c r="K91" s="67" t="str">
        <f t="shared" si="37"/>
        <v/>
      </c>
      <c r="L91" s="67" t="str">
        <f t="shared" si="37"/>
        <v/>
      </c>
      <c r="M91" t="str">
        <f t="shared" si="37"/>
        <v/>
      </c>
      <c r="N91" t="str">
        <f t="shared" si="36"/>
        <v/>
      </c>
    </row>
    <row r="92" spans="1:14" x14ac:dyDescent="0.35">
      <c r="A92" s="1" t="str">
        <f>IF(A90="","","   Available Water [maf]")</f>
        <v/>
      </c>
      <c r="C92" s="14" t="str">
        <f t="shared" ref="C92:L92" si="38">IF(OR(C$26="",$A92=""),"",C34+C52-C44-C89)</f>
        <v/>
      </c>
      <c r="D92" s="14" t="str">
        <f t="shared" si="38"/>
        <v/>
      </c>
      <c r="E92" s="14" t="str">
        <f t="shared" si="38"/>
        <v/>
      </c>
      <c r="F92" s="14" t="str">
        <f t="shared" si="38"/>
        <v/>
      </c>
      <c r="G92" s="14" t="str">
        <f t="shared" si="38"/>
        <v/>
      </c>
      <c r="H92" s="14" t="str">
        <f t="shared" si="38"/>
        <v/>
      </c>
      <c r="I92" s="14" t="str">
        <f t="shared" si="38"/>
        <v/>
      </c>
      <c r="J92" s="14" t="str">
        <f t="shared" si="38"/>
        <v/>
      </c>
      <c r="K92" s="14" t="str">
        <f t="shared" si="38"/>
        <v/>
      </c>
      <c r="L92" s="14" t="str">
        <f t="shared" si="38"/>
        <v/>
      </c>
      <c r="N92" t="str">
        <f t="shared" si="36"/>
        <v/>
      </c>
    </row>
    <row r="93" spans="1:14" x14ac:dyDescent="0.35">
      <c r="A93" s="1" t="str">
        <f>IF(A92="","","   Account Withdraw [maf]")</f>
        <v/>
      </c>
      <c r="C93" s="136"/>
      <c r="D93" s="136"/>
      <c r="E93" s="136"/>
      <c r="F93" s="136"/>
      <c r="G93" s="136"/>
      <c r="H93" s="136"/>
      <c r="I93" s="136"/>
      <c r="J93" s="136"/>
      <c r="K93" s="136"/>
      <c r="L93" s="136"/>
      <c r="N93" t="str">
        <f t="shared" si="36"/>
        <v/>
      </c>
    </row>
    <row r="94" spans="1:14" x14ac:dyDescent="0.35">
      <c r="A94" s="32" t="str">
        <f>IF(A93="","","   End of Year Balance [maf]")</f>
        <v/>
      </c>
      <c r="C94" s="66" t="str">
        <f>IF(OR(C$26="",$A94=""),"",C92-C93)</f>
        <v/>
      </c>
      <c r="D94" s="66" t="str">
        <f t="shared" ref="D94:L94" si="39">IF(OR(D$26="",$A94=""),"",D92-D93)</f>
        <v/>
      </c>
      <c r="E94" s="66" t="str">
        <f t="shared" si="39"/>
        <v/>
      </c>
      <c r="F94" s="66" t="str">
        <f t="shared" si="39"/>
        <v/>
      </c>
      <c r="G94" s="66" t="str">
        <f t="shared" si="39"/>
        <v/>
      </c>
      <c r="H94" s="66" t="str">
        <f t="shared" si="39"/>
        <v/>
      </c>
      <c r="I94" s="66" t="str">
        <f t="shared" si="39"/>
        <v/>
      </c>
      <c r="J94" s="66" t="str">
        <f t="shared" si="39"/>
        <v/>
      </c>
      <c r="K94" s="66" t="str">
        <f t="shared" si="39"/>
        <v/>
      </c>
      <c r="L94" s="66" t="str">
        <f t="shared" si="39"/>
        <v/>
      </c>
      <c r="N94" t="str">
        <f t="shared" si="36"/>
        <v/>
      </c>
    </row>
    <row r="95" spans="1:14" x14ac:dyDescent="0.35">
      <c r="C95"/>
    </row>
    <row r="96" spans="1:14" x14ac:dyDescent="0.35">
      <c r="A96" s="143" t="str">
        <f>IF(A$10="","[Unused]",A10)</f>
        <v>[Unused]</v>
      </c>
      <c r="B96" s="143"/>
      <c r="C96" s="143"/>
      <c r="D96" s="143"/>
      <c r="E96" s="143"/>
      <c r="F96" s="143"/>
      <c r="G96" s="143"/>
      <c r="H96" s="143"/>
      <c r="I96" s="143"/>
      <c r="J96" s="143"/>
      <c r="K96" s="143"/>
      <c r="L96" s="143"/>
      <c r="M96" s="144" t="s">
        <v>107</v>
      </c>
      <c r="N96" s="143" t="s">
        <v>172</v>
      </c>
    </row>
    <row r="97" spans="1:14" x14ac:dyDescent="0.35">
      <c r="A97" s="32" t="str">
        <f>IF(A96="[Unused]","","   Volume of Sales(+) and Purchases(-) [maf]")</f>
        <v/>
      </c>
      <c r="C97" s="134"/>
      <c r="D97" s="134"/>
      <c r="E97" s="134"/>
      <c r="F97" s="134"/>
      <c r="G97" s="134"/>
      <c r="H97" s="134"/>
      <c r="I97" s="134"/>
      <c r="J97" s="134"/>
      <c r="K97" s="134"/>
      <c r="L97" s="134"/>
      <c r="M97" s="67">
        <f>SUM(C97:L97)</f>
        <v>0</v>
      </c>
      <c r="N97" t="str">
        <f>IF(A97="","",N89)</f>
        <v/>
      </c>
    </row>
    <row r="98" spans="1:14" x14ac:dyDescent="0.35">
      <c r="A98" s="32" t="str">
        <f>IF(A97="","","   Cash Intake(+) and Payments(-) [$ Mill]")</f>
        <v/>
      </c>
      <c r="C98" s="135"/>
      <c r="D98" s="135"/>
      <c r="E98" s="135"/>
      <c r="F98" s="135"/>
      <c r="G98" s="135"/>
      <c r="H98" s="135"/>
      <c r="I98" s="135"/>
      <c r="J98" s="135"/>
      <c r="K98" s="135"/>
      <c r="L98" s="135"/>
      <c r="M98" s="65">
        <f>SUM(C98:L98)</f>
        <v>0</v>
      </c>
      <c r="N98" t="str">
        <f t="shared" ref="N98:N102" si="40">IF(A98="","",N90)</f>
        <v/>
      </c>
    </row>
    <row r="99" spans="1:14" x14ac:dyDescent="0.35">
      <c r="A99" s="32" t="str">
        <f>IF(A98="","","   Volume all players (should be zero)")</f>
        <v/>
      </c>
      <c r="C99" s="67" t="str">
        <f t="shared" ref="C99:M99" si="41">IF(OR(C$26="",$A99=""),"",C$112)</f>
        <v/>
      </c>
      <c r="D99" s="67" t="str">
        <f t="shared" si="41"/>
        <v/>
      </c>
      <c r="E99" s="67" t="str">
        <f t="shared" si="41"/>
        <v/>
      </c>
      <c r="F99" s="67" t="str">
        <f t="shared" si="41"/>
        <v/>
      </c>
      <c r="G99" s="67" t="str">
        <f t="shared" si="41"/>
        <v/>
      </c>
      <c r="H99" s="67" t="str">
        <f t="shared" si="41"/>
        <v/>
      </c>
      <c r="I99" s="67" t="str">
        <f t="shared" si="41"/>
        <v/>
      </c>
      <c r="J99" s="67" t="str">
        <f t="shared" si="41"/>
        <v/>
      </c>
      <c r="K99" s="67" t="str">
        <f t="shared" si="41"/>
        <v/>
      </c>
      <c r="L99" s="67" t="str">
        <f t="shared" si="41"/>
        <v/>
      </c>
      <c r="M99" t="str">
        <f t="shared" si="41"/>
        <v/>
      </c>
      <c r="N99" t="str">
        <f t="shared" si="40"/>
        <v/>
      </c>
    </row>
    <row r="100" spans="1:14" x14ac:dyDescent="0.35">
      <c r="A100" s="1" t="str">
        <f>IF(A98="","","   Available Water [maf]")</f>
        <v/>
      </c>
      <c r="C100" s="14" t="str">
        <f t="shared" ref="C100:L100" si="42">IF(OR(C$26="",$A100=""),"",C35+C53-C45-C97)</f>
        <v/>
      </c>
      <c r="D100" s="14" t="str">
        <f t="shared" si="42"/>
        <v/>
      </c>
      <c r="E100" s="14" t="str">
        <f t="shared" si="42"/>
        <v/>
      </c>
      <c r="F100" s="14" t="str">
        <f t="shared" si="42"/>
        <v/>
      </c>
      <c r="G100" s="14" t="str">
        <f t="shared" si="42"/>
        <v/>
      </c>
      <c r="H100" s="14" t="str">
        <f t="shared" si="42"/>
        <v/>
      </c>
      <c r="I100" s="14" t="str">
        <f t="shared" si="42"/>
        <v/>
      </c>
      <c r="J100" s="14" t="str">
        <f t="shared" si="42"/>
        <v/>
      </c>
      <c r="K100" s="14" t="str">
        <f t="shared" si="42"/>
        <v/>
      </c>
      <c r="L100" s="14" t="str">
        <f t="shared" si="42"/>
        <v/>
      </c>
      <c r="N100" t="str">
        <f t="shared" si="40"/>
        <v/>
      </c>
    </row>
    <row r="101" spans="1:14" x14ac:dyDescent="0.35">
      <c r="A101" s="1" t="str">
        <f>IF(A100="","","   Account Withdraw [maf]")</f>
        <v/>
      </c>
      <c r="C101" s="136"/>
      <c r="D101" s="136"/>
      <c r="E101" s="136"/>
      <c r="F101" s="136"/>
      <c r="G101" s="136"/>
      <c r="H101" s="136"/>
      <c r="I101" s="136"/>
      <c r="J101" s="136"/>
      <c r="K101" s="136"/>
      <c r="L101" s="136"/>
      <c r="N101" t="str">
        <f t="shared" si="40"/>
        <v/>
      </c>
    </row>
    <row r="102" spans="1:14" x14ac:dyDescent="0.35">
      <c r="A102" s="32" t="str">
        <f>IF(A101="","","   End of Year Balance [maf]")</f>
        <v/>
      </c>
      <c r="C102" s="66" t="str">
        <f>IF(OR(C$26="",$A102=""),"",C100-C101)</f>
        <v/>
      </c>
      <c r="D102" s="66" t="str">
        <f t="shared" ref="D102:L102" si="43">IF(OR(D$26="",$A102=""),"",D100-D101)</f>
        <v/>
      </c>
      <c r="E102" s="66" t="str">
        <f t="shared" si="43"/>
        <v/>
      </c>
      <c r="F102" s="66" t="str">
        <f t="shared" si="43"/>
        <v/>
      </c>
      <c r="G102" s="66" t="str">
        <f t="shared" si="43"/>
        <v/>
      </c>
      <c r="H102" s="66" t="str">
        <f t="shared" si="43"/>
        <v/>
      </c>
      <c r="I102" s="66" t="str">
        <f t="shared" si="43"/>
        <v/>
      </c>
      <c r="J102" s="66" t="str">
        <f t="shared" si="43"/>
        <v/>
      </c>
      <c r="K102" s="66" t="str">
        <f t="shared" si="43"/>
        <v/>
      </c>
      <c r="L102" s="66" t="str">
        <f t="shared" si="43"/>
        <v/>
      </c>
      <c r="N102" t="str">
        <f t="shared" si="40"/>
        <v/>
      </c>
    </row>
    <row r="103" spans="1:14" x14ac:dyDescent="0.35">
      <c r="C103"/>
    </row>
    <row r="104" spans="1:14" x14ac:dyDescent="0.35">
      <c r="A104" s="145" t="s">
        <v>183</v>
      </c>
      <c r="B104" s="145"/>
      <c r="C104" s="145"/>
      <c r="D104" s="145"/>
      <c r="E104" s="145"/>
      <c r="F104" s="145"/>
      <c r="G104" s="145"/>
      <c r="H104" s="145"/>
      <c r="I104" s="145"/>
      <c r="J104" s="145"/>
      <c r="K104" s="145"/>
      <c r="L104" s="145"/>
      <c r="M104" s="145"/>
      <c r="N104" s="145"/>
    </row>
    <row r="105" spans="1:14" x14ac:dyDescent="0.35">
      <c r="A105" s="1" t="s">
        <v>149</v>
      </c>
      <c r="C105"/>
      <c r="M105" t="s">
        <v>182</v>
      </c>
      <c r="N105" t="s">
        <v>150</v>
      </c>
    </row>
    <row r="106" spans="1:14" x14ac:dyDescent="0.35">
      <c r="A106" t="str">
        <f t="shared" ref="A106:A111" si="44">IF(A5="","","    "&amp;A5)</f>
        <v xml:space="preserve">    Upper Basin</v>
      </c>
      <c r="B106" s="1"/>
      <c r="C106" s="67" t="str">
        <f t="shared" ref="C106:L111" ca="1" si="45">IF(OR(C$26="",$A106=""),"",OFFSET(C$57,8*(ROW(B106)-ROW(B$106)),0))</f>
        <v/>
      </c>
      <c r="D106" s="67" t="str">
        <f t="shared" ca="1" si="45"/>
        <v/>
      </c>
      <c r="E106" s="67" t="str">
        <f t="shared" ca="1" si="45"/>
        <v/>
      </c>
      <c r="F106" s="67" t="str">
        <f t="shared" ca="1" si="45"/>
        <v/>
      </c>
      <c r="G106" s="67" t="str">
        <f t="shared" ca="1" si="45"/>
        <v/>
      </c>
      <c r="H106" s="67" t="str">
        <f t="shared" ca="1" si="45"/>
        <v/>
      </c>
      <c r="I106" s="67" t="str">
        <f t="shared" ca="1" si="45"/>
        <v/>
      </c>
      <c r="J106" s="67" t="str">
        <f t="shared" ca="1" si="45"/>
        <v/>
      </c>
      <c r="K106" s="67" t="str">
        <f t="shared" ca="1" si="45"/>
        <v/>
      </c>
      <c r="L106" s="67" t="str">
        <f t="shared" ca="1" si="45"/>
        <v/>
      </c>
      <c r="M106" s="67">
        <f ca="1">IF(OR($A106=""),"",SUM(C106:L106))</f>
        <v>0</v>
      </c>
      <c r="N106" s="65">
        <f>IF(OR($A106=""),"",M58)</f>
        <v>0</v>
      </c>
    </row>
    <row r="107" spans="1:14" x14ac:dyDescent="0.35">
      <c r="A107" t="str">
        <f t="shared" si="44"/>
        <v xml:space="preserve">    Lower Basin</v>
      </c>
      <c r="B107" s="1"/>
      <c r="C107" s="67" t="str">
        <f t="shared" ca="1" si="45"/>
        <v/>
      </c>
      <c r="D107" s="67" t="str">
        <f t="shared" ca="1" si="45"/>
        <v/>
      </c>
      <c r="E107" s="67" t="str">
        <f t="shared" ca="1" si="45"/>
        <v/>
      </c>
      <c r="F107" s="67" t="str">
        <f t="shared" ca="1" si="45"/>
        <v/>
      </c>
      <c r="G107" s="67" t="str">
        <f t="shared" ca="1" si="45"/>
        <v/>
      </c>
      <c r="H107" s="67" t="str">
        <f t="shared" ca="1" si="45"/>
        <v/>
      </c>
      <c r="I107" s="67" t="str">
        <f t="shared" ca="1" si="45"/>
        <v/>
      </c>
      <c r="J107" s="67" t="str">
        <f t="shared" ca="1" si="45"/>
        <v/>
      </c>
      <c r="K107" s="67" t="str">
        <f t="shared" ca="1" si="45"/>
        <v/>
      </c>
      <c r="L107" s="67" t="str">
        <f t="shared" ca="1" si="45"/>
        <v/>
      </c>
      <c r="M107" s="67">
        <f t="shared" ref="M107:M111" ca="1" si="46">IF(OR($A107=""),"",SUM(C107:L107))</f>
        <v>0</v>
      </c>
      <c r="N107" s="65">
        <f>IF(OR($A107=""),"",M66)</f>
        <v>0</v>
      </c>
    </row>
    <row r="108" spans="1:14" x14ac:dyDescent="0.35">
      <c r="A108" t="str">
        <f t="shared" si="44"/>
        <v xml:space="preserve">    Mexico</v>
      </c>
      <c r="B108" s="1"/>
      <c r="C108" s="67" t="str">
        <f t="shared" ca="1" si="45"/>
        <v/>
      </c>
      <c r="D108" s="67" t="str">
        <f t="shared" ca="1" si="45"/>
        <v/>
      </c>
      <c r="E108" s="67" t="str">
        <f t="shared" ca="1" si="45"/>
        <v/>
      </c>
      <c r="F108" s="67" t="str">
        <f t="shared" ca="1" si="45"/>
        <v/>
      </c>
      <c r="G108" s="67" t="str">
        <f t="shared" ca="1" si="45"/>
        <v/>
      </c>
      <c r="H108" s="67" t="str">
        <f t="shared" ca="1" si="45"/>
        <v/>
      </c>
      <c r="I108" s="67" t="str">
        <f t="shared" ca="1" si="45"/>
        <v/>
      </c>
      <c r="J108" s="67" t="str">
        <f t="shared" ca="1" si="45"/>
        <v/>
      </c>
      <c r="K108" s="67" t="str">
        <f t="shared" ca="1" si="45"/>
        <v/>
      </c>
      <c r="L108" s="67" t="str">
        <f t="shared" ca="1" si="45"/>
        <v/>
      </c>
      <c r="M108" s="67">
        <f t="shared" ca="1" si="46"/>
        <v>0</v>
      </c>
      <c r="N108" s="65">
        <f>IF(OR($A108=""),"",M74)</f>
        <v>0</v>
      </c>
    </row>
    <row r="109" spans="1:14" x14ac:dyDescent="0.35">
      <c r="A109" t="str">
        <f t="shared" si="44"/>
        <v xml:space="preserve">    Shared, Reserve</v>
      </c>
      <c r="B109" s="1"/>
      <c r="C109" s="67" t="str">
        <f t="shared" ca="1" si="45"/>
        <v/>
      </c>
      <c r="D109" s="67" t="str">
        <f t="shared" ca="1" si="45"/>
        <v/>
      </c>
      <c r="E109" s="67" t="str">
        <f t="shared" ca="1" si="45"/>
        <v/>
      </c>
      <c r="F109" s="67" t="str">
        <f t="shared" ca="1" si="45"/>
        <v/>
      </c>
      <c r="G109" s="67" t="str">
        <f t="shared" ca="1" si="45"/>
        <v/>
      </c>
      <c r="H109" s="67" t="str">
        <f t="shared" ca="1" si="45"/>
        <v/>
      </c>
      <c r="I109" s="67" t="str">
        <f t="shared" ca="1" si="45"/>
        <v/>
      </c>
      <c r="J109" s="67" t="str">
        <f t="shared" ca="1" si="45"/>
        <v/>
      </c>
      <c r="K109" s="67" t="str">
        <f t="shared" ca="1" si="45"/>
        <v/>
      </c>
      <c r="L109" s="67" t="str">
        <f t="shared" ca="1" si="45"/>
        <v/>
      </c>
      <c r="M109" s="67">
        <f t="shared" ca="1" si="46"/>
        <v>0</v>
      </c>
      <c r="N109" s="65">
        <f>IF(OR($A109=""),"",M82)</f>
        <v>0</v>
      </c>
    </row>
    <row r="110" spans="1:14" x14ac:dyDescent="0.35">
      <c r="A110" t="str">
        <f t="shared" si="44"/>
        <v/>
      </c>
      <c r="B110" s="1"/>
      <c r="C110" s="67" t="str">
        <f t="shared" ca="1" si="45"/>
        <v/>
      </c>
      <c r="D110" s="67" t="str">
        <f t="shared" ca="1" si="45"/>
        <v/>
      </c>
      <c r="E110" s="67" t="str">
        <f t="shared" ca="1" si="45"/>
        <v/>
      </c>
      <c r="F110" s="67" t="str">
        <f t="shared" ca="1" si="45"/>
        <v/>
      </c>
      <c r="G110" s="67" t="str">
        <f t="shared" ca="1" si="45"/>
        <v/>
      </c>
      <c r="H110" s="67" t="str">
        <f t="shared" ca="1" si="45"/>
        <v/>
      </c>
      <c r="I110" s="67" t="str">
        <f t="shared" ca="1" si="45"/>
        <v/>
      </c>
      <c r="J110" s="67" t="str">
        <f t="shared" ca="1" si="45"/>
        <v/>
      </c>
      <c r="K110" s="67" t="str">
        <f t="shared" ca="1" si="45"/>
        <v/>
      </c>
      <c r="L110" s="67" t="str">
        <f t="shared" ca="1" si="45"/>
        <v/>
      </c>
      <c r="M110" s="67" t="str">
        <f t="shared" si="46"/>
        <v/>
      </c>
      <c r="N110" s="65" t="str">
        <f>IF(OR($A110=""),"",M90)</f>
        <v/>
      </c>
    </row>
    <row r="111" spans="1:14" x14ac:dyDescent="0.35">
      <c r="A111" t="str">
        <f t="shared" si="44"/>
        <v/>
      </c>
      <c r="B111" s="1"/>
      <c r="C111" s="67" t="str">
        <f t="shared" ca="1" si="45"/>
        <v/>
      </c>
      <c r="D111" s="67" t="str">
        <f t="shared" ca="1" si="45"/>
        <v/>
      </c>
      <c r="E111" s="67" t="str">
        <f t="shared" ca="1" si="45"/>
        <v/>
      </c>
      <c r="F111" s="67" t="str">
        <f t="shared" ca="1" si="45"/>
        <v/>
      </c>
      <c r="G111" s="67" t="str">
        <f t="shared" ca="1" si="45"/>
        <v/>
      </c>
      <c r="H111" s="67" t="str">
        <f t="shared" ca="1" si="45"/>
        <v/>
      </c>
      <c r="I111" s="67" t="str">
        <f t="shared" ca="1" si="45"/>
        <v/>
      </c>
      <c r="J111" s="67" t="str">
        <f t="shared" ca="1" si="45"/>
        <v/>
      </c>
      <c r="K111" s="67" t="str">
        <f t="shared" ca="1" si="45"/>
        <v/>
      </c>
      <c r="L111" s="67" t="str">
        <f t="shared" ca="1" si="45"/>
        <v/>
      </c>
      <c r="M111" s="67" t="str">
        <f t="shared" si="46"/>
        <v/>
      </c>
      <c r="N111" s="65" t="str">
        <f>IF(OR($A111=""),"",M98)</f>
        <v/>
      </c>
    </row>
    <row r="112" spans="1:14" x14ac:dyDescent="0.35">
      <c r="A112" t="s">
        <v>146</v>
      </c>
      <c r="B112" s="1"/>
      <c r="C112" s="51" t="str">
        <f>IF(C$26&lt;&gt;"",SUM(C106:C111),"")</f>
        <v/>
      </c>
      <c r="D112" s="51" t="str">
        <f t="shared" ref="D112:L112" si="47">IF(D$26&lt;&gt;"",SUM(D106:D111),"")</f>
        <v/>
      </c>
      <c r="E112" s="119" t="str">
        <f t="shared" si="47"/>
        <v/>
      </c>
      <c r="F112" s="51" t="str">
        <f t="shared" si="47"/>
        <v/>
      </c>
      <c r="G112" s="51" t="str">
        <f t="shared" si="47"/>
        <v/>
      </c>
      <c r="H112" s="51" t="str">
        <f t="shared" si="47"/>
        <v/>
      </c>
      <c r="I112" s="51" t="str">
        <f t="shared" si="47"/>
        <v/>
      </c>
      <c r="J112" s="51" t="str">
        <f t="shared" si="47"/>
        <v/>
      </c>
      <c r="K112" s="51" t="str">
        <f t="shared" si="47"/>
        <v/>
      </c>
      <c r="L112" s="51" t="str">
        <f t="shared" si="47"/>
        <v/>
      </c>
      <c r="M112" s="34"/>
    </row>
    <row r="113" spans="1:12" x14ac:dyDescent="0.35">
      <c r="A113" s="1" t="s">
        <v>134</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t="str">
        <f t="shared" ref="C114:L119" ca="1" si="48">IF(OR(C$26="",$A114=""),"",OFFSET(C$61,8*(ROW(B114)-ROW(B$114)),0))</f>
        <v/>
      </c>
      <c r="D114" s="67" t="str">
        <f t="shared" ca="1" si="48"/>
        <v/>
      </c>
      <c r="E114" s="67" t="str">
        <f t="shared" ca="1" si="48"/>
        <v/>
      </c>
      <c r="F114" s="67" t="str">
        <f t="shared" ca="1" si="48"/>
        <v/>
      </c>
      <c r="G114" s="67" t="str">
        <f t="shared" ca="1" si="48"/>
        <v/>
      </c>
      <c r="H114" s="67" t="str">
        <f t="shared" ca="1" si="48"/>
        <v/>
      </c>
      <c r="I114" s="67" t="str">
        <f t="shared" ca="1" si="48"/>
        <v/>
      </c>
      <c r="J114" s="67" t="str">
        <f t="shared" ca="1" si="48"/>
        <v/>
      </c>
      <c r="K114" s="67" t="str">
        <f t="shared" ca="1" si="48"/>
        <v/>
      </c>
      <c r="L114" s="67" t="str">
        <f t="shared" ca="1" si="48"/>
        <v/>
      </c>
    </row>
    <row r="115" spans="1:12" x14ac:dyDescent="0.35">
      <c r="A115" t="str">
        <f>IF(A6="","","    "&amp;A6&amp;" - Release from Mead")</f>
        <v xml:space="preserve">    Lower Basin - Release from Mead</v>
      </c>
      <c r="C115" s="67" t="str">
        <f t="shared" ca="1" si="48"/>
        <v/>
      </c>
      <c r="D115" s="67" t="str">
        <f t="shared" ca="1" si="48"/>
        <v/>
      </c>
      <c r="E115" s="67" t="str">
        <f t="shared" ca="1" si="48"/>
        <v/>
      </c>
      <c r="F115" s="67" t="str">
        <f t="shared" ca="1" si="48"/>
        <v/>
      </c>
      <c r="G115" s="67" t="str">
        <f t="shared" ca="1" si="48"/>
        <v/>
      </c>
      <c r="H115" s="67" t="str">
        <f t="shared" ca="1" si="48"/>
        <v/>
      </c>
      <c r="I115" s="67" t="str">
        <f t="shared" ca="1" si="48"/>
        <v/>
      </c>
      <c r="J115" s="67" t="str">
        <f t="shared" ca="1" si="48"/>
        <v/>
      </c>
      <c r="K115" s="67" t="str">
        <f t="shared" ca="1" si="48"/>
        <v/>
      </c>
      <c r="L115" s="67" t="str">
        <f t="shared" ca="1" si="48"/>
        <v/>
      </c>
    </row>
    <row r="116" spans="1:12" x14ac:dyDescent="0.35">
      <c r="A116" t="str">
        <f>IF(A7="","","    "&amp;A7&amp;" - Release from Mead")</f>
        <v xml:space="preserve">    Mexico - Release from Mead</v>
      </c>
      <c r="C116" s="67" t="str">
        <f t="shared" ca="1" si="48"/>
        <v/>
      </c>
      <c r="D116" s="67" t="str">
        <f t="shared" ca="1" si="48"/>
        <v/>
      </c>
      <c r="E116" s="67" t="str">
        <f t="shared" ca="1" si="48"/>
        <v/>
      </c>
      <c r="F116" s="67" t="str">
        <f t="shared" ca="1" si="48"/>
        <v/>
      </c>
      <c r="G116" s="67" t="str">
        <f t="shared" ca="1" si="48"/>
        <v/>
      </c>
      <c r="H116" s="67" t="str">
        <f t="shared" ca="1" si="48"/>
        <v/>
      </c>
      <c r="I116" s="67" t="str">
        <f t="shared" ca="1" si="48"/>
        <v/>
      </c>
      <c r="J116" s="67" t="str">
        <f t="shared" ca="1" si="48"/>
        <v/>
      </c>
      <c r="K116" s="67" t="str">
        <f t="shared" ca="1" si="48"/>
        <v/>
      </c>
      <c r="L116" s="67" t="str">
        <f t="shared" ca="1" si="48"/>
        <v/>
      </c>
    </row>
    <row r="117" spans="1:12" x14ac:dyDescent="0.35">
      <c r="A117" t="str">
        <f>IF(A8="","","    "&amp;A8&amp;" - Release from Mead")</f>
        <v xml:space="preserve">    Shared, Reserve - Release from Mead</v>
      </c>
      <c r="C117" s="67" t="str">
        <f t="shared" ca="1" si="48"/>
        <v/>
      </c>
      <c r="D117" s="67" t="str">
        <f t="shared" ca="1" si="48"/>
        <v/>
      </c>
      <c r="E117" s="67" t="str">
        <f t="shared" ca="1" si="48"/>
        <v/>
      </c>
      <c r="F117" s="67" t="str">
        <f t="shared" ca="1" si="48"/>
        <v/>
      </c>
      <c r="G117" s="67" t="str">
        <f t="shared" ca="1" si="48"/>
        <v/>
      </c>
      <c r="H117" s="67" t="str">
        <f t="shared" ca="1" si="48"/>
        <v/>
      </c>
      <c r="I117" s="67" t="str">
        <f t="shared" ca="1" si="48"/>
        <v/>
      </c>
      <c r="J117" s="67" t="str">
        <f t="shared" ca="1" si="48"/>
        <v/>
      </c>
      <c r="K117" s="67" t="str">
        <f t="shared" ca="1" si="48"/>
        <v/>
      </c>
      <c r="L117" s="67" t="str">
        <f t="shared" ca="1" si="48"/>
        <v/>
      </c>
    </row>
    <row r="118" spans="1:12" x14ac:dyDescent="0.35">
      <c r="A118" t="str">
        <f>IF(A9="","","    "&amp;A9&amp;" - Release from Mead")</f>
        <v/>
      </c>
      <c r="C118" s="67" t="str">
        <f t="shared" ca="1" si="48"/>
        <v/>
      </c>
      <c r="D118" s="67" t="str">
        <f t="shared" ca="1" si="48"/>
        <v/>
      </c>
      <c r="E118" s="67" t="str">
        <f t="shared" ca="1" si="48"/>
        <v/>
      </c>
      <c r="F118" s="67" t="str">
        <f t="shared" ca="1" si="48"/>
        <v/>
      </c>
      <c r="G118" s="67" t="str">
        <f t="shared" ca="1" si="48"/>
        <v/>
      </c>
      <c r="H118" s="67" t="str">
        <f t="shared" ca="1" si="48"/>
        <v/>
      </c>
      <c r="I118" s="67" t="str">
        <f t="shared" ca="1" si="48"/>
        <v/>
      </c>
      <c r="J118" s="67" t="str">
        <f t="shared" ca="1" si="48"/>
        <v/>
      </c>
      <c r="K118" s="67" t="str">
        <f t="shared" ca="1" si="48"/>
        <v/>
      </c>
      <c r="L118" s="67" t="str">
        <f t="shared" ca="1" si="48"/>
        <v/>
      </c>
    </row>
    <row r="119" spans="1:12" x14ac:dyDescent="0.35">
      <c r="A119" t="str">
        <f>IF(A10="","","    "&amp;A10&amp;" - Release from Mead")</f>
        <v/>
      </c>
      <c r="C119" s="67" t="str">
        <f t="shared" ca="1" si="48"/>
        <v/>
      </c>
      <c r="D119" s="67" t="str">
        <f t="shared" ca="1" si="48"/>
        <v/>
      </c>
      <c r="E119" s="67" t="str">
        <f t="shared" ca="1" si="48"/>
        <v/>
      </c>
      <c r="F119" s="67" t="str">
        <f t="shared" ca="1" si="48"/>
        <v/>
      </c>
      <c r="G119" s="67" t="str">
        <f t="shared" ca="1" si="48"/>
        <v/>
      </c>
      <c r="H119" s="67" t="str">
        <f t="shared" ca="1" si="48"/>
        <v/>
      </c>
      <c r="I119" s="67" t="str">
        <f t="shared" ca="1" si="48"/>
        <v/>
      </c>
      <c r="J119" s="67" t="str">
        <f t="shared" ca="1" si="48"/>
        <v/>
      </c>
      <c r="K119" s="67" t="str">
        <f t="shared" ca="1" si="48"/>
        <v/>
      </c>
      <c r="L119" s="67" t="str">
        <f t="shared" ca="1" si="48"/>
        <v/>
      </c>
    </row>
    <row r="120" spans="1:12" x14ac:dyDescent="0.35">
      <c r="A120" s="1" t="s">
        <v>139</v>
      </c>
      <c r="B120" s="1"/>
      <c r="D120" s="2"/>
      <c r="E120" s="2"/>
      <c r="F120" s="2"/>
      <c r="G120" s="2"/>
      <c r="H120" s="2"/>
      <c r="I120" s="2"/>
      <c r="J120" s="2"/>
      <c r="K120" s="2"/>
      <c r="L120" s="2"/>
    </row>
    <row r="121" spans="1:12" x14ac:dyDescent="0.35">
      <c r="A121" t="str">
        <f t="shared" ref="A121:A126" si="49">IF(A5="","","    "&amp;A5)</f>
        <v xml:space="preserve">    Upper Basin</v>
      </c>
      <c r="C121" s="67" t="str">
        <f t="shared" ref="C121:L126" ca="1" si="50">IF(OR(C$26="",$A121=""),"",OFFSET(C$62,8*(ROW(B121)-ROW(B$121)),0))</f>
        <v/>
      </c>
      <c r="D121" s="67" t="str">
        <f t="shared" ca="1" si="50"/>
        <v/>
      </c>
      <c r="E121" s="67" t="str">
        <f t="shared" ca="1" si="50"/>
        <v/>
      </c>
      <c r="F121" s="67" t="str">
        <f t="shared" ca="1" si="50"/>
        <v/>
      </c>
      <c r="G121" s="67" t="str">
        <f t="shared" ca="1" si="50"/>
        <v/>
      </c>
      <c r="H121" s="67" t="str">
        <f t="shared" ca="1" si="50"/>
        <v/>
      </c>
      <c r="I121" s="67" t="str">
        <f t="shared" ca="1" si="50"/>
        <v/>
      </c>
      <c r="J121" s="67" t="str">
        <f t="shared" ca="1" si="50"/>
        <v/>
      </c>
      <c r="K121" s="67" t="str">
        <f t="shared" ca="1" si="50"/>
        <v/>
      </c>
      <c r="L121" s="67" t="str">
        <f t="shared" ca="1" si="50"/>
        <v/>
      </c>
    </row>
    <row r="122" spans="1:12" x14ac:dyDescent="0.35">
      <c r="A122" t="str">
        <f t="shared" si="49"/>
        <v xml:space="preserve">    Lower Basin</v>
      </c>
      <c r="C122" s="67" t="str">
        <f t="shared" ca="1" si="50"/>
        <v/>
      </c>
      <c r="D122" s="67" t="str">
        <f t="shared" ca="1" si="50"/>
        <v/>
      </c>
      <c r="E122" s="67" t="str">
        <f t="shared" ca="1" si="50"/>
        <v/>
      </c>
      <c r="F122" s="67" t="str">
        <f t="shared" ca="1" si="50"/>
        <v/>
      </c>
      <c r="G122" s="67" t="str">
        <f t="shared" ca="1" si="50"/>
        <v/>
      </c>
      <c r="H122" s="67" t="str">
        <f t="shared" ca="1" si="50"/>
        <v/>
      </c>
      <c r="I122" s="67" t="str">
        <f t="shared" ca="1" si="50"/>
        <v/>
      </c>
      <c r="J122" s="67" t="str">
        <f t="shared" ca="1" si="50"/>
        <v/>
      </c>
      <c r="K122" s="67" t="str">
        <f t="shared" ca="1" si="50"/>
        <v/>
      </c>
      <c r="L122" s="67" t="str">
        <f t="shared" ca="1" si="50"/>
        <v/>
      </c>
    </row>
    <row r="123" spans="1:12" x14ac:dyDescent="0.35">
      <c r="A123" t="str">
        <f t="shared" si="49"/>
        <v xml:space="preserve">    Mexico</v>
      </c>
      <c r="C123" s="67" t="str">
        <f t="shared" ca="1" si="50"/>
        <v/>
      </c>
      <c r="D123" s="67" t="str">
        <f t="shared" ca="1" si="50"/>
        <v/>
      </c>
      <c r="E123" s="67" t="str">
        <f t="shared" ca="1" si="50"/>
        <v/>
      </c>
      <c r="F123" s="67" t="str">
        <f t="shared" ca="1" si="50"/>
        <v/>
      </c>
      <c r="G123" s="67" t="str">
        <f t="shared" ca="1" si="50"/>
        <v/>
      </c>
      <c r="H123" s="67" t="str">
        <f t="shared" ca="1" si="50"/>
        <v/>
      </c>
      <c r="I123" s="67" t="str">
        <f t="shared" ca="1" si="50"/>
        <v/>
      </c>
      <c r="J123" s="67" t="str">
        <f t="shared" ca="1" si="50"/>
        <v/>
      </c>
      <c r="K123" s="67" t="str">
        <f t="shared" ca="1" si="50"/>
        <v/>
      </c>
      <c r="L123" s="67" t="str">
        <f t="shared" ca="1" si="50"/>
        <v/>
      </c>
    </row>
    <row r="124" spans="1:12" x14ac:dyDescent="0.35">
      <c r="A124" t="str">
        <f t="shared" si="49"/>
        <v xml:space="preserve">    Shared, Reserve</v>
      </c>
      <c r="C124" s="67" t="str">
        <f t="shared" ca="1" si="50"/>
        <v/>
      </c>
      <c r="D124" s="67" t="str">
        <f t="shared" ca="1" si="50"/>
        <v/>
      </c>
      <c r="E124" s="67" t="str">
        <f t="shared" ca="1" si="50"/>
        <v/>
      </c>
      <c r="F124" s="67" t="str">
        <f t="shared" ca="1" si="50"/>
        <v/>
      </c>
      <c r="G124" s="67" t="str">
        <f t="shared" ca="1" si="50"/>
        <v/>
      </c>
      <c r="H124" s="67" t="str">
        <f t="shared" ca="1" si="50"/>
        <v/>
      </c>
      <c r="I124" s="67" t="str">
        <f t="shared" ca="1" si="50"/>
        <v/>
      </c>
      <c r="J124" s="67" t="str">
        <f t="shared" ca="1" si="50"/>
        <v/>
      </c>
      <c r="K124" s="67" t="str">
        <f t="shared" ca="1" si="50"/>
        <v/>
      </c>
      <c r="L124" s="67" t="str">
        <f t="shared" ca="1" si="50"/>
        <v/>
      </c>
    </row>
    <row r="125" spans="1:12" x14ac:dyDescent="0.35">
      <c r="A125" t="str">
        <f t="shared" si="49"/>
        <v/>
      </c>
      <c r="C125" s="67" t="str">
        <f t="shared" ca="1" si="50"/>
        <v/>
      </c>
      <c r="D125" s="67" t="str">
        <f t="shared" ca="1" si="50"/>
        <v/>
      </c>
      <c r="E125" s="67" t="str">
        <f t="shared" ca="1" si="50"/>
        <v/>
      </c>
      <c r="F125" s="67" t="str">
        <f t="shared" ca="1" si="50"/>
        <v/>
      </c>
      <c r="G125" s="67" t="str">
        <f t="shared" ca="1" si="50"/>
        <v/>
      </c>
      <c r="H125" s="67" t="str">
        <f t="shared" ca="1" si="50"/>
        <v/>
      </c>
      <c r="I125" s="67" t="str">
        <f t="shared" ca="1" si="50"/>
        <v/>
      </c>
      <c r="J125" s="67" t="str">
        <f t="shared" ca="1" si="50"/>
        <v/>
      </c>
      <c r="K125" s="67" t="str">
        <f t="shared" ca="1" si="50"/>
        <v/>
      </c>
      <c r="L125" s="67" t="str">
        <f t="shared" ca="1" si="50"/>
        <v/>
      </c>
    </row>
    <row r="126" spans="1:12" x14ac:dyDescent="0.35">
      <c r="A126" t="str">
        <f t="shared" si="49"/>
        <v/>
      </c>
      <c r="C126" s="67" t="str">
        <f t="shared" ca="1" si="50"/>
        <v/>
      </c>
      <c r="D126" s="67" t="str">
        <f t="shared" ca="1" si="50"/>
        <v/>
      </c>
      <c r="E126" s="67" t="str">
        <f t="shared" ca="1" si="50"/>
        <v/>
      </c>
      <c r="F126" s="67" t="str">
        <f t="shared" ca="1" si="50"/>
        <v/>
      </c>
      <c r="G126" s="67" t="str">
        <f t="shared" ca="1" si="50"/>
        <v/>
      </c>
      <c r="H126" s="67" t="str">
        <f t="shared" ca="1" si="50"/>
        <v/>
      </c>
      <c r="I126" s="67" t="str">
        <f t="shared" ca="1" si="50"/>
        <v/>
      </c>
      <c r="J126" s="67" t="str">
        <f t="shared" ca="1" si="50"/>
        <v/>
      </c>
      <c r="K126" s="67" t="str">
        <f t="shared" ca="1" si="50"/>
        <v/>
      </c>
      <c r="L126" s="67" t="str">
        <f t="shared" ca="1" si="50"/>
        <v/>
      </c>
    </row>
    <row r="127" spans="1:12" x14ac:dyDescent="0.35">
      <c r="A127" s="1" t="s">
        <v>123</v>
      </c>
      <c r="B127" s="1"/>
      <c r="C127" s="14" t="str">
        <f>IF(C$26&lt;&gt;"",SUM(C121:C126),"")</f>
        <v/>
      </c>
      <c r="D127" s="14" t="str">
        <f t="shared" ref="D127:L127" si="51">IF(D$26&lt;&gt;"",SUM(D121:D126),"")</f>
        <v/>
      </c>
      <c r="E127" s="14" t="str">
        <f t="shared" si="51"/>
        <v/>
      </c>
      <c r="F127" s="14" t="str">
        <f t="shared" si="51"/>
        <v/>
      </c>
      <c r="G127" s="14" t="str">
        <f t="shared" si="51"/>
        <v/>
      </c>
      <c r="H127" s="14" t="str">
        <f t="shared" si="51"/>
        <v/>
      </c>
      <c r="I127" s="14" t="str">
        <f t="shared" si="51"/>
        <v/>
      </c>
      <c r="J127" s="14" t="str">
        <f t="shared" si="51"/>
        <v/>
      </c>
      <c r="K127" s="14" t="str">
        <f t="shared" si="51"/>
        <v/>
      </c>
      <c r="L127" s="14" t="str">
        <f t="shared" si="51"/>
        <v/>
      </c>
    </row>
    <row r="128" spans="1:12" x14ac:dyDescent="0.35">
      <c r="A128" s="1" t="s">
        <v>197</v>
      </c>
      <c r="B128" s="1"/>
      <c r="C128" s="68"/>
      <c r="D128" s="68"/>
      <c r="E128" s="68"/>
      <c r="F128" s="68"/>
      <c r="G128" s="68"/>
      <c r="H128" s="68"/>
      <c r="I128" s="68"/>
      <c r="J128" s="68"/>
      <c r="K128" s="68"/>
      <c r="L128" s="68"/>
    </row>
    <row r="129" spans="1:14" x14ac:dyDescent="0.35">
      <c r="A129" s="1" t="s">
        <v>193</v>
      </c>
      <c r="B129" s="1"/>
      <c r="C129" s="14" t="str">
        <f>IF(C26="","",C$128*C$127)</f>
        <v/>
      </c>
      <c r="D129" s="14" t="str">
        <f t="shared" ref="D129:L129" si="52">IF(D26="","",D$128*D$127)</f>
        <v/>
      </c>
      <c r="E129" s="14" t="str">
        <f t="shared" si="52"/>
        <v/>
      </c>
      <c r="F129" s="14" t="str">
        <f t="shared" si="52"/>
        <v/>
      </c>
      <c r="G129" s="14" t="str">
        <f t="shared" si="52"/>
        <v/>
      </c>
      <c r="H129" s="14" t="str">
        <f t="shared" si="52"/>
        <v/>
      </c>
      <c r="I129" s="14" t="str">
        <f t="shared" si="52"/>
        <v/>
      </c>
      <c r="J129" s="14" t="str">
        <f t="shared" si="52"/>
        <v/>
      </c>
      <c r="K129" s="14" t="str">
        <f t="shared" si="52"/>
        <v/>
      </c>
      <c r="L129" s="14" t="str">
        <f t="shared" si="52"/>
        <v/>
      </c>
    </row>
    <row r="130" spans="1:14" x14ac:dyDescent="0.35">
      <c r="A130" s="1" t="s">
        <v>194</v>
      </c>
      <c r="B130" s="1"/>
      <c r="C130" s="14" t="str">
        <f>IF(C27="","",(1-C$128)*C$127)</f>
        <v/>
      </c>
      <c r="D130" s="14" t="str">
        <f t="shared" ref="D130:L130" si="53">IF(D27="","",(1-D$128)*D$127)</f>
        <v/>
      </c>
      <c r="E130" s="14" t="str">
        <f t="shared" si="53"/>
        <v/>
      </c>
      <c r="F130" s="14" t="str">
        <f t="shared" si="53"/>
        <v/>
      </c>
      <c r="G130" s="14" t="str">
        <f t="shared" si="53"/>
        <v/>
      </c>
      <c r="H130" s="14" t="str">
        <f t="shared" si="53"/>
        <v/>
      </c>
      <c r="I130" s="14" t="str">
        <f t="shared" si="53"/>
        <v/>
      </c>
      <c r="J130" s="14" t="str">
        <f t="shared" si="53"/>
        <v/>
      </c>
      <c r="K130" s="14" t="str">
        <f t="shared" si="53"/>
        <v/>
      </c>
      <c r="L130" s="14" t="str">
        <f t="shared" si="53"/>
        <v/>
      </c>
    </row>
    <row r="131" spans="1:14" x14ac:dyDescent="0.35">
      <c r="A131" s="32" t="s">
        <v>282</v>
      </c>
      <c r="B131" s="1"/>
      <c r="C131" s="87" t="str">
        <f>IF(C$26&lt;&gt;"",VLOOKUP(C129*1000000,'Powell-Elevation-Area'!$B$5:$H$689,7),"")</f>
        <v/>
      </c>
      <c r="D131" s="87" t="str">
        <f>IF(D$26&lt;&gt;"",VLOOKUP(D129*1000000,'Powell-Elevation-Area'!$B$5:$H$689,7),"")</f>
        <v/>
      </c>
      <c r="E131" s="87" t="str">
        <f>IF(E$26&lt;&gt;"",VLOOKUP(E129*1000000,'Powell-Elevation-Area'!$B$5:$H$689,7),"")</f>
        <v/>
      </c>
      <c r="F131" s="87" t="str">
        <f>IF(F$26&lt;&gt;"",VLOOKUP(F129*1000000,'Powell-Elevation-Area'!$B$5:$H$689,7),"")</f>
        <v/>
      </c>
      <c r="G131" s="87" t="str">
        <f>IF(G$26&lt;&gt;"",VLOOKUP(G129*1000000,'Powell-Elevation-Area'!$B$5:$H$689,7),"")</f>
        <v/>
      </c>
      <c r="H131" s="87" t="str">
        <f>IF(H$26&lt;&gt;"",VLOOKUP(H129*1000000,'Powell-Elevation-Area'!$B$5:$H$689,7),"")</f>
        <v/>
      </c>
      <c r="I131" s="87" t="str">
        <f>IF(I$26&lt;&gt;"",VLOOKUP(I129*1000000,'Powell-Elevation-Area'!$B$5:$H$689,7),"")</f>
        <v/>
      </c>
      <c r="J131" s="87" t="str">
        <f>IF(J$26&lt;&gt;"",VLOOKUP(J129*1000000,'Powell-Elevation-Area'!$B$5:$H$689,7),"")</f>
        <v/>
      </c>
      <c r="K131" s="87" t="str">
        <f>IF(K$26&lt;&gt;"",VLOOKUP(K129*1000000,'Powell-Elevation-Area'!$B$5:$H$689,7),"")</f>
        <v/>
      </c>
      <c r="L131" s="87" t="str">
        <f>IF(L$26&lt;&gt;"",VLOOKUP(L129*1000000,'Powell-Elevation-Area'!$B$5:$H$689,7),"")</f>
        <v/>
      </c>
    </row>
    <row r="132" spans="1:14" x14ac:dyDescent="0.35">
      <c r="A132" s="32" t="s">
        <v>283</v>
      </c>
      <c r="B132" s="1"/>
      <c r="C132" s="87" t="str">
        <f>IF(C$26&lt;&gt;"",VLOOKUP(C130*1000000,'Mead-Elevation-Area'!$B$5:$H$689,7),"")</f>
        <v/>
      </c>
      <c r="D132" s="87" t="str">
        <f>IF(D$26&lt;&gt;"",VLOOKUP(D130*1000000,'Mead-Elevation-Area'!$B$5:$H$689,7),"")</f>
        <v/>
      </c>
      <c r="E132" s="87" t="str">
        <f>IF(E$26&lt;&gt;"",VLOOKUP(E130*1000000,'Mead-Elevation-Area'!$B$5:$H$689,7),"")</f>
        <v/>
      </c>
      <c r="F132" s="87" t="str">
        <f>IF(F$26&lt;&gt;"",VLOOKUP(F130*1000000,'Mead-Elevation-Area'!$B$5:$H$689,7),"")</f>
        <v/>
      </c>
      <c r="G132" s="87" t="str">
        <f>IF(G$26&lt;&gt;"",VLOOKUP(G130*1000000,'Mead-Elevation-Area'!$B$5:$H$689,7),"")</f>
        <v/>
      </c>
      <c r="H132" s="87" t="str">
        <f>IF(H$26&lt;&gt;"",VLOOKUP(H130*1000000,'Mead-Elevation-Area'!$B$5:$H$689,7),"")</f>
        <v/>
      </c>
      <c r="I132" s="87" t="str">
        <f>IF(I$26&lt;&gt;"",VLOOKUP(I130*1000000,'Mead-Elevation-Area'!$B$5:$H$689,7),"")</f>
        <v/>
      </c>
      <c r="J132" s="87" t="str">
        <f>IF(J$26&lt;&gt;"",VLOOKUP(J130*1000000,'Mead-Elevation-Area'!$B$5:$H$689,7),"")</f>
        <v/>
      </c>
      <c r="K132" s="87" t="str">
        <f>IF(K$26&lt;&gt;"",VLOOKUP(K130*1000000,'Mead-Elevation-Area'!$B$5:$H$689,7),"")</f>
        <v/>
      </c>
      <c r="L132" s="87" t="str">
        <f>IF(L$26&lt;&gt;"",VLOOKUP(L130*1000000,'Mead-Elevation-Area'!$B$5:$H$689,7),"")</f>
        <v/>
      </c>
    </row>
    <row r="133" spans="1:14" x14ac:dyDescent="0.35">
      <c r="A133" s="1" t="s">
        <v>295</v>
      </c>
      <c r="B133" s="1"/>
    </row>
    <row r="134" spans="1:14" x14ac:dyDescent="0.35">
      <c r="A134" s="32" t="s">
        <v>296</v>
      </c>
      <c r="B134" s="1"/>
      <c r="C134" s="14" t="str">
        <f>IF(C$26&lt;&gt;"",-C129+C37+C26-C61-VLOOKUP(C37*1000000,'Powell-Elevation-Area'!$B$5:$D$689,3)*$B$20/1000000,"")</f>
        <v/>
      </c>
      <c r="D134" s="14" t="str">
        <f>IF(D$26&lt;&gt;"",-D129+D37+D26-D61-VLOOKUP(D37*1000000,'Powell-Elevation-Area'!$B$5:$D$689,3)*$B$20/1000000,"")</f>
        <v/>
      </c>
      <c r="E134" s="14" t="str">
        <f>IF(E$26&lt;&gt;"",-E129+E37+E26-E61-VLOOKUP(E37*1000000,'Powell-Elevation-Area'!$B$5:$D$689,3)*$B$20/1000000,"")</f>
        <v/>
      </c>
      <c r="F134" s="14" t="str">
        <f>IF(F$26&lt;&gt;"",-F129+F37+F26-F61-VLOOKUP(F37*1000000,'Powell-Elevation-Area'!$B$5:$D$689,3)*$B$20/1000000,"")</f>
        <v/>
      </c>
      <c r="G134" s="14" t="str">
        <f>IF(G$26&lt;&gt;"",-G129+G37+G26-G61-VLOOKUP(G37*1000000,'Powell-Elevation-Area'!$B$5:$D$689,3)*$B$20/1000000,"")</f>
        <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195</v>
      </c>
    </row>
    <row r="135" spans="1:14" x14ac:dyDescent="0.35">
      <c r="A135" s="32" t="s">
        <v>310</v>
      </c>
      <c r="B135" s="1"/>
      <c r="C135" s="87" t="str">
        <f>IF(C$26&lt;&gt;"",VLOOKUP(C131,PowellReleaseTemperature!$A$5:$B$11,2),"")</f>
        <v/>
      </c>
      <c r="D135" s="87" t="str">
        <f>IF(D$26&lt;&gt;"",VLOOKUP(D131,PowellReleaseTemperature!$A$5:$B$11,2),"")</f>
        <v/>
      </c>
      <c r="E135" s="87" t="str">
        <f>IF(E$26&lt;&gt;"",VLOOKUP(E131,PowellReleaseTemperature!$A$5:$B$11,2),"")</f>
        <v/>
      </c>
      <c r="F135" s="87" t="str">
        <f>IF(F$26&lt;&gt;"",VLOOKUP(F131,PowellReleaseTemperature!$A$5:$B$11,2),"")</f>
        <v/>
      </c>
      <c r="G135" s="87" t="str">
        <f>IF(G$26&lt;&gt;"",VLOOKUP(G131,PowellReleaseTemperature!$A$5:$B$11,2),"")</f>
        <v/>
      </c>
      <c r="H135" s="87" t="str">
        <f>IF(H$26&lt;&gt;"",VLOOKUP(H131,PowellReleaseTemperature!$A$5:$B$11,2),"")</f>
        <v/>
      </c>
      <c r="I135" s="87" t="str">
        <f>IF(I$26&lt;&gt;"",VLOOKUP(I131,PowellReleaseTemperature!$A$5:$B$11,2),"")</f>
        <v/>
      </c>
      <c r="J135" s="87" t="str">
        <f>IF(J$26&lt;&gt;"",VLOOKUP(J131,PowellReleaseTemperature!$A$5:$B$11,2),"")</f>
        <v/>
      </c>
      <c r="K135" s="87" t="str">
        <f>IF(K$26&lt;&gt;"",VLOOKUP(K131,PowellReleaseTemperature!$A$5:$B$11,2),"")</f>
        <v/>
      </c>
      <c r="L135" s="87" t="str">
        <f>IF(L$26&lt;&gt;"",VLOOKUP(L131,PowellReleaseTemperature!$A$5:$B$11,2),"")</f>
        <v/>
      </c>
      <c r="N135" t="s">
        <v>301</v>
      </c>
    </row>
    <row r="136" spans="1:14" s="89" customFormat="1" ht="62.5" customHeight="1" x14ac:dyDescent="0.35">
      <c r="A136" s="121" t="s">
        <v>311</v>
      </c>
      <c r="B136" s="88"/>
      <c r="C136" s="120" t="str">
        <f>IF(C$26&lt;&gt;"",VLOOKUP(C$131,PowellReleaseTemperature!$A$5:$E$11,5),"")</f>
        <v/>
      </c>
      <c r="D136" s="120" t="str">
        <f>IF(D$26&lt;&gt;"",VLOOKUP(D$131,PowellReleaseTemperature!$A$5:$E$11,5),"")</f>
        <v/>
      </c>
      <c r="E136" s="120" t="str">
        <f>IF(E$26&lt;&gt;"",VLOOKUP(E$131,PowellReleaseTemperature!$A$5:$E$11,5),"")</f>
        <v/>
      </c>
      <c r="F136" s="120" t="str">
        <f>IF(F$26&lt;&gt;"",VLOOKUP(F$131,PowellReleaseTemperature!$A$5:$E$11,5),"")</f>
        <v/>
      </c>
      <c r="G136" s="120" t="str">
        <f>IF(G$26&lt;&gt;"",VLOOKUP(G$131,PowellReleaseTemperature!$A$5:$E$11,5),"")</f>
        <v/>
      </c>
      <c r="H136" s="120" t="str">
        <f>IF(H$26&lt;&gt;"",VLOOKUP(H$131,PowellReleaseTemperature!$A$5:$E$11,5),"")</f>
        <v/>
      </c>
      <c r="I136" s="120" t="str">
        <f>IF(I$26&lt;&gt;"",VLOOKUP(I$131,PowellReleaseTemperature!$A$5:$E$11,5),"")</f>
        <v/>
      </c>
      <c r="J136" s="120" t="str">
        <f>IF(J$26&lt;&gt;"",VLOOKUP(J$131,PowellReleaseTemperature!$A$5:$E$11,5),"")</f>
        <v/>
      </c>
      <c r="K136" s="120" t="str">
        <f>IF(K$26&lt;&gt;"",VLOOKUP(K$131,PowellReleaseTemperature!$A$5:$E$11,5),"")</f>
        <v/>
      </c>
      <c r="L136" s="120" t="str">
        <f>IF(L$26&lt;&gt;"",VLOOKUP(L$131,PowellReleaseTemperature!$A$5:$E$11,5),"")</f>
        <v/>
      </c>
    </row>
    <row r="137" spans="1:14" s="89" customFormat="1" ht="32" customHeight="1" x14ac:dyDescent="0.35">
      <c r="A137" s="121" t="s">
        <v>317</v>
      </c>
      <c r="B137" s="88"/>
      <c r="C137" s="120" t="str">
        <f>IF(C$26&lt;&gt;"",VLOOKUP(C$131,PowellReleaseTemperature!$A$5:$F$11,6),"")</f>
        <v/>
      </c>
      <c r="D137" s="120" t="str">
        <f>IF(D$26&lt;&gt;"",VLOOKUP(D$131,PowellReleaseTemperature!$A$5:$F$11,6),"")</f>
        <v/>
      </c>
      <c r="E137" s="120" t="str">
        <f>IF(E$26&lt;&gt;"",VLOOKUP(E$131,PowellReleaseTemperature!$A$5:$F$11,6),"")</f>
        <v/>
      </c>
      <c r="F137" s="120" t="str">
        <f>IF(F$26&lt;&gt;"",VLOOKUP(F$131,PowellReleaseTemperature!$A$5:$F$11,6),"")</f>
        <v/>
      </c>
      <c r="G137" s="120" t="str">
        <f>IF(G$26&lt;&gt;"",VLOOKUP(G$131,PowellReleaseTemperature!$A$5:$F$11,6),"")</f>
        <v/>
      </c>
      <c r="H137" s="120" t="str">
        <f>IF(H$26&lt;&gt;"",VLOOKUP(H$131,PowellReleaseTemperature!$A$5:$F$11,6),"")</f>
        <v/>
      </c>
      <c r="I137" s="120" t="str">
        <f>IF(I$26&lt;&gt;"",VLOOKUP(I$131,PowellReleaseTemperature!$A$5:$F$11,6),"")</f>
        <v/>
      </c>
      <c r="J137" s="120" t="str">
        <f>IF(J$26&lt;&gt;"",VLOOKUP(J$131,PowellReleaseTemperature!$A$5:$F$11,6),"")</f>
        <v/>
      </c>
      <c r="K137" s="120" t="str">
        <f>IF(K$26&lt;&gt;"",VLOOKUP(K$131,PowellReleaseTemperature!$A$5:$F$11,6),"")</f>
        <v/>
      </c>
      <c r="L137" s="120" t="str">
        <f>IF(L$26&lt;&gt;"",VLOOKUP(L$131,PowellReleaseTemperature!$A$5:$F$11,6),"")</f>
        <v/>
      </c>
    </row>
    <row r="138" spans="1:14" x14ac:dyDescent="0.35">
      <c r="C138" s="29"/>
    </row>
    <row r="139" spans="1:14" x14ac:dyDescent="0.35">
      <c r="A139" s="1" t="s">
        <v>125</v>
      </c>
      <c r="C139" s="140" t="str">
        <f>IF(C$26&lt;&gt;"",0.2,"")</f>
        <v/>
      </c>
      <c r="D139" s="140" t="str">
        <f t="shared" ref="D139:L139" si="54">IF(D$26&lt;&gt;"",0.2,"")</f>
        <v/>
      </c>
      <c r="E139" s="140" t="str">
        <f t="shared" si="54"/>
        <v/>
      </c>
      <c r="F139" s="140" t="str">
        <f t="shared" si="54"/>
        <v/>
      </c>
      <c r="G139" s="140" t="str">
        <f t="shared" si="54"/>
        <v/>
      </c>
      <c r="H139" s="140" t="str">
        <f t="shared" si="54"/>
        <v/>
      </c>
      <c r="I139" s="140" t="str">
        <f t="shared" si="54"/>
        <v/>
      </c>
      <c r="J139" s="140" t="str">
        <f t="shared" si="54"/>
        <v/>
      </c>
      <c r="K139" s="140" t="str">
        <f t="shared" si="54"/>
        <v/>
      </c>
      <c r="L139" s="140" t="str">
        <f t="shared" si="54"/>
        <v/>
      </c>
    </row>
    <row r="140" spans="1:14" x14ac:dyDescent="0.35">
      <c r="A140" t="s">
        <v>126</v>
      </c>
      <c r="C140" s="14" t="str">
        <f t="shared" ref="C140:L140" si="55">IF(C$26&lt;&gt;"",C115+C139,"")</f>
        <v/>
      </c>
      <c r="D140" s="14" t="str">
        <f t="shared" si="55"/>
        <v/>
      </c>
      <c r="E140" s="14" t="str">
        <f t="shared" si="55"/>
        <v/>
      </c>
      <c r="F140" s="14" t="str">
        <f t="shared" si="55"/>
        <v/>
      </c>
      <c r="G140" s="14" t="str">
        <f t="shared" si="55"/>
        <v/>
      </c>
      <c r="H140" s="14" t="str">
        <f t="shared" si="55"/>
        <v/>
      </c>
      <c r="I140" s="14" t="str">
        <f t="shared" si="55"/>
        <v/>
      </c>
      <c r="J140" s="14" t="str">
        <f t="shared" si="55"/>
        <v/>
      </c>
      <c r="K140" s="14" t="str">
        <f t="shared" si="55"/>
        <v/>
      </c>
      <c r="L140" s="14" t="str">
        <f t="shared" si="55"/>
        <v/>
      </c>
    </row>
    <row r="142" spans="1:14" x14ac:dyDescent="0.35">
      <c r="D142" s="18"/>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D61">
    <cfRule type="cellIs" dxfId="305" priority="72" operator="greaterThan">
      <formula>$D$60</formula>
    </cfRule>
  </conditionalFormatting>
  <conditionalFormatting sqref="C61">
    <cfRule type="cellIs" dxfId="304" priority="70" operator="greaterThan">
      <formula>$C$60</formula>
    </cfRule>
  </conditionalFormatting>
  <conditionalFormatting sqref="E61">
    <cfRule type="cellIs" dxfId="303" priority="68" operator="greaterThan">
      <formula>$E$60</formula>
    </cfRule>
  </conditionalFormatting>
  <conditionalFormatting sqref="F61">
    <cfRule type="cellIs" dxfId="302" priority="67" operator="greaterThan">
      <formula>$F$60</formula>
    </cfRule>
  </conditionalFormatting>
  <conditionalFormatting sqref="G61">
    <cfRule type="cellIs" dxfId="301" priority="66" operator="greaterThan">
      <formula>$G$60</formula>
    </cfRule>
  </conditionalFormatting>
  <conditionalFormatting sqref="H61">
    <cfRule type="cellIs" dxfId="300" priority="65" operator="greaterThan">
      <formula>$H$60</formula>
    </cfRule>
  </conditionalFormatting>
  <conditionalFormatting sqref="I61">
    <cfRule type="cellIs" dxfId="299" priority="64" operator="greaterThan">
      <formula>$I$60</formula>
    </cfRule>
  </conditionalFormatting>
  <conditionalFormatting sqref="J61">
    <cfRule type="cellIs" dxfId="298" priority="63" operator="greaterThan">
      <formula>$J$60</formula>
    </cfRule>
  </conditionalFormatting>
  <conditionalFormatting sqref="K61">
    <cfRule type="cellIs" dxfId="297" priority="62" operator="greaterThan">
      <formula>$K$60</formula>
    </cfRule>
  </conditionalFormatting>
  <conditionalFormatting sqref="L61">
    <cfRule type="cellIs" dxfId="296" priority="61" operator="greaterThan">
      <formula>$L$60</formula>
    </cfRule>
  </conditionalFormatting>
  <conditionalFormatting sqref="C69">
    <cfRule type="cellIs" dxfId="295" priority="53" operator="greaterThan">
      <formula>$C$68</formula>
    </cfRule>
  </conditionalFormatting>
  <conditionalFormatting sqref="D69">
    <cfRule type="cellIs" dxfId="294" priority="52" operator="greaterThan">
      <formula>$D$68</formula>
    </cfRule>
  </conditionalFormatting>
  <conditionalFormatting sqref="E69">
    <cfRule type="cellIs" dxfId="293" priority="51" operator="greaterThan">
      <formula>$E$68</formula>
    </cfRule>
  </conditionalFormatting>
  <conditionalFormatting sqref="F69">
    <cfRule type="cellIs" dxfId="292" priority="50" operator="greaterThan">
      <formula>$F$68</formula>
    </cfRule>
  </conditionalFormatting>
  <conditionalFormatting sqref="G69">
    <cfRule type="cellIs" dxfId="291" priority="49" operator="greaterThan">
      <formula>$G$68</formula>
    </cfRule>
  </conditionalFormatting>
  <conditionalFormatting sqref="H69">
    <cfRule type="cellIs" dxfId="290" priority="48" operator="greaterThan">
      <formula>$H$68</formula>
    </cfRule>
  </conditionalFormatting>
  <conditionalFormatting sqref="I69">
    <cfRule type="cellIs" dxfId="289" priority="47" operator="greaterThan">
      <formula>$I$68</formula>
    </cfRule>
  </conditionalFormatting>
  <conditionalFormatting sqref="J69">
    <cfRule type="cellIs" dxfId="288" priority="46" operator="greaterThan">
      <formula>$J$68</formula>
    </cfRule>
  </conditionalFormatting>
  <conditionalFormatting sqref="K69">
    <cfRule type="cellIs" dxfId="287" priority="45" operator="greaterThan">
      <formula>$K$68</formula>
    </cfRule>
  </conditionalFormatting>
  <conditionalFormatting sqref="L69">
    <cfRule type="cellIs" dxfId="286" priority="44" operator="greaterThan">
      <formula>$L$68</formula>
    </cfRule>
  </conditionalFormatting>
  <conditionalFormatting sqref="C77">
    <cfRule type="cellIs" dxfId="285" priority="43" operator="greaterThan">
      <formula>$C$76</formula>
    </cfRule>
  </conditionalFormatting>
  <conditionalFormatting sqref="D77">
    <cfRule type="cellIs" dxfId="284" priority="42" operator="greaterThan">
      <formula>$D$76</formula>
    </cfRule>
  </conditionalFormatting>
  <conditionalFormatting sqref="E77">
    <cfRule type="cellIs" dxfId="283" priority="41" operator="greaterThan">
      <formula>$E$76</formula>
    </cfRule>
  </conditionalFormatting>
  <conditionalFormatting sqref="F77">
    <cfRule type="cellIs" dxfId="282" priority="40" operator="greaterThan">
      <formula>$F$76</formula>
    </cfRule>
  </conditionalFormatting>
  <conditionalFormatting sqref="G77">
    <cfRule type="cellIs" dxfId="281" priority="39" operator="greaterThan">
      <formula>$G$76</formula>
    </cfRule>
  </conditionalFormatting>
  <conditionalFormatting sqref="H77">
    <cfRule type="cellIs" dxfId="280" priority="38" operator="greaterThan">
      <formula>$H$76</formula>
    </cfRule>
  </conditionalFormatting>
  <conditionalFormatting sqref="I77">
    <cfRule type="cellIs" dxfId="279" priority="37" operator="greaterThan">
      <formula>$I$76</formula>
    </cfRule>
  </conditionalFormatting>
  <conditionalFormatting sqref="J77">
    <cfRule type="cellIs" dxfId="278" priority="36" operator="greaterThan">
      <formula>$J$76</formula>
    </cfRule>
  </conditionalFormatting>
  <conditionalFormatting sqref="K77">
    <cfRule type="cellIs" dxfId="277" priority="35" operator="greaterThan">
      <formula>$K$76</formula>
    </cfRule>
  </conditionalFormatting>
  <conditionalFormatting sqref="L77">
    <cfRule type="cellIs" dxfId="276" priority="34" operator="greaterThan">
      <formula>$L$76</formula>
    </cfRule>
  </conditionalFormatting>
  <conditionalFormatting sqref="C85:L85">
    <cfRule type="cellIs" dxfId="275" priority="33" operator="greaterThan">
      <formula>$C$84</formula>
    </cfRule>
  </conditionalFormatting>
  <conditionalFormatting sqref="C93">
    <cfRule type="cellIs" dxfId="274" priority="32" operator="greaterThan">
      <formula>$C$92</formula>
    </cfRule>
  </conditionalFormatting>
  <conditionalFormatting sqref="D93">
    <cfRule type="cellIs" dxfId="273" priority="31" operator="greaterThan">
      <formula>$D$92</formula>
    </cfRule>
  </conditionalFormatting>
  <conditionalFormatting sqref="E93">
    <cfRule type="cellIs" dxfId="272" priority="30" operator="greaterThan">
      <formula>$E$92</formula>
    </cfRule>
  </conditionalFormatting>
  <conditionalFormatting sqref="F93">
    <cfRule type="cellIs" dxfId="271" priority="29" operator="greaterThan">
      <formula>$F$92</formula>
    </cfRule>
  </conditionalFormatting>
  <conditionalFormatting sqref="G93">
    <cfRule type="cellIs" dxfId="270" priority="28" operator="greaterThan">
      <formula>$G$92</formula>
    </cfRule>
  </conditionalFormatting>
  <conditionalFormatting sqref="H93">
    <cfRule type="cellIs" dxfId="269" priority="27" operator="greaterThan">
      <formula>$H$92</formula>
    </cfRule>
  </conditionalFormatting>
  <conditionalFormatting sqref="I93">
    <cfRule type="cellIs" dxfId="268" priority="26" operator="greaterThan">
      <formula>$I$92</formula>
    </cfRule>
  </conditionalFormatting>
  <conditionalFormatting sqref="J93">
    <cfRule type="cellIs" dxfId="267" priority="25" operator="greaterThan">
      <formula>$J$92</formula>
    </cfRule>
  </conditionalFormatting>
  <conditionalFormatting sqref="K93">
    <cfRule type="cellIs" dxfId="266" priority="24" operator="greaterThan">
      <formula>$K$92</formula>
    </cfRule>
  </conditionalFormatting>
  <conditionalFormatting sqref="L93">
    <cfRule type="cellIs" dxfId="265" priority="23" operator="greaterThan">
      <formula>$L$92</formula>
    </cfRule>
  </conditionalFormatting>
  <conditionalFormatting sqref="C101">
    <cfRule type="cellIs" dxfId="264" priority="22" operator="greaterThan">
      <formula>$C$100</formula>
    </cfRule>
  </conditionalFormatting>
  <conditionalFormatting sqref="D101">
    <cfRule type="cellIs" dxfId="263" priority="21" operator="greaterThan">
      <formula>$D$100</formula>
    </cfRule>
  </conditionalFormatting>
  <conditionalFormatting sqref="E101">
    <cfRule type="cellIs" dxfId="262" priority="20" operator="greaterThan">
      <formula>$E$100</formula>
    </cfRule>
  </conditionalFormatting>
  <conditionalFormatting sqref="F101">
    <cfRule type="cellIs" dxfId="261" priority="19" operator="greaterThan">
      <formula>$F$100</formula>
    </cfRule>
  </conditionalFormatting>
  <conditionalFormatting sqref="G101">
    <cfRule type="cellIs" dxfId="260" priority="18" operator="greaterThan">
      <formula>$G$100</formula>
    </cfRule>
  </conditionalFormatting>
  <conditionalFormatting sqref="H101">
    <cfRule type="cellIs" dxfId="259" priority="17" operator="greaterThan">
      <formula>$H$100</formula>
    </cfRule>
  </conditionalFormatting>
  <conditionalFormatting sqref="I101">
    <cfRule type="cellIs" dxfId="258" priority="16" operator="greaterThan">
      <formula>$I$100</formula>
    </cfRule>
  </conditionalFormatting>
  <conditionalFormatting sqref="J101">
    <cfRule type="cellIs" dxfId="257" priority="15" operator="greaterThan">
      <formula>$J$100</formula>
    </cfRule>
  </conditionalFormatting>
  <conditionalFormatting sqref="K101">
    <cfRule type="cellIs" dxfId="256" priority="14" operator="greaterThan">
      <formula>$K$100</formula>
    </cfRule>
  </conditionalFormatting>
  <conditionalFormatting sqref="L101">
    <cfRule type="cellIs" dxfId="255" priority="13"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1" id="{7C698C47-4FB9-494A-AE3D-E067138C3DA4}">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69" id="{CA673E3A-0573-4C4D-97EC-ADE3403833DE}">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60" id="{30B59755-79D6-4C3F-A831-04B67BBCEB4D}">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59" id="{8BFB63ED-E67D-4377-8943-83B355D328BC}">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58" id="{1E229F36-8FC9-444A-8388-B7D0011BF132}">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5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5" id="{FC9241E0-399F-4612-9178-0FDDFFF0E42A}">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4" id="{DD71F70E-9732-4C09-96AD-AC28A6D96762}">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2" id="{C970D36A-412D-482A-B900-0C93FEFDE178}">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8" operator="equal" id="{5357DFB2-3891-48E1-B27F-CD234EB2CD57}">
            <xm:f>PowellReleaseTemperature!$B$10</xm:f>
            <x14:dxf>
              <font>
                <color auto="1"/>
              </font>
              <fill>
                <patternFill>
                  <bgColor theme="4"/>
                </patternFill>
              </fill>
            </x14:dxf>
          </x14:cfRule>
          <x14:cfRule type="cellIs" priority="9" operator="equal" id="{43E8EC42-89FE-49C2-B4CA-7EDC00E56C24}">
            <xm:f>PowellReleaseTemperature!$B$9</xm:f>
            <x14:dxf>
              <font>
                <color theme="4" tint="-0.24994659260841701"/>
              </font>
              <fill>
                <patternFill>
                  <bgColor theme="8" tint="0.59996337778862885"/>
                </patternFill>
              </fill>
            </x14:dxf>
          </x14:cfRule>
          <x14:cfRule type="cellIs" priority="10" operator="equal" id="{B16FC9FC-6E25-4AE2-9518-C25A97A3B86D}">
            <xm:f>PowellReleaseTemperature!$B$8</xm:f>
            <x14:dxf>
              <font>
                <color rgb="FF9C0006"/>
              </font>
              <fill>
                <patternFill>
                  <bgColor rgb="FFFFC7CE"/>
                </patternFill>
              </fill>
            </x14:dxf>
          </x14:cfRule>
          <x14:cfRule type="cellIs" priority="11" operator="equal" id="{2FD4DEED-7B30-463E-ACC6-701B2D716979}">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4" operator="equal" id="{2968B8F7-FEAC-4C07-B447-FEC1EC951C4E}">
            <xm:f>PowellReleaseTemperature!$E$5</xm:f>
            <x14:dxf>
              <font>
                <color auto="1"/>
              </font>
              <fill>
                <patternFill>
                  <bgColor rgb="FFFF0000"/>
                </patternFill>
              </fill>
            </x14:dxf>
          </x14:cfRule>
          <x14:cfRule type="cellIs" priority="5" operator="equal" id="{76D7FC8D-E86E-42C5-81AF-FCF368FB1D13}">
            <xm:f>PowellReleaseTemperature!$E$8</xm:f>
            <x14:dxf>
              <font>
                <color rgb="FF9C0006"/>
              </font>
              <fill>
                <patternFill>
                  <bgColor rgb="FFFFC7CE"/>
                </patternFill>
              </fill>
            </x14:dxf>
          </x14:cfRule>
          <x14:cfRule type="cellIs" priority="6" operator="equal" id="{1F7066A3-FA24-4095-AE9A-6EC5B7904A42}">
            <xm:f>PowellReleaseTemperature!$E$9</xm:f>
            <x14:dxf>
              <font>
                <color theme="4" tint="-0.24994659260841701"/>
              </font>
              <fill>
                <patternFill>
                  <bgColor theme="8" tint="0.59996337778862885"/>
                </patternFill>
              </fill>
            </x14:dxf>
          </x14:cfRule>
          <x14:cfRule type="cellIs" priority="7" operator="equal" id="{04F25BD0-19DE-465C-881C-9CA871D46223}">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1" operator="equal" id="{B018FE02-F2BE-42C4-AA72-9C14DC2ACA4C}">
            <xm:f>PowellReleaseTemperature!$F$10</xm:f>
            <x14:dxf>
              <font>
                <color auto="1"/>
              </font>
              <fill>
                <patternFill>
                  <bgColor theme="4"/>
                </patternFill>
              </fill>
            </x14:dxf>
          </x14:cfRule>
          <x14:cfRule type="cellIs" priority="2" operator="equal" id="{8DE5451E-5BDE-44DE-BA85-D7842A320DCA}">
            <xm:f>PowellReleaseTemperature!$F$9</xm:f>
            <x14:dxf>
              <font>
                <color theme="4" tint="-0.24994659260841701"/>
              </font>
              <fill>
                <patternFill>
                  <bgColor theme="8" tint="0.59996337778862885"/>
                </patternFill>
              </fill>
            </x14:dxf>
          </x14:cfRule>
          <x14:cfRule type="cellIs" priority="3" operator="equal" id="{3F46F846-A686-4908-8443-3AC42C4A3A46}">
            <xm:f>PowellReleaseTemperature!$F$5</xm:f>
            <x14:dxf>
              <font>
                <color auto="1"/>
              </font>
              <fill>
                <patternFill>
                  <bgColor rgb="FFFF0000"/>
                </patternFill>
              </fill>
            </x14:dxf>
          </x14:cfRule>
          <xm:sqref>C137:L137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83D47-9CB3-4455-88E6-2FDFFECA8F9F}">
  <dimension ref="A1:N142"/>
  <sheetViews>
    <sheetView zoomScale="150" zoomScaleNormal="150" workbookViewId="0">
      <selection activeCell="B13" sqref="B13:F13"/>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10.45312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73" t="s">
        <v>151</v>
      </c>
      <c r="B3" s="173"/>
      <c r="C3" s="173"/>
      <c r="D3" s="173"/>
      <c r="E3" s="173"/>
      <c r="F3" s="173"/>
      <c r="G3" s="173"/>
      <c r="H3" s="64"/>
      <c r="I3" s="64"/>
      <c r="J3" s="64"/>
      <c r="K3" s="64"/>
    </row>
    <row r="4" spans="1:13" x14ac:dyDescent="0.35">
      <c r="A4" s="53" t="s">
        <v>38</v>
      </c>
      <c r="B4" s="53" t="s">
        <v>42</v>
      </c>
      <c r="C4" s="174" t="s">
        <v>43</v>
      </c>
      <c r="D4" s="175"/>
      <c r="E4" s="175"/>
      <c r="F4" s="175"/>
      <c r="G4" s="176"/>
      <c r="M4" s="1" t="s">
        <v>321</v>
      </c>
    </row>
    <row r="5" spans="1:13" x14ac:dyDescent="0.35">
      <c r="A5" s="133" t="s">
        <v>39</v>
      </c>
      <c r="B5" s="133" t="s">
        <v>153</v>
      </c>
      <c r="C5" s="177" t="s">
        <v>324</v>
      </c>
      <c r="D5" s="178"/>
      <c r="E5" s="178"/>
      <c r="F5" s="178"/>
      <c r="G5" s="178"/>
      <c r="M5" t="s">
        <v>322</v>
      </c>
    </row>
    <row r="6" spans="1:13" x14ac:dyDescent="0.35">
      <c r="A6" s="133" t="s">
        <v>40</v>
      </c>
      <c r="B6" s="133" t="s">
        <v>153</v>
      </c>
      <c r="C6" s="177" t="s">
        <v>325</v>
      </c>
      <c r="D6" s="178"/>
      <c r="E6" s="178"/>
      <c r="F6" s="178"/>
      <c r="G6" s="178"/>
      <c r="M6" t="s">
        <v>327</v>
      </c>
    </row>
    <row r="7" spans="1:13" x14ac:dyDescent="0.35">
      <c r="A7" s="133" t="s">
        <v>41</v>
      </c>
      <c r="B7" s="133" t="s">
        <v>153</v>
      </c>
      <c r="C7" s="177" t="s">
        <v>326</v>
      </c>
      <c r="D7" s="178"/>
      <c r="E7" s="178"/>
      <c r="F7" s="178"/>
      <c r="G7" s="178"/>
      <c r="M7" t="s">
        <v>328</v>
      </c>
    </row>
    <row r="8" spans="1:13" x14ac:dyDescent="0.35">
      <c r="A8" s="111" t="s">
        <v>157</v>
      </c>
      <c r="B8" s="111" t="s">
        <v>153</v>
      </c>
      <c r="C8" s="179" t="s">
        <v>323</v>
      </c>
      <c r="D8" s="179"/>
      <c r="E8" s="179"/>
      <c r="F8" s="179"/>
      <c r="G8" s="179"/>
    </row>
    <row r="9" spans="1:13" x14ac:dyDescent="0.35">
      <c r="A9" s="133"/>
      <c r="B9" s="133"/>
      <c r="C9" s="167"/>
      <c r="D9" s="167"/>
      <c r="E9" s="167"/>
      <c r="F9" s="167"/>
      <c r="G9" s="167"/>
    </row>
    <row r="10" spans="1:13" x14ac:dyDescent="0.35">
      <c r="A10" s="133"/>
      <c r="B10" s="133"/>
      <c r="C10" s="167"/>
      <c r="D10" s="167"/>
      <c r="E10" s="167"/>
      <c r="F10" s="167"/>
      <c r="G10" s="167"/>
    </row>
    <row r="11" spans="1:13" x14ac:dyDescent="0.35">
      <c r="A11" s="16"/>
      <c r="B11" s="2"/>
      <c r="C11"/>
    </row>
    <row r="12" spans="1:13" x14ac:dyDescent="0.35">
      <c r="A12" s="19" t="s">
        <v>45</v>
      </c>
      <c r="B12" s="166" t="s">
        <v>198</v>
      </c>
      <c r="C12" s="166"/>
      <c r="D12" s="166"/>
      <c r="E12" s="166"/>
      <c r="F12" s="166"/>
    </row>
    <row r="13" spans="1:13" x14ac:dyDescent="0.35">
      <c r="B13" s="168" t="s">
        <v>351</v>
      </c>
      <c r="C13" s="169"/>
      <c r="D13" s="169"/>
      <c r="E13" s="169"/>
      <c r="F13" s="169"/>
    </row>
    <row r="14" spans="1:13" x14ac:dyDescent="0.35">
      <c r="B14" s="170" t="s">
        <v>330</v>
      </c>
      <c r="C14" s="171"/>
      <c r="D14" s="171"/>
      <c r="E14" s="171"/>
      <c r="F14" s="171"/>
    </row>
    <row r="15" spans="1:13" x14ac:dyDescent="0.35">
      <c r="B15" s="172" t="s">
        <v>46</v>
      </c>
      <c r="C15" s="172"/>
      <c r="D15" s="172"/>
      <c r="E15" s="172"/>
      <c r="F15" s="172"/>
    </row>
    <row r="17" spans="1:14" x14ac:dyDescent="0.35">
      <c r="A17" s="1" t="s">
        <v>53</v>
      </c>
      <c r="D17" s="166" t="s">
        <v>154</v>
      </c>
      <c r="E17" s="166"/>
      <c r="F17" s="166"/>
      <c r="G17" s="166"/>
    </row>
    <row r="19" spans="1:14" x14ac:dyDescent="0.35">
      <c r="A19" s="1" t="s">
        <v>32</v>
      </c>
      <c r="B19" s="1" t="s">
        <v>110</v>
      </c>
      <c r="C19" s="13" t="s">
        <v>111</v>
      </c>
    </row>
    <row r="20" spans="1:14" x14ac:dyDescent="0.35">
      <c r="A20" t="s">
        <v>109</v>
      </c>
      <c r="B20" s="140">
        <v>5.73</v>
      </c>
      <c r="C20" s="140">
        <v>6</v>
      </c>
      <c r="D20" s="23" t="s">
        <v>112</v>
      </c>
    </row>
    <row r="21" spans="1:14" x14ac:dyDescent="0.35">
      <c r="A21" t="s">
        <v>141</v>
      </c>
      <c r="B21" s="140">
        <v>11</v>
      </c>
      <c r="C21" s="140">
        <v>10.1</v>
      </c>
      <c r="D21" s="11" t="s">
        <v>34</v>
      </c>
    </row>
    <row r="22" spans="1:14" x14ac:dyDescent="0.35">
      <c r="A22" t="s">
        <v>189</v>
      </c>
      <c r="B22" s="62">
        <v>3525</v>
      </c>
      <c r="C22" s="62">
        <v>1020</v>
      </c>
      <c r="D22" s="11"/>
    </row>
    <row r="23" spans="1:14" x14ac:dyDescent="0.35">
      <c r="A23" t="s">
        <v>175</v>
      </c>
      <c r="B23" s="140">
        <f>VLOOKUP(B22,'Powell-Elevation-Area'!$A$5:$B$689,2)/1000000</f>
        <v>5.9265762500000001</v>
      </c>
      <c r="C23" s="140">
        <f>VLOOKUP(C22,'Mead-Elevation-Area'!$A$5:$B$689,2)/1000000</f>
        <v>5.664593</v>
      </c>
      <c r="D23" s="11"/>
      <c r="E23" s="45"/>
    </row>
    <row r="25" spans="1:14" s="1" customFormat="1" x14ac:dyDescent="0.35">
      <c r="A25" s="146" t="s">
        <v>35</v>
      </c>
      <c r="B25" s="147" t="s">
        <v>48</v>
      </c>
      <c r="C25" s="147" t="s">
        <v>5</v>
      </c>
      <c r="D25" s="147" t="s">
        <v>6</v>
      </c>
      <c r="E25" s="147" t="s">
        <v>7</v>
      </c>
      <c r="F25" s="147" t="s">
        <v>8</v>
      </c>
      <c r="G25" s="147" t="s">
        <v>9</v>
      </c>
      <c r="H25" s="147" t="s">
        <v>10</v>
      </c>
      <c r="I25" s="147" t="s">
        <v>11</v>
      </c>
      <c r="J25" s="147" t="s">
        <v>12</v>
      </c>
      <c r="K25" s="147" t="s">
        <v>36</v>
      </c>
      <c r="L25" s="147" t="s">
        <v>37</v>
      </c>
      <c r="M25" s="147" t="s">
        <v>107</v>
      </c>
      <c r="N25" s="147" t="s">
        <v>172</v>
      </c>
    </row>
    <row r="26" spans="1:14" x14ac:dyDescent="0.35">
      <c r="A26" s="1" t="s">
        <v>44</v>
      </c>
      <c r="B26" s="1"/>
      <c r="C26" s="141">
        <v>11</v>
      </c>
      <c r="D26" s="141">
        <v>9</v>
      </c>
      <c r="E26" s="141">
        <v>8.1</v>
      </c>
      <c r="F26" s="141">
        <v>8.1</v>
      </c>
      <c r="G26" s="141">
        <v>8.1</v>
      </c>
      <c r="H26" s="141"/>
      <c r="I26" s="141"/>
      <c r="J26" s="141"/>
      <c r="K26" s="141"/>
      <c r="L26" s="141"/>
    </row>
    <row r="27" spans="1:14" x14ac:dyDescent="0.35">
      <c r="A27" s="1" t="s">
        <v>121</v>
      </c>
      <c r="B27" s="1"/>
      <c r="C27" s="140">
        <f>IF(C$26&lt;&gt;"",0.8,"")</f>
        <v>0.8</v>
      </c>
      <c r="D27" s="140">
        <f t="shared" ref="D27:L27" si="0">IF(D$26&lt;&gt;"",0.8,"")</f>
        <v>0.8</v>
      </c>
      <c r="E27" s="140">
        <f t="shared" si="0"/>
        <v>0.8</v>
      </c>
      <c r="F27" s="140">
        <f t="shared" si="0"/>
        <v>0.8</v>
      </c>
      <c r="G27" s="140">
        <f t="shared" si="0"/>
        <v>0.8</v>
      </c>
      <c r="H27" s="140" t="str">
        <f t="shared" si="0"/>
        <v/>
      </c>
      <c r="I27" s="140" t="str">
        <f t="shared" si="0"/>
        <v/>
      </c>
      <c r="J27" s="140" t="str">
        <f t="shared" si="0"/>
        <v/>
      </c>
      <c r="K27" s="140" t="str">
        <f t="shared" si="0"/>
        <v/>
      </c>
      <c r="L27" s="140" t="str">
        <f t="shared" si="0"/>
        <v/>
      </c>
    </row>
    <row r="28" spans="1:14" x14ac:dyDescent="0.35">
      <c r="A28" s="1" t="s">
        <v>305</v>
      </c>
      <c r="B28" s="1"/>
      <c r="C28" s="140">
        <f>IF(C$26&lt;&gt;"",0.6,"")</f>
        <v>0.6</v>
      </c>
      <c r="D28" s="140">
        <f t="shared" ref="D28:L28" si="1">IF(D$26&lt;&gt;"",0.6,"")</f>
        <v>0.6</v>
      </c>
      <c r="E28" s="140">
        <f t="shared" si="1"/>
        <v>0.6</v>
      </c>
      <c r="F28" s="140">
        <f t="shared" si="1"/>
        <v>0.6</v>
      </c>
      <c r="G28" s="140">
        <f t="shared" si="1"/>
        <v>0.6</v>
      </c>
      <c r="H28" s="140" t="str">
        <f t="shared" si="1"/>
        <v/>
      </c>
      <c r="I28" s="140" t="str">
        <f t="shared" si="1"/>
        <v/>
      </c>
      <c r="J28" s="140" t="str">
        <f t="shared" si="1"/>
        <v/>
      </c>
      <c r="K28" s="140" t="str">
        <f t="shared" si="1"/>
        <v/>
      </c>
      <c r="L28" s="140" t="str">
        <f t="shared" si="1"/>
        <v/>
      </c>
    </row>
    <row r="29" spans="1:14" x14ac:dyDescent="0.35">
      <c r="A29" s="1" t="s">
        <v>124</v>
      </c>
      <c r="B29" s="114">
        <f>SUM(B30:B35)-SUM(B21:C21)</f>
        <v>0</v>
      </c>
      <c r="C29" s="14">
        <f>IF(C$26&lt;&gt;"",SUM(B21:C21),"")</f>
        <v>21.1</v>
      </c>
      <c r="D29" s="14">
        <f ca="1">IF(D$26&lt;&gt;"",C127,"")</f>
        <v>19.278102320000027</v>
      </c>
      <c r="E29" s="14">
        <f t="shared" ref="E29:L29" ca="1" si="2">IF(E$26&lt;&gt;"",D127,"")</f>
        <v>16.611442566000601</v>
      </c>
      <c r="F29" s="14">
        <f t="shared" ca="1" si="2"/>
        <v>14.115209246000601</v>
      </c>
      <c r="G29" s="14">
        <f t="shared" ca="1" si="2"/>
        <v>13.103063047500001</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15">
        <f>B21-B23</f>
        <v>5.0734237499999999</v>
      </c>
      <c r="C30" s="112">
        <f>IF(OR(C$26="",$A30=""),"",B30)</f>
        <v>5.0734237499999999</v>
      </c>
      <c r="D30" s="14">
        <f ca="1">IF(OR(D$26="",$A30=""),"",C121)</f>
        <v>3.5040452368981789</v>
      </c>
      <c r="E30" s="14">
        <f t="shared" ref="E30:L30" ca="1" si="4">IF(OR(E$26="",$A30=""),"",D121)</f>
        <v>1.8046756171877996</v>
      </c>
      <c r="F30" s="14">
        <f t="shared" ca="1" si="4"/>
        <v>1.5073083708761699</v>
      </c>
      <c r="G30" s="14">
        <f t="shared" ca="1" si="4"/>
        <v>0.82058243277347653</v>
      </c>
      <c r="H30" s="14" t="str">
        <f t="shared" si="4"/>
        <v/>
      </c>
      <c r="I30" s="14" t="str">
        <f t="shared" si="4"/>
        <v/>
      </c>
      <c r="J30" s="14" t="str">
        <f t="shared" si="4"/>
        <v/>
      </c>
      <c r="K30" s="14" t="str">
        <f t="shared" si="4"/>
        <v/>
      </c>
      <c r="L30" s="14" t="str">
        <f t="shared" si="4"/>
        <v/>
      </c>
      <c r="N30" t="s">
        <v>177</v>
      </c>
    </row>
    <row r="31" spans="1:14" x14ac:dyDescent="0.35">
      <c r="A31" t="str">
        <f t="shared" si="3"/>
        <v xml:space="preserve">    Lower Basin Balance</v>
      </c>
      <c r="B31" s="115">
        <f>C21-C23-B32</f>
        <v>4.2614069999999993</v>
      </c>
      <c r="C31" s="112">
        <f t="shared" ref="C31:C35" si="5">IF(OR(C$26="",$A31=""),"",B31)</f>
        <v>4.2614069999999993</v>
      </c>
      <c r="D31" s="14">
        <f t="shared" ref="D31:L31" ca="1" si="6">IF(OR(D$26="",$A31=""),"",C122)</f>
        <v>4.0699815232907888</v>
      </c>
      <c r="E31" s="14">
        <f t="shared" ca="1" si="6"/>
        <v>2.8610195042827629</v>
      </c>
      <c r="F31" s="14">
        <f t="shared" ca="1" si="6"/>
        <v>0.86795057260783626</v>
      </c>
      <c r="G31" s="14">
        <f t="shared" ca="1" si="6"/>
        <v>0.63775738801431459</v>
      </c>
      <c r="H31" s="14" t="str">
        <f t="shared" si="6"/>
        <v/>
      </c>
      <c r="I31" s="14" t="str">
        <f t="shared" si="6"/>
        <v/>
      </c>
      <c r="J31" s="14" t="str">
        <f t="shared" si="6"/>
        <v/>
      </c>
      <c r="K31" s="14" t="str">
        <f t="shared" si="6"/>
        <v/>
      </c>
      <c r="L31" s="14" t="str">
        <f t="shared" si="6"/>
        <v/>
      </c>
      <c r="N31" t="s">
        <v>174</v>
      </c>
    </row>
    <row r="32" spans="1:14" x14ac:dyDescent="0.35">
      <c r="A32" t="str">
        <f t="shared" si="3"/>
        <v xml:space="preserve">    Mexico Balance</v>
      </c>
      <c r="B32" s="116">
        <v>0.17399999999999999</v>
      </c>
      <c r="C32" s="113">
        <f t="shared" si="5"/>
        <v>0.17399999999999999</v>
      </c>
      <c r="D32" s="52">
        <f t="shared" ref="D32:L32" ca="1" si="7">IF(OR(D$26="",$A32=""),"",C123)</f>
        <v>0.11290630981105854</v>
      </c>
      <c r="E32" s="52">
        <f t="shared" ca="1" si="7"/>
        <v>0.35457819453003792</v>
      </c>
      <c r="F32" s="52">
        <f t="shared" ca="1" si="7"/>
        <v>0.14878105251659535</v>
      </c>
      <c r="G32" s="52">
        <f t="shared" ca="1" si="7"/>
        <v>5.3553976712210183E-2</v>
      </c>
      <c r="H32" s="14" t="str">
        <f t="shared" si="7"/>
        <v/>
      </c>
      <c r="I32" s="14" t="str">
        <f t="shared" si="7"/>
        <v/>
      </c>
      <c r="J32" s="14" t="str">
        <f t="shared" si="7"/>
        <v/>
      </c>
      <c r="K32" s="14" t="str">
        <f t="shared" si="7"/>
        <v/>
      </c>
      <c r="L32" s="14" t="str">
        <f t="shared" si="7"/>
        <v/>
      </c>
      <c r="N32" t="s">
        <v>173</v>
      </c>
    </row>
    <row r="33" spans="1:14" x14ac:dyDescent="0.35">
      <c r="A33" t="str">
        <f t="shared" si="3"/>
        <v xml:space="preserve">    Shared, Reserve Balance</v>
      </c>
      <c r="B33" s="115">
        <f>SUM(B23:C23)</f>
        <v>11.59116925</v>
      </c>
      <c r="C33" s="112">
        <f t="shared" si="5"/>
        <v>11.59116925</v>
      </c>
      <c r="D33" s="14">
        <f t="shared" ref="D33:L33" ca="1" si="8">IF(OR(D$26="",$A33=""),"",C124)</f>
        <v>11.59116925</v>
      </c>
      <c r="E33" s="14">
        <f t="shared" ca="1" si="8"/>
        <v>11.59116925</v>
      </c>
      <c r="F33" s="14">
        <f t="shared" ca="1" si="8"/>
        <v>11.59116925</v>
      </c>
      <c r="G33" s="14">
        <f t="shared" ca="1" si="8"/>
        <v>11.59116925</v>
      </c>
      <c r="H33" s="14" t="str">
        <f t="shared" si="8"/>
        <v/>
      </c>
      <c r="I33" s="14" t="str">
        <f t="shared" si="8"/>
        <v/>
      </c>
      <c r="J33" s="14" t="str">
        <f t="shared" si="8"/>
        <v/>
      </c>
      <c r="K33" s="14" t="str">
        <f t="shared" si="8"/>
        <v/>
      </c>
      <c r="L33" s="14" t="str">
        <f t="shared" si="8"/>
        <v/>
      </c>
    </row>
    <row r="34" spans="1:14" x14ac:dyDescent="0.35">
      <c r="A34" t="str">
        <f t="shared" si="3"/>
        <v/>
      </c>
      <c r="B34" s="115"/>
      <c r="C34" s="112" t="str">
        <f t="shared" si="5"/>
        <v/>
      </c>
      <c r="D34" s="14" t="str">
        <f t="shared" ref="D34:L34" si="9">IF(OR(D$26="",$A34=""),"",C125)</f>
        <v/>
      </c>
      <c r="E34" s="14" t="str">
        <f t="shared" si="9"/>
        <v/>
      </c>
      <c r="F34" s="14" t="str">
        <f t="shared" si="9"/>
        <v/>
      </c>
      <c r="G34" s="14" t="str">
        <f t="shared" si="9"/>
        <v/>
      </c>
      <c r="H34" s="14" t="str">
        <f t="shared" si="9"/>
        <v/>
      </c>
      <c r="I34" s="14" t="str">
        <f t="shared" si="9"/>
        <v/>
      </c>
      <c r="J34" s="14" t="str">
        <f t="shared" si="9"/>
        <v/>
      </c>
      <c r="K34" s="14" t="str">
        <f t="shared" si="9"/>
        <v/>
      </c>
      <c r="L34" s="14" t="str">
        <f t="shared" si="9"/>
        <v/>
      </c>
      <c r="N34" t="s">
        <v>176</v>
      </c>
    </row>
    <row r="35" spans="1:14" x14ac:dyDescent="0.35">
      <c r="A35" t="str">
        <f t="shared" si="3"/>
        <v/>
      </c>
      <c r="B35" s="117"/>
      <c r="C35" s="112" t="str">
        <f t="shared" si="5"/>
        <v/>
      </c>
      <c r="D35" s="14" t="str">
        <f t="shared" ref="D35:L35" si="10">IF(OR(D$26="",$A35=""),"",C126)</f>
        <v/>
      </c>
      <c r="E35" s="14" t="str">
        <f t="shared" si="10"/>
        <v/>
      </c>
      <c r="F35" s="14" t="str">
        <f t="shared" si="10"/>
        <v/>
      </c>
      <c r="G35" s="14" t="str">
        <f t="shared" si="10"/>
        <v/>
      </c>
      <c r="H35" s="14" t="str">
        <f t="shared" si="10"/>
        <v/>
      </c>
      <c r="I35" s="14" t="str">
        <f t="shared" si="10"/>
        <v/>
      </c>
      <c r="J35" s="14" t="str">
        <f t="shared" si="10"/>
        <v/>
      </c>
      <c r="K35" s="14" t="str">
        <f t="shared" si="10"/>
        <v/>
      </c>
      <c r="L35" s="14" t="str">
        <f t="shared" si="10"/>
        <v/>
      </c>
    </row>
    <row r="36" spans="1:14" x14ac:dyDescent="0.35">
      <c r="A36" s="1" t="s">
        <v>196</v>
      </c>
      <c r="C36"/>
    </row>
    <row r="37" spans="1:14" x14ac:dyDescent="0.35">
      <c r="A37" t="s">
        <v>113</v>
      </c>
      <c r="C37" s="14">
        <f>IF(C$26&lt;&gt;"",B21,"")</f>
        <v>11</v>
      </c>
      <c r="D37" s="14">
        <f ca="1">IF(D$26&lt;&gt;"",C129,"")</f>
        <v>9.6390511600000135</v>
      </c>
      <c r="E37" s="14">
        <f t="shared" ref="E37:G37" ca="1" si="11">IF(E$26&lt;&gt;"",D129,"")</f>
        <v>10.797437667900391</v>
      </c>
      <c r="F37" s="14">
        <f t="shared" ca="1" si="11"/>
        <v>12.703688321400541</v>
      </c>
      <c r="G37" s="14">
        <f t="shared" ca="1" si="11"/>
        <v>6.5515315237500005</v>
      </c>
      <c r="H37" s="14" t="str">
        <f t="shared" ref="H37:H38" si="12">IF(H$26&lt;&gt;"",G129,"")</f>
        <v/>
      </c>
      <c r="I37" s="14" t="str">
        <f t="shared" ref="I37:I38" si="13">IF(I$26&lt;&gt;"",H129,"")</f>
        <v/>
      </c>
      <c r="J37" s="14" t="str">
        <f t="shared" ref="J37:J38" si="14">IF(J$26&lt;&gt;"",I129,"")</f>
        <v/>
      </c>
      <c r="K37" s="14" t="str">
        <f t="shared" ref="K37:K38" si="15">IF(K$26&lt;&gt;"",J129,"")</f>
        <v/>
      </c>
      <c r="L37" s="14" t="str">
        <f t="shared" ref="L37:L38" si="16">IF(L$26&lt;&gt;"",K129,"")</f>
        <v/>
      </c>
    </row>
    <row r="38" spans="1:14" x14ac:dyDescent="0.35">
      <c r="A38" t="s">
        <v>114</v>
      </c>
      <c r="C38" s="14">
        <f>IF(C$26&lt;&gt;"",C21,"")</f>
        <v>10.1</v>
      </c>
      <c r="D38" s="14">
        <f ca="1">IF(D$26&lt;&gt;"",C130,"")</f>
        <v>9.6390511600000135</v>
      </c>
      <c r="E38" s="14">
        <f t="shared" ref="E38:G38" ca="1" si="17">IF(E$26&lt;&gt;"",D130,"")</f>
        <v>5.8140048981002099</v>
      </c>
      <c r="F38" s="14">
        <f t="shared" ca="1" si="17"/>
        <v>1.4115209246000597</v>
      </c>
      <c r="G38" s="14">
        <f t="shared" ca="1" si="17"/>
        <v>6.5515315237500005</v>
      </c>
      <c r="H38" s="14" t="str">
        <f t="shared" si="12"/>
        <v/>
      </c>
      <c r="I38" s="14" t="str">
        <f t="shared" si="13"/>
        <v/>
      </c>
      <c r="J38" s="14" t="str">
        <f t="shared" si="14"/>
        <v/>
      </c>
      <c r="K38" s="14" t="str">
        <f t="shared" si="15"/>
        <v/>
      </c>
      <c r="L38" s="14" t="str">
        <f t="shared" si="16"/>
        <v/>
      </c>
    </row>
    <row r="39" spans="1:14" x14ac:dyDescent="0.35">
      <c r="A39" s="1" t="s">
        <v>119</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0.96665975399942705</v>
      </c>
      <c r="E39" s="14">
        <f ca="1">IF(E$26&lt;&gt;"",VLOOKUP(E37*1000000,'Powell-Elevation-Area'!$B$5:$D$689,3)*$B$20/1000000 + VLOOKUP(E38*1000000,'Mead-Elevation-Area'!$B$5:$D$676,3)*$C$20/1000000,"")</f>
        <v>0.89623332000000011</v>
      </c>
      <c r="F39" s="14">
        <f ca="1">IF(F$26&lt;&gt;"",VLOOKUP(F37*1000000,'Powell-Elevation-Area'!$B$5:$D$689,3)*$B$20/1000000 + VLOOKUP(F38*1000000,'Mead-Elevation-Area'!$B$5:$D$676,3)*$C$20/1000000,"")</f>
        <v>0.8121461985006001</v>
      </c>
      <c r="G39" s="14">
        <f ca="1">IF(G$26&lt;&gt;"",VLOOKUP(G37*1000000,'Powell-Elevation-Area'!$B$5:$D$689,3)*$B$20/1000000 + VLOOKUP(G38*1000000,'Mead-Elevation-Area'!$B$5:$D$676,3)*$C$20/1000000,"")</f>
        <v>0.77339183249999999</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18">IF(A5="","","    "&amp;A5&amp;" Share")</f>
        <v xml:space="preserve">    Upper Basin Share</v>
      </c>
      <c r="B40" s="1"/>
      <c r="C40" s="14">
        <f t="shared" ref="C40:C45" si="19">IF(OR(C$26="",$A40=""),"",C$39*C30/C$29)</f>
        <v>0.24571184643515467</v>
      </c>
      <c r="D40" s="14">
        <f t="shared" ref="D40:L40" ca="1" si="20">IF(OR(D$26="",$A40=""),"",D$39*D30/D$29)</f>
        <v>0.17570295304371292</v>
      </c>
      <c r="E40" s="14">
        <f t="shared" ca="1" si="20"/>
        <v>9.7367246311629713E-2</v>
      </c>
      <c r="F40" s="14">
        <f t="shared" ca="1" si="20"/>
        <v>8.6725938102693426E-2</v>
      </c>
      <c r="G40" s="14">
        <f t="shared" ca="1" si="20"/>
        <v>4.8433847040144681E-2</v>
      </c>
      <c r="H40" s="14" t="str">
        <f t="shared" si="20"/>
        <v/>
      </c>
      <c r="I40" s="14" t="str">
        <f t="shared" si="20"/>
        <v/>
      </c>
      <c r="J40" s="14" t="str">
        <f t="shared" si="20"/>
        <v/>
      </c>
      <c r="K40" s="14" t="str">
        <f t="shared" si="20"/>
        <v/>
      </c>
      <c r="L40" s="14" t="str">
        <f t="shared" si="20"/>
        <v/>
      </c>
    </row>
    <row r="41" spans="1:14" x14ac:dyDescent="0.35">
      <c r="A41" t="str">
        <f t="shared" si="18"/>
        <v xml:space="preserve">    Lower Basin Share</v>
      </c>
      <c r="B41" s="1"/>
      <c r="C41" s="14">
        <f t="shared" si="19"/>
        <v>0.20638492544244763</v>
      </c>
      <c r="D41" s="14">
        <f t="shared" ref="D41:L41" ca="1" si="21">IF(OR(D$26="",$A41=""),"",D$39*D31/D$29)</f>
        <v>0.2040806337045358</v>
      </c>
      <c r="E41" s="14">
        <f t="shared" ca="1" si="21"/>
        <v>0.15435992381277225</v>
      </c>
      <c r="F41" s="14">
        <f t="shared" ca="1" si="21"/>
        <v>4.9939235454805622E-2</v>
      </c>
      <c r="G41" s="14">
        <f t="shared" ca="1" si="21"/>
        <v>3.7642828491229102E-2</v>
      </c>
      <c r="H41" s="14" t="str">
        <f t="shared" si="21"/>
        <v/>
      </c>
      <c r="I41" s="14" t="str">
        <f t="shared" si="21"/>
        <v/>
      </c>
      <c r="J41" s="14" t="str">
        <f t="shared" si="21"/>
        <v/>
      </c>
      <c r="K41" s="14" t="str">
        <f t="shared" si="21"/>
        <v/>
      </c>
      <c r="L41" s="14" t="str">
        <f t="shared" si="21"/>
        <v/>
      </c>
    </row>
    <row r="42" spans="1:14" x14ac:dyDescent="0.35">
      <c r="A42" t="str">
        <f t="shared" si="18"/>
        <v xml:space="preserve">    Mexico Share</v>
      </c>
      <c r="B42" s="1"/>
      <c r="C42" s="14">
        <f t="shared" si="19"/>
        <v>8.4270235222746598E-3</v>
      </c>
      <c r="D42" s="14">
        <f t="shared" ref="D42:L42" ca="1" si="22">IF(OR(D$26="",$A42=""),"",D$39*D32/D$29)</f>
        <v>5.6614486143541122E-3</v>
      </c>
      <c r="E42" s="14">
        <f t="shared" ca="1" si="22"/>
        <v>1.9130475346776109E-2</v>
      </c>
      <c r="F42" s="14">
        <f t="shared" ca="1" si="22"/>
        <v>8.560409137718418E-3</v>
      </c>
      <c r="G42" s="14">
        <f t="shared" ca="1" si="22"/>
        <v>3.1609561853570521E-3</v>
      </c>
      <c r="H42" s="14" t="str">
        <f t="shared" si="22"/>
        <v/>
      </c>
      <c r="I42" s="14" t="str">
        <f t="shared" si="22"/>
        <v/>
      </c>
      <c r="J42" s="14" t="str">
        <f t="shared" si="22"/>
        <v/>
      </c>
      <c r="K42" s="14" t="str">
        <f t="shared" si="22"/>
        <v/>
      </c>
      <c r="L42" s="14" t="str">
        <f t="shared" si="22"/>
        <v/>
      </c>
    </row>
    <row r="43" spans="1:14" x14ac:dyDescent="0.35">
      <c r="A43" t="str">
        <f t="shared" si="18"/>
        <v xml:space="preserve">    Shared, Reserve Share</v>
      </c>
      <c r="B43" s="1"/>
      <c r="C43" s="14">
        <f t="shared" si="19"/>
        <v>0.56137388460009618</v>
      </c>
      <c r="D43" s="14">
        <f t="shared" ref="D43:L43" ca="1" si="23">IF(OR(D$26="",$A43=""),"",D$39*D33/D$29)</f>
        <v>0.58121471863682417</v>
      </c>
      <c r="E43" s="14">
        <f t="shared" ca="1" si="23"/>
        <v>0.62537567452882203</v>
      </c>
      <c r="F43" s="14">
        <f t="shared" ca="1" si="23"/>
        <v>0.66692061580538275</v>
      </c>
      <c r="G43" s="14">
        <f t="shared" ca="1" si="23"/>
        <v>0.68415420078326927</v>
      </c>
      <c r="H43" s="14" t="str">
        <f t="shared" si="23"/>
        <v/>
      </c>
      <c r="I43" s="14" t="str">
        <f t="shared" si="23"/>
        <v/>
      </c>
      <c r="J43" s="14" t="str">
        <f t="shared" si="23"/>
        <v/>
      </c>
      <c r="K43" s="14" t="str">
        <f t="shared" si="23"/>
        <v/>
      </c>
      <c r="L43" s="14" t="str">
        <f t="shared" si="23"/>
        <v/>
      </c>
    </row>
    <row r="44" spans="1:14" x14ac:dyDescent="0.35">
      <c r="A44" t="str">
        <f t="shared" si="18"/>
        <v/>
      </c>
      <c r="B44" s="1"/>
      <c r="C44" s="14" t="str">
        <f t="shared" si="19"/>
        <v/>
      </c>
      <c r="D44" s="14" t="str">
        <f t="shared" ref="D44:L44" si="24">IF(OR(D$26="",$A44=""),"",D$39*D34/D$29)</f>
        <v/>
      </c>
      <c r="E44" s="14" t="str">
        <f t="shared" si="24"/>
        <v/>
      </c>
      <c r="F44" s="14" t="str">
        <f t="shared" si="24"/>
        <v/>
      </c>
      <c r="G44" s="14" t="str">
        <f t="shared" si="24"/>
        <v/>
      </c>
      <c r="H44" s="14" t="str">
        <f t="shared" si="24"/>
        <v/>
      </c>
      <c r="I44" s="14" t="str">
        <f t="shared" si="24"/>
        <v/>
      </c>
      <c r="J44" s="14" t="str">
        <f t="shared" si="24"/>
        <v/>
      </c>
      <c r="K44" s="14" t="str">
        <f t="shared" si="24"/>
        <v/>
      </c>
      <c r="L44" s="14" t="str">
        <f t="shared" si="24"/>
        <v/>
      </c>
    </row>
    <row r="45" spans="1:14" x14ac:dyDescent="0.35">
      <c r="A45" t="str">
        <f t="shared" si="18"/>
        <v/>
      </c>
      <c r="B45" s="1"/>
      <c r="C45" s="14" t="str">
        <f t="shared" si="19"/>
        <v/>
      </c>
      <c r="D45" s="14" t="str">
        <f t="shared" ref="D45:L45" si="25">IF(OR(D$26="",$A45=""),"",D$39*D35/D$29)</f>
        <v/>
      </c>
      <c r="E45" s="14" t="str">
        <f t="shared" si="25"/>
        <v/>
      </c>
      <c r="F45" s="14" t="str">
        <f t="shared" si="25"/>
        <v/>
      </c>
      <c r="G45" s="14" t="str">
        <f t="shared" si="25"/>
        <v/>
      </c>
      <c r="H45" s="14" t="str">
        <f t="shared" si="25"/>
        <v/>
      </c>
      <c r="I45" s="14" t="str">
        <f t="shared" si="25"/>
        <v/>
      </c>
      <c r="J45" s="14" t="str">
        <f t="shared" si="25"/>
        <v/>
      </c>
      <c r="K45" s="14" t="str">
        <f t="shared" si="25"/>
        <v/>
      </c>
      <c r="L45" s="14" t="str">
        <f t="shared" si="25"/>
        <v/>
      </c>
    </row>
    <row r="46" spans="1:14" x14ac:dyDescent="0.35">
      <c r="A46" s="1" t="s">
        <v>259</v>
      </c>
      <c r="B46" s="75"/>
      <c r="C46" s="49">
        <f>IF(C$26&lt;&gt;"",1.5-0.21/9/2-VLOOKUP(C38,LowerBasinCuts!$C$5:$P$13,13),"")</f>
        <v>1.4473333333333334</v>
      </c>
      <c r="D46" s="49">
        <f ca="1">IF(D$26&lt;&gt;"",1.5-0.21/9/2-VLOOKUP(D38,LowerBasinCuts!$C$5:$P$13,13),"")</f>
        <v>1.4473333333333334</v>
      </c>
      <c r="E46" s="49">
        <f ca="1">IF(E$26&lt;&gt;"",1.5-0.21/9/2-VLOOKUP(E38,LowerBasinCuts!$C$5:$P$13,13),"")</f>
        <v>1.2133333333333334</v>
      </c>
      <c r="F46" s="49">
        <f ca="1">IF(F$26&lt;&gt;"",1.5-0.21/9/2-VLOOKUP(F38,LowerBasinCuts!$C$5:$P$13,13),"")</f>
        <v>1.2133333333333334</v>
      </c>
      <c r="G46" s="49">
        <f ca="1">IF(G$26&lt;&gt;"",1.5-0.21/9/2-VLOOKUP(G38,LowerBasinCuts!$C$5:$P$13,13),"")</f>
        <v>1.3263333333333334</v>
      </c>
      <c r="H46" s="49" t="str">
        <f>IF(H$26&lt;&gt;"",1.5-0.21/9/2-VLOOKUP(H38,LowerBasinCuts!$C$5:$P$13,13),"")</f>
        <v/>
      </c>
      <c r="I46" s="49" t="str">
        <f>IF(I$26&lt;&gt;"",1.5-0.21/9/2-VLOOKUP(I38,LowerBasinCuts!$C$5:$P$13,13),"")</f>
        <v/>
      </c>
      <c r="J46" s="49" t="str">
        <f>IF(J$26&lt;&gt;"",1.5-0.21/9/2-VLOOKUP(J38,LowerBasinCuts!$C$5:$P$13,13),"")</f>
        <v/>
      </c>
      <c r="K46" s="49" t="str">
        <f>IF(K$26&lt;&gt;"",1.5-0.21/9/2-VLOOKUP(K38,LowerBasinCuts!$C$5:$P$13,13),"")</f>
        <v/>
      </c>
      <c r="L46" s="49" t="str">
        <f>IF(L$26&lt;&gt;"",1.5-0.21/9/2-VLOOKUP(L38,LowerBasinCuts!$C$5:$P$13,13),"")</f>
        <v/>
      </c>
    </row>
    <row r="47" spans="1:14" x14ac:dyDescent="0.35">
      <c r="A47" s="1" t="s">
        <v>306</v>
      </c>
      <c r="B47" s="1"/>
      <c r="C47" s="51">
        <f>IF(C26="","",SUM(C26:C27)-C28)</f>
        <v>11.200000000000001</v>
      </c>
      <c r="D47" s="51">
        <f t="shared" ref="D47:L47" si="26">IF(D26="","",SUM(D26:D27)-D28)</f>
        <v>9.2000000000000011</v>
      </c>
      <c r="E47" s="14">
        <f t="shared" si="26"/>
        <v>8.3000000000000007</v>
      </c>
      <c r="F47" s="51">
        <f t="shared" si="26"/>
        <v>8.3000000000000007</v>
      </c>
      <c r="G47" s="51">
        <f t="shared" si="26"/>
        <v>8.3000000000000007</v>
      </c>
      <c r="H47" s="51" t="str">
        <f t="shared" si="26"/>
        <v/>
      </c>
      <c r="I47" s="51" t="str">
        <f t="shared" si="26"/>
        <v/>
      </c>
      <c r="J47" s="51" t="str">
        <f t="shared" si="26"/>
        <v/>
      </c>
      <c r="K47" s="51" t="str">
        <f t="shared" si="26"/>
        <v/>
      </c>
      <c r="L47" s="51" t="str">
        <f t="shared" si="26"/>
        <v/>
      </c>
      <c r="M47" s="45"/>
      <c r="N47" s="45"/>
    </row>
    <row r="48" spans="1:14" x14ac:dyDescent="0.35">
      <c r="A48" t="str">
        <f t="shared" ref="A48:A53" si="27">IF(A5="","","    To "&amp;A5)</f>
        <v xml:space="preserve">    To Upper Basin</v>
      </c>
      <c r="B48" s="138" t="s">
        <v>147</v>
      </c>
      <c r="C48" s="112">
        <f>IF(OR(C$26="",$A48=""),"",IF(C$26&gt;SUM(MIN($B49,C26-C50/2)+C50/2),C$26-SUM(MIN($B49,C26-C50/2)+C50/2),0))</f>
        <v>2.7763333333333335</v>
      </c>
      <c r="D48" s="14">
        <f t="shared" ref="D48:G48" ca="1" si="28">IF(OR(D$26="",$A48=""),"",IF(D$26&gt;SUM(MIN($B49,D26-D50/2)+D50/2),D$26-SUM(MIN($B49,D26-D50/2)+D50/2),0))</f>
        <v>0.77633333333333354</v>
      </c>
      <c r="E48" s="14">
        <f t="shared" ca="1" si="28"/>
        <v>0</v>
      </c>
      <c r="F48" s="14">
        <f t="shared" ca="1" si="28"/>
        <v>0</v>
      </c>
      <c r="G48" s="14">
        <f t="shared" ca="1" si="28"/>
        <v>0</v>
      </c>
      <c r="H48" s="14" t="str">
        <f t="shared" ref="H48:L48" si="29">IF(OR(H$26="",$A48=""),"",IF(H$26&gt;SUM(MIN($B49,H26-H50/2)+H50/2),H$26-SUM(MIN($B49,H26-H50/2)+H50/2),0))</f>
        <v/>
      </c>
      <c r="I48" s="14" t="str">
        <f t="shared" si="29"/>
        <v/>
      </c>
      <c r="J48" s="14" t="str">
        <f t="shared" si="29"/>
        <v/>
      </c>
      <c r="K48" s="14" t="str">
        <f t="shared" si="29"/>
        <v/>
      </c>
      <c r="L48" s="14" t="str">
        <f t="shared" si="29"/>
        <v/>
      </c>
      <c r="M48" s="29"/>
      <c r="N48" s="29"/>
    </row>
    <row r="49" spans="1:14" x14ac:dyDescent="0.35">
      <c r="A49" t="str">
        <f t="shared" si="27"/>
        <v xml:space="preserve">    To Lower Basin</v>
      </c>
      <c r="B49" s="139">
        <f>7.5</f>
        <v>7.5</v>
      </c>
      <c r="C49" s="112">
        <f>IF(OR(C$26="",$A49=""),"",C27-C28-C51-C50/2+MIN($B49,C26-C50/2))</f>
        <v>6.4149594487332369</v>
      </c>
      <c r="D49" s="14">
        <f t="shared" ref="D49:G49" ca="1" si="30">IF(OR(D$26="",$A49=""),"",D27-D28-D51-D50/2+MIN($B49,D26-D50/2))</f>
        <v>6.3951186146965089</v>
      </c>
      <c r="E49" s="14">
        <f t="shared" ca="1" si="30"/>
        <v>6.4612909921378447</v>
      </c>
      <c r="F49" s="14">
        <f t="shared" ca="1" si="30"/>
        <v>6.419746050861284</v>
      </c>
      <c r="G49" s="14">
        <f t="shared" ca="1" si="30"/>
        <v>6.2895124658833961</v>
      </c>
      <c r="H49" s="14" t="str">
        <f t="shared" ref="H49:L49" si="31">IF(OR(H$26="",$A49=""),"",H27-H28-H51-H50/2+MIN($B49,H26-H50/2))</f>
        <v/>
      </c>
      <c r="I49" s="14" t="str">
        <f t="shared" si="31"/>
        <v/>
      </c>
      <c r="J49" s="14" t="str">
        <f t="shared" si="31"/>
        <v/>
      </c>
      <c r="K49" s="14" t="str">
        <f t="shared" si="31"/>
        <v/>
      </c>
      <c r="L49" s="14" t="str">
        <f t="shared" si="31"/>
        <v/>
      </c>
      <c r="M49" s="29"/>
      <c r="N49" s="29"/>
    </row>
    <row r="50" spans="1:14" x14ac:dyDescent="0.35">
      <c r="A50" t="str">
        <f t="shared" si="27"/>
        <v xml:space="preserve">    To Mexico</v>
      </c>
      <c r="B50" s="139" t="s">
        <v>185</v>
      </c>
      <c r="C50" s="112">
        <f>IF(OR(C$26="",$A50=""),"",IF(C$47&gt;SUM(C51:C52,C46),C46,C$47-SUM(C51:C52)))</f>
        <v>1.4473333333333334</v>
      </c>
      <c r="D50" s="14">
        <f t="shared" ref="D50:G50" ca="1" si="32">IF(OR(D$26="",$A50=""),"",IF(D$47&gt;SUM(D51:D52,D46),D46,D$47-SUM(D51:D52)))</f>
        <v>1.4473333333333334</v>
      </c>
      <c r="E50" s="14">
        <f t="shared" ca="1" si="32"/>
        <v>1.2133333333333334</v>
      </c>
      <c r="F50" s="14">
        <f t="shared" ca="1" si="32"/>
        <v>1.2133333333333334</v>
      </c>
      <c r="G50" s="14">
        <f t="shared" ca="1" si="32"/>
        <v>1.3263333333333334</v>
      </c>
      <c r="H50" s="14" t="str">
        <f t="shared" ref="H50:L50" si="33">IF(OR(H$26="",$A50=""),"",IF(H$47&gt;SUM(H51:H52,H46),H46,H$47-SUM(H51:H52)))</f>
        <v/>
      </c>
      <c r="I50" s="14" t="str">
        <f t="shared" si="33"/>
        <v/>
      </c>
      <c r="J50" s="14" t="str">
        <f t="shared" si="33"/>
        <v/>
      </c>
      <c r="K50" s="14" t="str">
        <f t="shared" si="33"/>
        <v/>
      </c>
      <c r="L50" s="14" t="str">
        <f t="shared" si="33"/>
        <v/>
      </c>
      <c r="M50" s="29"/>
      <c r="N50" s="29"/>
    </row>
    <row r="51" spans="1:14" x14ac:dyDescent="0.35">
      <c r="A51" t="str">
        <f t="shared" si="27"/>
        <v xml:space="preserve">    To Shared, Reserve</v>
      </c>
      <c r="B51" s="139" t="s">
        <v>184</v>
      </c>
      <c r="C51" s="112">
        <f>IF(OR(C$26="",$A51=""),"",IF(C$47&gt;C43,C43,C47))</f>
        <v>0.56137388460009618</v>
      </c>
      <c r="D51" s="14">
        <f t="shared" ref="D51:G51" ca="1" si="34">IF(OR(D$26="",$A51=""),"",IF(D$47&gt;D43,D43,D47))</f>
        <v>0.58121471863682417</v>
      </c>
      <c r="E51" s="14">
        <f t="shared" ca="1" si="34"/>
        <v>0.62537567452882203</v>
      </c>
      <c r="F51" s="14">
        <f t="shared" ca="1" si="34"/>
        <v>0.66692061580538275</v>
      </c>
      <c r="G51" s="14">
        <f t="shared" ca="1" si="34"/>
        <v>0.68415420078326927</v>
      </c>
      <c r="H51" s="14" t="str">
        <f t="shared" ref="H51:L51" si="35">IF(OR(H$26="",$A51=""),"",IF(H$47&gt;H43,H43,H47))</f>
        <v/>
      </c>
      <c r="I51" s="14" t="str">
        <f t="shared" si="35"/>
        <v/>
      </c>
      <c r="J51" s="14" t="str">
        <f t="shared" si="35"/>
        <v/>
      </c>
      <c r="K51" s="14" t="str">
        <f t="shared" si="35"/>
        <v/>
      </c>
      <c r="L51" s="14" t="str">
        <f t="shared" si="35"/>
        <v/>
      </c>
      <c r="M51" s="29"/>
      <c r="N51" s="29"/>
    </row>
    <row r="52" spans="1:14" x14ac:dyDescent="0.35">
      <c r="A52" t="str">
        <f t="shared" si="27"/>
        <v/>
      </c>
      <c r="B52" s="139"/>
      <c r="C52" s="112"/>
      <c r="D52" s="14"/>
      <c r="E52" s="14"/>
      <c r="F52" s="14"/>
      <c r="G52" s="14"/>
      <c r="H52" s="14"/>
      <c r="I52" s="14"/>
      <c r="J52" s="14"/>
      <c r="K52" s="14"/>
      <c r="L52" s="14"/>
      <c r="M52" s="29"/>
      <c r="N52" s="29"/>
    </row>
    <row r="53" spans="1:14" x14ac:dyDescent="0.35">
      <c r="A53" t="str">
        <f t="shared" si="27"/>
        <v/>
      </c>
      <c r="B53" s="139"/>
      <c r="C53" s="113"/>
      <c r="D53" s="52"/>
      <c r="E53" s="52"/>
      <c r="F53" s="52"/>
      <c r="G53" s="52"/>
      <c r="H53" s="52"/>
      <c r="I53" s="52"/>
      <c r="J53" s="52"/>
      <c r="K53" s="52"/>
      <c r="L53" s="52"/>
      <c r="M53" s="29"/>
      <c r="N53" s="29"/>
    </row>
    <row r="54" spans="1:14" x14ac:dyDescent="0.35">
      <c r="C54" s="45"/>
      <c r="D54" s="45"/>
      <c r="E54" s="45"/>
      <c r="F54" s="45"/>
      <c r="G54" s="45"/>
    </row>
    <row r="55" spans="1:14" x14ac:dyDescent="0.35">
      <c r="A55" s="142" t="s">
        <v>181</v>
      </c>
      <c r="B55" s="142"/>
      <c r="C55" s="142"/>
      <c r="D55" s="142"/>
      <c r="E55" s="142"/>
      <c r="F55" s="142"/>
      <c r="G55" s="142"/>
      <c r="H55" s="142"/>
      <c r="I55" s="142"/>
      <c r="J55" s="142"/>
      <c r="K55" s="142"/>
      <c r="L55" s="142"/>
      <c r="M55" s="142"/>
      <c r="N55" s="142"/>
    </row>
    <row r="56" spans="1:14" x14ac:dyDescent="0.35">
      <c r="A56" s="143" t="str">
        <f>IF(A$5="[Unused]","",A5)</f>
        <v>Upper Basin</v>
      </c>
      <c r="B56" s="143"/>
      <c r="C56" s="143"/>
      <c r="D56" s="143"/>
      <c r="E56" s="143"/>
      <c r="F56" s="143"/>
      <c r="G56" s="143"/>
      <c r="H56" s="143"/>
      <c r="I56" s="143"/>
      <c r="J56" s="143"/>
      <c r="K56" s="143"/>
      <c r="L56" s="143"/>
      <c r="M56" s="144" t="s">
        <v>107</v>
      </c>
      <c r="N56" s="143" t="s">
        <v>172</v>
      </c>
    </row>
    <row r="57" spans="1:14" x14ac:dyDescent="0.35">
      <c r="A57" s="32" t="str">
        <f>IF(A56="[Unused]","","   Volume of Sales(+) and Purchases(-) [maf]")</f>
        <v xml:space="preserve">   Volume of Sales(+) and Purchases(-) [maf]</v>
      </c>
      <c r="C57" s="134">
        <v>0.6</v>
      </c>
      <c r="D57" s="134">
        <v>-0.6</v>
      </c>
      <c r="E57" s="134">
        <v>-1.8</v>
      </c>
      <c r="F57" s="134">
        <f>-F73</f>
        <v>-0.1</v>
      </c>
      <c r="G57" s="134"/>
      <c r="H57" s="134"/>
      <c r="I57" s="134"/>
      <c r="J57" s="134"/>
      <c r="K57" s="134"/>
      <c r="L57" s="134"/>
      <c r="M57" s="67">
        <f>SUM(C57:L57)</f>
        <v>-1.9000000000000001</v>
      </c>
      <c r="N57" t="str">
        <f>IF(A57="","","Add if multiple transactions, e.g.: 0.5 + 0.25")</f>
        <v>Add if multiple transactions, e.g.: 0.5 + 0.25</v>
      </c>
    </row>
    <row r="58" spans="1:14" x14ac:dyDescent="0.35">
      <c r="A58" s="32" t="str">
        <f>IF(A57="","","   Cash Intake(+) and Payments(-) [$ Mill]")</f>
        <v xml:space="preserve">   Cash Intake(+) and Payments(-) [$ Mill]</v>
      </c>
      <c r="C58" s="135">
        <f>1000*C57</f>
        <v>600</v>
      </c>
      <c r="D58" s="135">
        <f>1000*D57</f>
        <v>-600</v>
      </c>
      <c r="E58" s="135">
        <f>-1.6*1000-0.2*1500</f>
        <v>-1900</v>
      </c>
      <c r="F58" s="134">
        <f>-F74</f>
        <v>-150</v>
      </c>
      <c r="G58" s="135"/>
      <c r="H58" s="135"/>
      <c r="I58" s="135"/>
      <c r="J58" s="135"/>
      <c r="K58" s="135"/>
      <c r="L58" s="135"/>
      <c r="M58" s="65">
        <f>SUM(C58:L58)</f>
        <v>-2050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36">IF(OR(C$26="",$A59=""),"",C$112)</f>
        <v>0</v>
      </c>
      <c r="D59" s="67">
        <f t="shared" ca="1" si="36"/>
        <v>0</v>
      </c>
      <c r="E59" s="67">
        <f t="shared" ca="1" si="36"/>
        <v>5.5511151231257827E-17</v>
      </c>
      <c r="F59" s="67">
        <f t="shared" ca="1" si="36"/>
        <v>0</v>
      </c>
      <c r="G59" s="67">
        <f t="shared" ca="1" si="36"/>
        <v>0</v>
      </c>
      <c r="H59" s="67" t="str">
        <f t="shared" si="36"/>
        <v/>
      </c>
      <c r="I59" s="67" t="str">
        <f t="shared" si="36"/>
        <v/>
      </c>
      <c r="J59" s="67" t="str">
        <f t="shared" si="36"/>
        <v/>
      </c>
      <c r="K59" s="67" t="str">
        <f t="shared" si="36"/>
        <v/>
      </c>
      <c r="L59" s="67" t="str">
        <f t="shared" si="36"/>
        <v/>
      </c>
      <c r="M59" t="str">
        <f t="shared" si="36"/>
        <v/>
      </c>
      <c r="N59" t="str">
        <f>IF(A59="","","If non-zero, players need to change amount(s)")</f>
        <v>If non-zero, players need to change amount(s)</v>
      </c>
    </row>
    <row r="60" spans="1:14" x14ac:dyDescent="0.35">
      <c r="A60" s="1" t="str">
        <f>IF(A58="","","   Available Water [maf]")</f>
        <v xml:space="preserve">   Available Water [maf]</v>
      </c>
      <c r="C60" s="14">
        <f>IF(OR(C$26="",$A60=""),"",C30+C48-C40-C57)</f>
        <v>7.0040452368981789</v>
      </c>
      <c r="D60" s="14">
        <f t="shared" ref="D60:L60" ca="1" si="37">IF(OR(D$26="",$A60=""),"",D30+D48-D40-D57)</f>
        <v>4.7046756171877995</v>
      </c>
      <c r="E60" s="14">
        <f t="shared" ca="1" si="37"/>
        <v>3.5073083708761699</v>
      </c>
      <c r="F60" s="14">
        <f t="shared" ca="1" si="37"/>
        <v>1.5205824327734765</v>
      </c>
      <c r="G60" s="14">
        <f t="shared" ca="1" si="37"/>
        <v>0.77214858573333189</v>
      </c>
      <c r="H60" s="14" t="str">
        <f t="shared" si="37"/>
        <v/>
      </c>
      <c r="I60" s="14" t="str">
        <f t="shared" si="37"/>
        <v/>
      </c>
      <c r="J60" s="14" t="str">
        <f t="shared" si="37"/>
        <v/>
      </c>
      <c r="K60" s="14" t="str">
        <f t="shared" si="37"/>
        <v/>
      </c>
      <c r="L60" s="14" t="str">
        <f t="shared" si="37"/>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36">
        <v>3.5</v>
      </c>
      <c r="D61" s="136">
        <v>2.9</v>
      </c>
      <c r="E61" s="136">
        <v>2</v>
      </c>
      <c r="F61" s="136">
        <v>0.7</v>
      </c>
      <c r="G61" s="136">
        <v>0.3</v>
      </c>
      <c r="H61" s="136"/>
      <c r="I61" s="136"/>
      <c r="J61" s="136"/>
      <c r="K61" s="136"/>
      <c r="L61" s="136"/>
      <c r="N61" t="str">
        <f>IF(A61="","","Must be less than Available water")</f>
        <v>Must be less than Available water</v>
      </c>
    </row>
    <row r="62" spans="1:14" x14ac:dyDescent="0.35">
      <c r="A62" s="32" t="str">
        <f>IF(A61="","","   End of Year Balance [maf]")</f>
        <v xml:space="preserve">   End of Year Balance [maf]</v>
      </c>
      <c r="C62" s="66">
        <f>IF(OR(C$26="",$A62=""),"",C60-C61)</f>
        <v>3.5040452368981789</v>
      </c>
      <c r="D62" s="66">
        <f t="shared" ref="D62:L62" ca="1" si="38">IF(OR(D$26="",$A62=""),"",D60-D61)</f>
        <v>1.8046756171877996</v>
      </c>
      <c r="E62" s="66">
        <f t="shared" ca="1" si="38"/>
        <v>1.5073083708761699</v>
      </c>
      <c r="F62" s="66">
        <f t="shared" ca="1" si="38"/>
        <v>0.82058243277347653</v>
      </c>
      <c r="G62" s="66">
        <f t="shared" ca="1" si="38"/>
        <v>0.4721485857333319</v>
      </c>
      <c r="H62" s="66" t="str">
        <f t="shared" si="38"/>
        <v/>
      </c>
      <c r="I62" s="66" t="str">
        <f t="shared" si="38"/>
        <v/>
      </c>
      <c r="J62" s="66" t="str">
        <f t="shared" si="38"/>
        <v/>
      </c>
      <c r="K62" s="66" t="str">
        <f t="shared" si="38"/>
        <v/>
      </c>
      <c r="L62" s="66" t="str">
        <f t="shared" si="38"/>
        <v/>
      </c>
      <c r="N62" t="str">
        <f>IF(A62="","","Available water - Account Withdraw")</f>
        <v>Available water - Account Withdraw</v>
      </c>
    </row>
    <row r="63" spans="1:14" x14ac:dyDescent="0.35">
      <c r="C63"/>
    </row>
    <row r="64" spans="1:14" x14ac:dyDescent="0.35">
      <c r="A64" s="143" t="str">
        <f>IF(A$6="","[Unused]",A6)</f>
        <v>Lower Basin</v>
      </c>
      <c r="B64" s="143"/>
      <c r="C64" s="143"/>
      <c r="D64" s="143"/>
      <c r="E64" s="143"/>
      <c r="F64" s="143"/>
      <c r="G64" s="143"/>
      <c r="H64" s="143"/>
      <c r="I64" s="143"/>
      <c r="J64" s="143"/>
      <c r="K64" s="143"/>
      <c r="L64" s="143"/>
      <c r="M64" s="144" t="s">
        <v>107</v>
      </c>
      <c r="N64" s="143" t="s">
        <v>172</v>
      </c>
    </row>
    <row r="65" spans="1:14" x14ac:dyDescent="0.35">
      <c r="A65" s="32" t="str">
        <f>IF(A64="[Unused]","","   Volume of Sales(+) and Purchases(-) [maf]")</f>
        <v xml:space="preserve">   Volume of Sales(+) and Purchases(-) [maf]</v>
      </c>
      <c r="C65" s="134">
        <f>-C57</f>
        <v>-0.6</v>
      </c>
      <c r="D65" s="134">
        <f t="shared" ref="D65" si="39">-D57</f>
        <v>0.6</v>
      </c>
      <c r="E65" s="134">
        <v>1.6</v>
      </c>
      <c r="F65" s="134"/>
      <c r="G65" s="134"/>
      <c r="H65" s="134"/>
      <c r="I65" s="134"/>
      <c r="J65" s="134"/>
      <c r="K65" s="134"/>
      <c r="L65" s="134"/>
      <c r="M65" s="67">
        <f>SUM(C65:L65)</f>
        <v>1.6</v>
      </c>
      <c r="N65" t="str">
        <f>IF(A65="","",N57)</f>
        <v>Add if multiple transactions, e.g.: 0.5 + 0.25</v>
      </c>
    </row>
    <row r="66" spans="1:14" x14ac:dyDescent="0.35">
      <c r="A66" s="32" t="str">
        <f>IF(A65="","","   Cash Intake(+) and Payments(-) [$ Mill]")</f>
        <v xml:space="preserve">   Cash Intake(+) and Payments(-) [$ Mill]</v>
      </c>
      <c r="C66" s="135">
        <f>-C58</f>
        <v>-600</v>
      </c>
      <c r="D66" s="135">
        <f t="shared" ref="D66" si="40">-D58</f>
        <v>600</v>
      </c>
      <c r="E66" s="135">
        <f>1000*E65</f>
        <v>1600</v>
      </c>
      <c r="F66" s="135"/>
      <c r="G66" s="135"/>
      <c r="H66" s="135"/>
      <c r="I66" s="135"/>
      <c r="J66" s="135"/>
      <c r="K66" s="135"/>
      <c r="L66" s="135"/>
      <c r="M66" s="65">
        <f>SUM(C66:L66)</f>
        <v>1600</v>
      </c>
      <c r="N66" t="str">
        <f t="shared" ref="N66:N70" si="41">IF(A66="","",N58)</f>
        <v>Add if multiple transactions, e.g.: $350*0.5 + $450*0.25</v>
      </c>
    </row>
    <row r="67" spans="1:14" x14ac:dyDescent="0.35">
      <c r="A67" s="32" t="str">
        <f>IF(A66="","","   Volume all players (should be zero)")</f>
        <v xml:space="preserve">   Volume all players (should be zero)</v>
      </c>
      <c r="C67" s="67">
        <f t="shared" ref="C67:M67" ca="1" si="42">IF(OR(C$26="",$A67=""),"",C$112)</f>
        <v>0</v>
      </c>
      <c r="D67" s="67">
        <f t="shared" ca="1" si="42"/>
        <v>0</v>
      </c>
      <c r="E67" s="67">
        <f t="shared" ca="1" si="42"/>
        <v>5.5511151231257827E-17</v>
      </c>
      <c r="F67" s="67">
        <f t="shared" ca="1" si="42"/>
        <v>0</v>
      </c>
      <c r="G67" s="67">
        <f t="shared" ca="1" si="42"/>
        <v>0</v>
      </c>
      <c r="H67" s="67" t="str">
        <f t="shared" si="42"/>
        <v/>
      </c>
      <c r="I67" s="67" t="str">
        <f t="shared" si="42"/>
        <v/>
      </c>
      <c r="J67" s="67" t="str">
        <f t="shared" si="42"/>
        <v/>
      </c>
      <c r="K67" s="67" t="str">
        <f t="shared" si="42"/>
        <v/>
      </c>
      <c r="L67" s="67" t="str">
        <f t="shared" si="42"/>
        <v/>
      </c>
      <c r="M67" t="str">
        <f t="shared" si="42"/>
        <v/>
      </c>
      <c r="N67" t="str">
        <f t="shared" si="41"/>
        <v>If non-zero, players need to change amount(s)</v>
      </c>
    </row>
    <row r="68" spans="1:14" x14ac:dyDescent="0.35">
      <c r="A68" s="1" t="str">
        <f>IF(A66="","","   Available Water [maf]")</f>
        <v xml:space="preserve">   Available Water [maf]</v>
      </c>
      <c r="C68" s="14">
        <f t="shared" ref="C68:L68" si="43">IF(OR(C$26="",$A68=""),"",C31+C49-C41-C65)</f>
        <v>11.069981523290789</v>
      </c>
      <c r="D68" s="14">
        <f t="shared" ca="1" si="43"/>
        <v>9.6610195042827627</v>
      </c>
      <c r="E68" s="14">
        <f t="shared" ca="1" si="43"/>
        <v>7.5679505726078364</v>
      </c>
      <c r="F68" s="14">
        <f t="shared" ca="1" si="43"/>
        <v>7.2377573880143142</v>
      </c>
      <c r="G68" s="14">
        <f t="shared" ca="1" si="43"/>
        <v>6.8896270254064813</v>
      </c>
      <c r="H68" s="14" t="str">
        <f t="shared" si="43"/>
        <v/>
      </c>
      <c r="I68" s="14" t="str">
        <f t="shared" si="43"/>
        <v/>
      </c>
      <c r="J68" s="14" t="str">
        <f t="shared" si="43"/>
        <v/>
      </c>
      <c r="K68" s="14" t="str">
        <f t="shared" si="43"/>
        <v/>
      </c>
      <c r="L68" s="14" t="str">
        <f t="shared" si="43"/>
        <v/>
      </c>
      <c r="N68" t="str">
        <f t="shared" si="41"/>
        <v>Available water = Account Balance + Available Inflow - Evaporation + Sales - Purchases</v>
      </c>
    </row>
    <row r="69" spans="1:14" x14ac:dyDescent="0.35">
      <c r="A69" s="1" t="str">
        <f>IF(A68="","","   Account Withdraw [maf]")</f>
        <v xml:space="preserve">   Account Withdraw [maf]</v>
      </c>
      <c r="C69" s="136">
        <v>7</v>
      </c>
      <c r="D69" s="136">
        <v>6.8</v>
      </c>
      <c r="E69" s="136">
        <v>6.7</v>
      </c>
      <c r="F69" s="136">
        <v>6.6</v>
      </c>
      <c r="G69" s="136">
        <v>6.6</v>
      </c>
      <c r="H69" s="136"/>
      <c r="I69" s="136"/>
      <c r="J69" s="136"/>
      <c r="K69" s="136"/>
      <c r="L69" s="136"/>
      <c r="N69" t="str">
        <f t="shared" si="41"/>
        <v>Must be less than Available water</v>
      </c>
    </row>
    <row r="70" spans="1:14" x14ac:dyDescent="0.35">
      <c r="A70" s="32" t="str">
        <f>IF(A69="","","   End of Year Balance [maf]")</f>
        <v xml:space="preserve">   End of Year Balance [maf]</v>
      </c>
      <c r="C70" s="66">
        <f>IF(OR(C$26="",$A70=""),"",C68-C69)</f>
        <v>4.0699815232907888</v>
      </c>
      <c r="D70" s="66">
        <f t="shared" ref="D70:L70" ca="1" si="44">IF(OR(D$26="",$A70=""),"",D68-D69)</f>
        <v>2.8610195042827629</v>
      </c>
      <c r="E70" s="66">
        <f t="shared" ca="1" si="44"/>
        <v>0.86795057260783626</v>
      </c>
      <c r="F70" s="66">
        <f t="shared" ca="1" si="44"/>
        <v>0.63775738801431459</v>
      </c>
      <c r="G70" s="66">
        <f t="shared" ca="1" si="44"/>
        <v>0.28962702540648166</v>
      </c>
      <c r="H70" s="66" t="str">
        <f t="shared" si="44"/>
        <v/>
      </c>
      <c r="I70" s="66" t="str">
        <f t="shared" si="44"/>
        <v/>
      </c>
      <c r="J70" s="66" t="str">
        <f t="shared" si="44"/>
        <v/>
      </c>
      <c r="K70" s="66" t="str">
        <f t="shared" si="44"/>
        <v/>
      </c>
      <c r="L70" s="66" t="str">
        <f t="shared" si="44"/>
        <v/>
      </c>
      <c r="N70" t="str">
        <f t="shared" si="41"/>
        <v>Available water - Account Withdraw</v>
      </c>
    </row>
    <row r="71" spans="1:14" x14ac:dyDescent="0.35">
      <c r="C71"/>
    </row>
    <row r="72" spans="1:14" x14ac:dyDescent="0.35">
      <c r="A72" s="143" t="str">
        <f>IF(A$7="","[Unused]",A7)</f>
        <v>Mexico</v>
      </c>
      <c r="B72" s="143"/>
      <c r="C72" s="143"/>
      <c r="D72" s="143"/>
      <c r="E72" s="143"/>
      <c r="F72" s="143"/>
      <c r="G72" s="143"/>
      <c r="H72" s="143"/>
      <c r="I72" s="143"/>
      <c r="J72" s="143"/>
      <c r="K72" s="143"/>
      <c r="L72" s="143"/>
      <c r="M72" s="144" t="s">
        <v>107</v>
      </c>
      <c r="N72" s="143" t="s">
        <v>172</v>
      </c>
    </row>
    <row r="73" spans="1:14" x14ac:dyDescent="0.35">
      <c r="A73" s="32" t="str">
        <f>IF(A72="[Unused]","","   Volume of Sales(+) and Purchases(-) [maf]")</f>
        <v xml:space="preserve">   Volume of Sales(+) and Purchases(-) [maf]</v>
      </c>
      <c r="C73" s="134"/>
      <c r="D73" s="134"/>
      <c r="E73" s="134">
        <v>0.2</v>
      </c>
      <c r="F73" s="134">
        <v>0.1</v>
      </c>
      <c r="G73" s="134"/>
      <c r="H73" s="134"/>
      <c r="I73" s="134"/>
      <c r="J73" s="134"/>
      <c r="K73" s="134"/>
      <c r="L73" s="134"/>
      <c r="M73" s="67">
        <f>SUM(C73:L73)</f>
        <v>0.30000000000000004</v>
      </c>
      <c r="N73" t="str">
        <f>IF(A73="","",N65)</f>
        <v>Add if multiple transactions, e.g.: 0.5 + 0.25</v>
      </c>
    </row>
    <row r="74" spans="1:14" x14ac:dyDescent="0.35">
      <c r="A74" s="32" t="str">
        <f>IF(A73="","","   Cash Intake(+) and Payments(-) [$ Mill]")</f>
        <v xml:space="preserve">   Cash Intake(+) and Payments(-) [$ Mill]</v>
      </c>
      <c r="C74" s="135"/>
      <c r="D74" s="135"/>
      <c r="E74" s="135">
        <f>1500*E73</f>
        <v>300</v>
      </c>
      <c r="F74" s="135">
        <f>1500*F73</f>
        <v>150</v>
      </c>
      <c r="G74" s="135"/>
      <c r="H74" s="135"/>
      <c r="I74" s="135"/>
      <c r="J74" s="135"/>
      <c r="K74" s="135"/>
      <c r="L74" s="135"/>
      <c r="M74" s="65">
        <f>SUM(C74:L74)</f>
        <v>450</v>
      </c>
      <c r="N74" t="str">
        <f t="shared" ref="N74:N78" si="45">IF(A74="","",N66)</f>
        <v>Add if multiple transactions, e.g.: $350*0.5 + $450*0.25</v>
      </c>
    </row>
    <row r="75" spans="1:14" x14ac:dyDescent="0.35">
      <c r="A75" s="32" t="str">
        <f>IF(A74="","","   Volume all players (should be zero)")</f>
        <v xml:space="preserve">   Volume all players (should be zero)</v>
      </c>
      <c r="C75" s="67">
        <f t="shared" ref="C75:M75" ca="1" si="46">IF(OR(C$26="",$A75=""),"",C$112)</f>
        <v>0</v>
      </c>
      <c r="D75" s="67">
        <f t="shared" ca="1" si="46"/>
        <v>0</v>
      </c>
      <c r="E75" s="67">
        <f t="shared" ca="1" si="46"/>
        <v>5.5511151231257827E-17</v>
      </c>
      <c r="F75" s="67">
        <f t="shared" ca="1" si="46"/>
        <v>0</v>
      </c>
      <c r="G75" s="67">
        <f t="shared" ca="1" si="46"/>
        <v>0</v>
      </c>
      <c r="H75" s="67" t="str">
        <f t="shared" si="46"/>
        <v/>
      </c>
      <c r="I75" s="67" t="str">
        <f t="shared" si="46"/>
        <v/>
      </c>
      <c r="J75" s="67" t="str">
        <f t="shared" si="46"/>
        <v/>
      </c>
      <c r="K75" s="67" t="str">
        <f t="shared" si="46"/>
        <v/>
      </c>
      <c r="L75" s="67" t="str">
        <f t="shared" si="46"/>
        <v/>
      </c>
      <c r="M75" t="str">
        <f t="shared" si="46"/>
        <v/>
      </c>
      <c r="N75" t="str">
        <f t="shared" si="45"/>
        <v>If non-zero, players need to change amount(s)</v>
      </c>
    </row>
    <row r="76" spans="1:14" x14ac:dyDescent="0.35">
      <c r="A76" s="1" t="str">
        <f>IF(A74="","","   Available Water [maf]")</f>
        <v xml:space="preserve">   Available Water [maf]</v>
      </c>
      <c r="C76" s="14">
        <f t="shared" ref="C76:L76" si="47">IF(OR(C$26="",$A76=""),"",C32+C50-C42-C73)</f>
        <v>1.6129063098110585</v>
      </c>
      <c r="D76" s="14">
        <f t="shared" ca="1" si="47"/>
        <v>1.5545781945300379</v>
      </c>
      <c r="E76" s="14">
        <f t="shared" ca="1" si="47"/>
        <v>1.3487810525165953</v>
      </c>
      <c r="F76" s="14">
        <f ca="1">IF(OR(F$26="",$A76=""),"",F32+F50-F42-F73)</f>
        <v>1.2535539767122101</v>
      </c>
      <c r="G76" s="14">
        <f t="shared" ca="1" si="47"/>
        <v>1.3767263538601866</v>
      </c>
      <c r="H76" s="14" t="str">
        <f t="shared" si="47"/>
        <v/>
      </c>
      <c r="I76" s="14" t="str">
        <f t="shared" si="47"/>
        <v/>
      </c>
      <c r="J76" s="14" t="str">
        <f t="shared" si="47"/>
        <v/>
      </c>
      <c r="K76" s="14" t="str">
        <f t="shared" si="47"/>
        <v/>
      </c>
      <c r="L76" s="14" t="str">
        <f t="shared" si="47"/>
        <v/>
      </c>
      <c r="N76" t="str">
        <f t="shared" si="45"/>
        <v>Available water = Account Balance + Available Inflow - Evaporation + Sales - Purchases</v>
      </c>
    </row>
    <row r="77" spans="1:14" x14ac:dyDescent="0.35">
      <c r="A77" s="1" t="str">
        <f>IF(A76="","","   Account Withdraw [maf]")</f>
        <v xml:space="preserve">   Account Withdraw [maf]</v>
      </c>
      <c r="C77" s="136">
        <v>1.5</v>
      </c>
      <c r="D77" s="136">
        <v>1.2</v>
      </c>
      <c r="E77" s="136">
        <v>1.2</v>
      </c>
      <c r="F77" s="136">
        <v>1.2</v>
      </c>
      <c r="G77" s="136">
        <v>1.2</v>
      </c>
      <c r="H77" s="136"/>
      <c r="I77" s="136"/>
      <c r="J77" s="136"/>
      <c r="K77" s="136"/>
      <c r="L77" s="136"/>
      <c r="N77" t="str">
        <f t="shared" si="45"/>
        <v>Must be less than Available water</v>
      </c>
    </row>
    <row r="78" spans="1:14" x14ac:dyDescent="0.35">
      <c r="A78" s="32" t="str">
        <f>IF(A77="","","   End of Year Balance [maf]")</f>
        <v xml:space="preserve">   End of Year Balance [maf]</v>
      </c>
      <c r="C78" s="66">
        <f>IF(OR(C$26="",$A78=""),"",C76-C77)</f>
        <v>0.11290630981105854</v>
      </c>
      <c r="D78" s="66">
        <f t="shared" ref="D78:L78" ca="1" si="48">IF(OR(D$26="",$A78=""),"",D76-D77)</f>
        <v>0.35457819453003792</v>
      </c>
      <c r="E78" s="66">
        <f t="shared" ca="1" si="48"/>
        <v>0.14878105251659535</v>
      </c>
      <c r="F78" s="66">
        <f t="shared" ca="1" si="48"/>
        <v>5.3553976712210183E-2</v>
      </c>
      <c r="G78" s="66">
        <f t="shared" ca="1" si="48"/>
        <v>0.17672635386018665</v>
      </c>
      <c r="H78" s="66" t="str">
        <f t="shared" si="48"/>
        <v/>
      </c>
      <c r="I78" s="66" t="str">
        <f t="shared" si="48"/>
        <v/>
      </c>
      <c r="J78" s="66" t="str">
        <f t="shared" si="48"/>
        <v/>
      </c>
      <c r="K78" s="66" t="str">
        <f t="shared" si="48"/>
        <v/>
      </c>
      <c r="L78" s="66" t="str">
        <f t="shared" si="48"/>
        <v/>
      </c>
      <c r="N78" t="str">
        <f t="shared" si="45"/>
        <v>Available water - Account Withdraw</v>
      </c>
    </row>
    <row r="79" spans="1:14" x14ac:dyDescent="0.35">
      <c r="C79"/>
    </row>
    <row r="80" spans="1:14" x14ac:dyDescent="0.35">
      <c r="A80" s="143" t="str">
        <f>IF(A$8="","[Unused]",A8)</f>
        <v>Shared, Reserve</v>
      </c>
      <c r="B80" s="143"/>
      <c r="C80" s="143"/>
      <c r="D80" s="143"/>
      <c r="E80" s="143"/>
      <c r="F80" s="143"/>
      <c r="G80" s="143"/>
      <c r="H80" s="143"/>
      <c r="I80" s="143"/>
      <c r="J80" s="143"/>
      <c r="K80" s="143"/>
      <c r="L80" s="143"/>
      <c r="M80" s="144" t="s">
        <v>107</v>
      </c>
      <c r="N80" s="143" t="s">
        <v>172</v>
      </c>
    </row>
    <row r="81" spans="1:14" x14ac:dyDescent="0.35">
      <c r="A81" s="32" t="str">
        <f>IF(A80="[Unused]","","   Volume of Sales(+) and Purchases(-) [maf]")</f>
        <v xml:space="preserve">   Volume of Sales(+) and Purchases(-) [maf]</v>
      </c>
      <c r="C81" s="134"/>
      <c r="D81" s="134"/>
      <c r="E81" s="134"/>
      <c r="F81" s="134"/>
      <c r="G81" s="134"/>
      <c r="H81" s="134"/>
      <c r="I81" s="134"/>
      <c r="J81" s="134"/>
      <c r="K81" s="134"/>
      <c r="L81" s="134"/>
      <c r="M81" s="67">
        <f>SUM(C81:L81)</f>
        <v>0</v>
      </c>
      <c r="N81" t="str">
        <f>IF(A81="","",N73)</f>
        <v>Add if multiple transactions, e.g.: 0.5 + 0.25</v>
      </c>
    </row>
    <row r="82" spans="1:14" x14ac:dyDescent="0.35">
      <c r="A82" s="32" t="str">
        <f>IF(A81="","","   Cash Intake(+) and Payments(-) [$ Mill]")</f>
        <v xml:space="preserve">   Cash Intake(+) and Payments(-) [$ Mill]</v>
      </c>
      <c r="C82" s="135"/>
      <c r="D82" s="135"/>
      <c r="E82" s="135"/>
      <c r="F82" s="135"/>
      <c r="G82" s="135"/>
      <c r="H82" s="135"/>
      <c r="I82" s="135"/>
      <c r="J82" s="135"/>
      <c r="K82" s="135"/>
      <c r="L82" s="135"/>
      <c r="M82" s="65">
        <f>SUM(C82:L82)</f>
        <v>0</v>
      </c>
      <c r="N82" t="str">
        <f t="shared" ref="N82:N86" si="49">IF(A82="","",N74)</f>
        <v>Add if multiple transactions, e.g.: $350*0.5 + $450*0.25</v>
      </c>
    </row>
    <row r="83" spans="1:14" x14ac:dyDescent="0.35">
      <c r="A83" s="32" t="str">
        <f>IF(A82="","","   Volume all players (should be zero)")</f>
        <v xml:space="preserve">   Volume all players (should be zero)</v>
      </c>
      <c r="C83" s="67">
        <f t="shared" ref="C83:M83" ca="1" si="50">IF(OR(C$26="",$A83=""),"",C$112)</f>
        <v>0</v>
      </c>
      <c r="D83" s="67">
        <f t="shared" ca="1" si="50"/>
        <v>0</v>
      </c>
      <c r="E83" s="67">
        <f t="shared" ca="1" si="50"/>
        <v>5.5511151231257827E-17</v>
      </c>
      <c r="F83" s="67">
        <f t="shared" ca="1" si="50"/>
        <v>0</v>
      </c>
      <c r="G83" s="67">
        <f t="shared" ca="1" si="50"/>
        <v>0</v>
      </c>
      <c r="H83" s="67" t="str">
        <f t="shared" si="50"/>
        <v/>
      </c>
      <c r="I83" s="67" t="str">
        <f t="shared" si="50"/>
        <v/>
      </c>
      <c r="J83" s="67" t="str">
        <f t="shared" si="50"/>
        <v/>
      </c>
      <c r="K83" s="67" t="str">
        <f t="shared" si="50"/>
        <v/>
      </c>
      <c r="L83" s="67" t="str">
        <f t="shared" si="50"/>
        <v/>
      </c>
      <c r="M83" t="str">
        <f t="shared" si="50"/>
        <v/>
      </c>
      <c r="N83" t="str">
        <f t="shared" si="49"/>
        <v>If non-zero, players need to change amount(s)</v>
      </c>
    </row>
    <row r="84" spans="1:14" x14ac:dyDescent="0.35">
      <c r="A84" s="1" t="str">
        <f>IF(A82="","","   Available Water [maf]")</f>
        <v xml:space="preserve">   Available Water [maf]</v>
      </c>
      <c r="C84" s="14">
        <f t="shared" ref="C84:L84" si="51">IF(OR(C$26="",$A84=""),"",C33+C51-C43-C81)</f>
        <v>11.59116925</v>
      </c>
      <c r="D84" s="14">
        <f t="shared" ca="1" si="51"/>
        <v>11.59116925</v>
      </c>
      <c r="E84" s="14">
        <f t="shared" ca="1" si="51"/>
        <v>11.59116925</v>
      </c>
      <c r="F84" s="14">
        <f t="shared" ca="1" si="51"/>
        <v>11.59116925</v>
      </c>
      <c r="G84" s="14">
        <f t="shared" ca="1" si="51"/>
        <v>11.59116925</v>
      </c>
      <c r="H84" s="14" t="str">
        <f t="shared" si="51"/>
        <v/>
      </c>
      <c r="I84" s="14" t="str">
        <f t="shared" si="51"/>
        <v/>
      </c>
      <c r="J84" s="14" t="str">
        <f t="shared" si="51"/>
        <v/>
      </c>
      <c r="K84" s="14" t="str">
        <f t="shared" si="51"/>
        <v/>
      </c>
      <c r="L84" s="14" t="str">
        <f t="shared" si="51"/>
        <v/>
      </c>
      <c r="N84" t="str">
        <f t="shared" si="49"/>
        <v>Available water = Account Balance + Available Inflow - Evaporation + Sales - Purchases</v>
      </c>
    </row>
    <row r="85" spans="1:14" x14ac:dyDescent="0.35">
      <c r="A85" s="1" t="str">
        <f>IF(A84="","","   Account Withdraw [maf]")</f>
        <v xml:space="preserve">   Account Withdraw [maf]</v>
      </c>
      <c r="C85" s="136"/>
      <c r="D85" s="136"/>
      <c r="E85" s="136"/>
      <c r="F85" s="136"/>
      <c r="G85" s="136"/>
      <c r="H85" s="136"/>
      <c r="I85" s="136"/>
      <c r="J85" s="136"/>
      <c r="K85" s="136"/>
      <c r="L85" s="136"/>
      <c r="N85" t="str">
        <f t="shared" si="49"/>
        <v>Must be less than Available water</v>
      </c>
    </row>
    <row r="86" spans="1:14" x14ac:dyDescent="0.35">
      <c r="A86" s="32" t="str">
        <f>IF(A85="","","   End of Year Balance [maf]")</f>
        <v xml:space="preserve">   End of Year Balance [maf]</v>
      </c>
      <c r="C86" s="66">
        <f>IF(OR(C$26="",$A86=""),"",C84-C85)</f>
        <v>11.59116925</v>
      </c>
      <c r="D86" s="66">
        <f t="shared" ref="D86" ca="1" si="52">IF(OR(D$26="",$A86=""),"",D84-D85)</f>
        <v>11.59116925</v>
      </c>
      <c r="E86" s="66">
        <f t="shared" ref="E86" ca="1" si="53">IF(OR(E$26="",$A86=""),"",E84-E85)</f>
        <v>11.59116925</v>
      </c>
      <c r="F86" s="66">
        <f t="shared" ref="F86" ca="1" si="54">IF(OR(F$26="",$A86=""),"",F84-F85)</f>
        <v>11.59116925</v>
      </c>
      <c r="G86" s="66">
        <f t="shared" ref="G86" ca="1" si="55">IF(OR(G$26="",$A86=""),"",G84-G85)</f>
        <v>11.59116925</v>
      </c>
      <c r="H86" s="66" t="str">
        <f t="shared" ref="H86" si="56">IF(OR(H$26="",$A86=""),"",H84-H85)</f>
        <v/>
      </c>
      <c r="I86" s="66" t="str">
        <f t="shared" ref="I86" si="57">IF(OR(I$26="",$A86=""),"",I84-I85)</f>
        <v/>
      </c>
      <c r="J86" s="66" t="str">
        <f t="shared" ref="J86" si="58">IF(OR(J$26="",$A86=""),"",J84-J85)</f>
        <v/>
      </c>
      <c r="K86" s="66" t="str">
        <f t="shared" ref="K86" si="59">IF(OR(K$26="",$A86=""),"",K84-K85)</f>
        <v/>
      </c>
      <c r="L86" s="66" t="str">
        <f t="shared" ref="L86" si="60">IF(OR(L$26="",$A86=""),"",L84-L85)</f>
        <v/>
      </c>
      <c r="N86" t="str">
        <f t="shared" si="49"/>
        <v>Available water - Account Withdraw</v>
      </c>
    </row>
    <row r="87" spans="1:14" x14ac:dyDescent="0.35">
      <c r="C87"/>
    </row>
    <row r="88" spans="1:14" x14ac:dyDescent="0.35">
      <c r="A88" s="143" t="str">
        <f>IF(A$9="","[Unused]",A9)</f>
        <v>[Unused]</v>
      </c>
      <c r="B88" s="143"/>
      <c r="C88" s="143"/>
      <c r="D88" s="143"/>
      <c r="E88" s="143"/>
      <c r="F88" s="143"/>
      <c r="G88" s="143"/>
      <c r="H88" s="143"/>
      <c r="I88" s="143"/>
      <c r="J88" s="143"/>
      <c r="K88" s="143"/>
      <c r="L88" s="143"/>
      <c r="M88" s="144" t="s">
        <v>107</v>
      </c>
      <c r="N88" s="143" t="s">
        <v>172</v>
      </c>
    </row>
    <row r="89" spans="1:14" x14ac:dyDescent="0.35">
      <c r="A89" s="32" t="str">
        <f>IF(A88="[Unused]","","   Volume of Sales(+) and Purchases(-) [maf]")</f>
        <v/>
      </c>
      <c r="C89" s="134"/>
      <c r="D89" s="134"/>
      <c r="E89" s="134"/>
      <c r="F89" s="134"/>
      <c r="G89" s="134"/>
      <c r="H89" s="134"/>
      <c r="I89" s="134"/>
      <c r="J89" s="134"/>
      <c r="K89" s="134"/>
      <c r="L89" s="134"/>
      <c r="M89" s="67">
        <f>SUM(C89:L89)</f>
        <v>0</v>
      </c>
      <c r="N89" t="str">
        <f>IF(A89="","",N81)</f>
        <v/>
      </c>
    </row>
    <row r="90" spans="1:14" x14ac:dyDescent="0.35">
      <c r="A90" s="32" t="str">
        <f>IF(A89="","","   Cash Intake(+) and Payments(-) [$ Mill]")</f>
        <v/>
      </c>
      <c r="C90" s="135"/>
      <c r="D90" s="135"/>
      <c r="E90" s="135"/>
      <c r="F90" s="135"/>
      <c r="G90" s="135"/>
      <c r="H90" s="135"/>
      <c r="I90" s="135"/>
      <c r="J90" s="135"/>
      <c r="K90" s="135"/>
      <c r="L90" s="135"/>
      <c r="M90" s="65">
        <f>SUM(C90:L90)</f>
        <v>0</v>
      </c>
      <c r="N90" t="str">
        <f t="shared" ref="N90:N94" si="61">IF(A90="","",N82)</f>
        <v/>
      </c>
    </row>
    <row r="91" spans="1:14" x14ac:dyDescent="0.35">
      <c r="A91" s="32" t="str">
        <f>IF(A90="","","   Volume all players (should be zero)")</f>
        <v/>
      </c>
      <c r="C91" s="67" t="str">
        <f t="shared" ref="C91:M91" si="62">IF(OR(C$26="",$A91=""),"",C$112)</f>
        <v/>
      </c>
      <c r="D91" s="67" t="str">
        <f t="shared" si="62"/>
        <v/>
      </c>
      <c r="E91" s="67" t="str">
        <f t="shared" si="62"/>
        <v/>
      </c>
      <c r="F91" s="67" t="str">
        <f t="shared" si="62"/>
        <v/>
      </c>
      <c r="G91" s="67" t="str">
        <f t="shared" si="62"/>
        <v/>
      </c>
      <c r="H91" s="67" t="str">
        <f t="shared" si="62"/>
        <v/>
      </c>
      <c r="I91" s="67" t="str">
        <f t="shared" si="62"/>
        <v/>
      </c>
      <c r="J91" s="67" t="str">
        <f t="shared" si="62"/>
        <v/>
      </c>
      <c r="K91" s="67" t="str">
        <f t="shared" si="62"/>
        <v/>
      </c>
      <c r="L91" s="67" t="str">
        <f t="shared" si="62"/>
        <v/>
      </c>
      <c r="M91" t="str">
        <f t="shared" si="62"/>
        <v/>
      </c>
      <c r="N91" t="str">
        <f t="shared" si="61"/>
        <v/>
      </c>
    </row>
    <row r="92" spans="1:14" x14ac:dyDescent="0.35">
      <c r="A92" s="1" t="str">
        <f>IF(A90="","","   Available Water [maf]")</f>
        <v/>
      </c>
      <c r="C92" s="14" t="str">
        <f t="shared" ref="C92:L92" si="63">IF(OR(C$26="",$A92=""),"",C34+C52-C44-C89)</f>
        <v/>
      </c>
      <c r="D92" s="14" t="str">
        <f t="shared" si="63"/>
        <v/>
      </c>
      <c r="E92" s="14" t="str">
        <f t="shared" si="63"/>
        <v/>
      </c>
      <c r="F92" s="14" t="str">
        <f t="shared" si="63"/>
        <v/>
      </c>
      <c r="G92" s="14" t="str">
        <f t="shared" si="63"/>
        <v/>
      </c>
      <c r="H92" s="14" t="str">
        <f t="shared" si="63"/>
        <v/>
      </c>
      <c r="I92" s="14" t="str">
        <f t="shared" si="63"/>
        <v/>
      </c>
      <c r="J92" s="14" t="str">
        <f t="shared" si="63"/>
        <v/>
      </c>
      <c r="K92" s="14" t="str">
        <f t="shared" si="63"/>
        <v/>
      </c>
      <c r="L92" s="14" t="str">
        <f t="shared" si="63"/>
        <v/>
      </c>
      <c r="N92" t="str">
        <f t="shared" si="61"/>
        <v/>
      </c>
    </row>
    <row r="93" spans="1:14" x14ac:dyDescent="0.35">
      <c r="A93" s="1" t="str">
        <f>IF(A92="","","   Account Withdraw [maf]")</f>
        <v/>
      </c>
      <c r="C93" s="136"/>
      <c r="D93" s="136"/>
      <c r="E93" s="136"/>
      <c r="F93" s="136"/>
      <c r="G93" s="136"/>
      <c r="H93" s="136"/>
      <c r="I93" s="136"/>
      <c r="J93" s="136"/>
      <c r="K93" s="136"/>
      <c r="L93" s="136"/>
      <c r="N93" t="str">
        <f t="shared" si="61"/>
        <v/>
      </c>
    </row>
    <row r="94" spans="1:14" x14ac:dyDescent="0.35">
      <c r="A94" s="32" t="str">
        <f>IF(A93="","","   End of Year Balance [maf]")</f>
        <v/>
      </c>
      <c r="C94" s="66" t="str">
        <f>IF(OR(C$26="",$A94=""),"",C92-C93)</f>
        <v/>
      </c>
      <c r="D94" s="66" t="str">
        <f t="shared" ref="D94" si="64">IF(OR(D$26="",$A94=""),"",D92-D93)</f>
        <v/>
      </c>
      <c r="E94" s="66" t="str">
        <f t="shared" ref="E94" si="65">IF(OR(E$26="",$A94=""),"",E92-E93)</f>
        <v/>
      </c>
      <c r="F94" s="66" t="str">
        <f t="shared" ref="F94" si="66">IF(OR(F$26="",$A94=""),"",F92-F93)</f>
        <v/>
      </c>
      <c r="G94" s="66" t="str">
        <f t="shared" ref="G94" si="67">IF(OR(G$26="",$A94=""),"",G92-G93)</f>
        <v/>
      </c>
      <c r="H94" s="66" t="str">
        <f t="shared" ref="H94" si="68">IF(OR(H$26="",$A94=""),"",H92-H93)</f>
        <v/>
      </c>
      <c r="I94" s="66" t="str">
        <f t="shared" ref="I94" si="69">IF(OR(I$26="",$A94=""),"",I92-I93)</f>
        <v/>
      </c>
      <c r="J94" s="66" t="str">
        <f t="shared" ref="J94" si="70">IF(OR(J$26="",$A94=""),"",J92-J93)</f>
        <v/>
      </c>
      <c r="K94" s="66" t="str">
        <f t="shared" ref="K94" si="71">IF(OR(K$26="",$A94=""),"",K92-K93)</f>
        <v/>
      </c>
      <c r="L94" s="66" t="str">
        <f t="shared" ref="L94" si="72">IF(OR(L$26="",$A94=""),"",L92-L93)</f>
        <v/>
      </c>
      <c r="N94" t="str">
        <f t="shared" si="61"/>
        <v/>
      </c>
    </row>
    <row r="95" spans="1:14" x14ac:dyDescent="0.35">
      <c r="C95"/>
    </row>
    <row r="96" spans="1:14" x14ac:dyDescent="0.35">
      <c r="A96" s="143" t="str">
        <f>IF(A$10="","[Unused]",A10)</f>
        <v>[Unused]</v>
      </c>
      <c r="B96" s="143"/>
      <c r="C96" s="143"/>
      <c r="D96" s="143"/>
      <c r="E96" s="143"/>
      <c r="F96" s="143"/>
      <c r="G96" s="143"/>
      <c r="H96" s="143"/>
      <c r="I96" s="143"/>
      <c r="J96" s="143"/>
      <c r="K96" s="143"/>
      <c r="L96" s="143"/>
      <c r="M96" s="144" t="s">
        <v>107</v>
      </c>
      <c r="N96" s="143" t="s">
        <v>172</v>
      </c>
    </row>
    <row r="97" spans="1:14" x14ac:dyDescent="0.35">
      <c r="A97" s="32" t="str">
        <f>IF(A96="[Unused]","","   Volume of Sales(+) and Purchases(-) [maf]")</f>
        <v/>
      </c>
      <c r="C97" s="134"/>
      <c r="D97" s="134"/>
      <c r="E97" s="134"/>
      <c r="F97" s="134"/>
      <c r="G97" s="134"/>
      <c r="H97" s="134"/>
      <c r="I97" s="134"/>
      <c r="J97" s="134"/>
      <c r="K97" s="134"/>
      <c r="L97" s="134"/>
      <c r="M97" s="67">
        <f>SUM(C97:L97)</f>
        <v>0</v>
      </c>
      <c r="N97" t="str">
        <f>IF(A97="","",N89)</f>
        <v/>
      </c>
    </row>
    <row r="98" spans="1:14" x14ac:dyDescent="0.35">
      <c r="A98" s="32" t="str">
        <f>IF(A97="","","   Cash Intake(+) and Payments(-) [$ Mill]")</f>
        <v/>
      </c>
      <c r="C98" s="135"/>
      <c r="D98" s="135"/>
      <c r="E98" s="135"/>
      <c r="F98" s="135"/>
      <c r="G98" s="135"/>
      <c r="H98" s="135"/>
      <c r="I98" s="135"/>
      <c r="J98" s="135"/>
      <c r="K98" s="135"/>
      <c r="L98" s="135"/>
      <c r="M98" s="65">
        <f>SUM(C98:L98)</f>
        <v>0</v>
      </c>
      <c r="N98" t="str">
        <f t="shared" ref="N98:N102" si="73">IF(A98="","",N90)</f>
        <v/>
      </c>
    </row>
    <row r="99" spans="1:14" x14ac:dyDescent="0.35">
      <c r="A99" s="32" t="str">
        <f>IF(A98="","","   Volume all players (should be zero)")</f>
        <v/>
      </c>
      <c r="C99" s="67" t="str">
        <f t="shared" ref="C99:M99" si="74">IF(OR(C$26="",$A99=""),"",C$112)</f>
        <v/>
      </c>
      <c r="D99" s="67" t="str">
        <f t="shared" si="74"/>
        <v/>
      </c>
      <c r="E99" s="67" t="str">
        <f t="shared" si="74"/>
        <v/>
      </c>
      <c r="F99" s="67" t="str">
        <f t="shared" si="74"/>
        <v/>
      </c>
      <c r="G99" s="67" t="str">
        <f t="shared" si="74"/>
        <v/>
      </c>
      <c r="H99" s="67" t="str">
        <f t="shared" si="74"/>
        <v/>
      </c>
      <c r="I99" s="67" t="str">
        <f t="shared" si="74"/>
        <v/>
      </c>
      <c r="J99" s="67" t="str">
        <f t="shared" si="74"/>
        <v/>
      </c>
      <c r="K99" s="67" t="str">
        <f t="shared" si="74"/>
        <v/>
      </c>
      <c r="L99" s="67" t="str">
        <f t="shared" si="74"/>
        <v/>
      </c>
      <c r="M99" t="str">
        <f t="shared" si="74"/>
        <v/>
      </c>
      <c r="N99" t="str">
        <f t="shared" si="73"/>
        <v/>
      </c>
    </row>
    <row r="100" spans="1:14" x14ac:dyDescent="0.35">
      <c r="A100" s="1" t="str">
        <f>IF(A98="","","   Available Water [maf]")</f>
        <v/>
      </c>
      <c r="C100" s="14" t="str">
        <f t="shared" ref="C100:L100" si="75">IF(OR(C$26="",$A100=""),"",C35+C53-C45-C97)</f>
        <v/>
      </c>
      <c r="D100" s="14" t="str">
        <f t="shared" si="75"/>
        <v/>
      </c>
      <c r="E100" s="14" t="str">
        <f t="shared" si="75"/>
        <v/>
      </c>
      <c r="F100" s="14" t="str">
        <f t="shared" si="75"/>
        <v/>
      </c>
      <c r="G100" s="14" t="str">
        <f t="shared" si="75"/>
        <v/>
      </c>
      <c r="H100" s="14" t="str">
        <f t="shared" si="75"/>
        <v/>
      </c>
      <c r="I100" s="14" t="str">
        <f t="shared" si="75"/>
        <v/>
      </c>
      <c r="J100" s="14" t="str">
        <f t="shared" si="75"/>
        <v/>
      </c>
      <c r="K100" s="14" t="str">
        <f t="shared" si="75"/>
        <v/>
      </c>
      <c r="L100" s="14" t="str">
        <f t="shared" si="75"/>
        <v/>
      </c>
      <c r="N100" t="str">
        <f t="shared" si="73"/>
        <v/>
      </c>
    </row>
    <row r="101" spans="1:14" x14ac:dyDescent="0.35">
      <c r="A101" s="1" t="str">
        <f>IF(A100="","","   Account Withdraw [maf]")</f>
        <v/>
      </c>
      <c r="C101" s="136"/>
      <c r="D101" s="136"/>
      <c r="E101" s="136"/>
      <c r="F101" s="136"/>
      <c r="G101" s="136"/>
      <c r="H101" s="136"/>
      <c r="I101" s="136"/>
      <c r="J101" s="136"/>
      <c r="K101" s="136"/>
      <c r="L101" s="136"/>
      <c r="N101" t="str">
        <f t="shared" si="73"/>
        <v/>
      </c>
    </row>
    <row r="102" spans="1:14" x14ac:dyDescent="0.35">
      <c r="A102" s="32" t="str">
        <f>IF(A101="","","   End of Year Balance [maf]")</f>
        <v/>
      </c>
      <c r="C102" s="66" t="str">
        <f>IF(OR(C$26="",$A102=""),"",C100-C101)</f>
        <v/>
      </c>
      <c r="D102" s="66" t="str">
        <f t="shared" ref="D102" si="76">IF(OR(D$26="",$A102=""),"",D100-D101)</f>
        <v/>
      </c>
      <c r="E102" s="66" t="str">
        <f t="shared" ref="E102" si="77">IF(OR(E$26="",$A102=""),"",E100-E101)</f>
        <v/>
      </c>
      <c r="F102" s="66" t="str">
        <f t="shared" ref="F102" si="78">IF(OR(F$26="",$A102=""),"",F100-F101)</f>
        <v/>
      </c>
      <c r="G102" s="66" t="str">
        <f t="shared" ref="G102" si="79">IF(OR(G$26="",$A102=""),"",G100-G101)</f>
        <v/>
      </c>
      <c r="H102" s="66" t="str">
        <f t="shared" ref="H102" si="80">IF(OR(H$26="",$A102=""),"",H100-H101)</f>
        <v/>
      </c>
      <c r="I102" s="66" t="str">
        <f t="shared" ref="I102" si="81">IF(OR(I$26="",$A102=""),"",I100-I101)</f>
        <v/>
      </c>
      <c r="J102" s="66" t="str">
        <f t="shared" ref="J102" si="82">IF(OR(J$26="",$A102=""),"",J100-J101)</f>
        <v/>
      </c>
      <c r="K102" s="66" t="str">
        <f t="shared" ref="K102" si="83">IF(OR(K$26="",$A102=""),"",K100-K101)</f>
        <v/>
      </c>
      <c r="L102" s="66" t="str">
        <f t="shared" ref="L102" si="84">IF(OR(L$26="",$A102=""),"",L100-L101)</f>
        <v/>
      </c>
      <c r="N102" t="str">
        <f t="shared" si="73"/>
        <v/>
      </c>
    </row>
    <row r="103" spans="1:14" x14ac:dyDescent="0.35">
      <c r="C103"/>
    </row>
    <row r="104" spans="1:14" x14ac:dyDescent="0.35">
      <c r="A104" s="145" t="s">
        <v>183</v>
      </c>
      <c r="B104" s="145"/>
      <c r="C104" s="145"/>
      <c r="D104" s="145"/>
      <c r="E104" s="145"/>
      <c r="F104" s="145"/>
      <c r="G104" s="145"/>
      <c r="H104" s="145"/>
      <c r="I104" s="145"/>
      <c r="J104" s="145"/>
      <c r="K104" s="145"/>
      <c r="L104" s="145"/>
      <c r="M104" s="145"/>
      <c r="N104" s="145"/>
    </row>
    <row r="105" spans="1:14" x14ac:dyDescent="0.35">
      <c r="A105" s="1" t="s">
        <v>149</v>
      </c>
      <c r="C105"/>
      <c r="M105" t="s">
        <v>182</v>
      </c>
      <c r="N105" t="s">
        <v>150</v>
      </c>
    </row>
    <row r="106" spans="1:14" x14ac:dyDescent="0.35">
      <c r="A106" t="str">
        <f t="shared" ref="A106:A111" si="85">IF(A5="","","    "&amp;A5)</f>
        <v xml:space="preserve">    Upper Basin</v>
      </c>
      <c r="B106" s="1"/>
      <c r="C106" s="67">
        <f t="shared" ref="C106:L106" ca="1" si="86">IF(OR(C$26="",$A106=""),"",OFFSET(C$57,8*(ROW(B106)-ROW(B$106)),0))</f>
        <v>0.6</v>
      </c>
      <c r="D106" s="67">
        <f t="shared" ca="1" si="86"/>
        <v>-0.6</v>
      </c>
      <c r="E106" s="67">
        <f t="shared" ca="1" si="86"/>
        <v>-1.8</v>
      </c>
      <c r="F106" s="67">
        <f t="shared" ca="1" si="86"/>
        <v>-0.1</v>
      </c>
      <c r="G106" s="67">
        <f t="shared" ca="1" si="86"/>
        <v>0</v>
      </c>
      <c r="H106" s="67" t="str">
        <f t="shared" ca="1" si="86"/>
        <v/>
      </c>
      <c r="I106" s="67" t="str">
        <f t="shared" ca="1" si="86"/>
        <v/>
      </c>
      <c r="J106" s="67" t="str">
        <f t="shared" ca="1" si="86"/>
        <v/>
      </c>
      <c r="K106" s="67" t="str">
        <f t="shared" ca="1" si="86"/>
        <v/>
      </c>
      <c r="L106" s="67" t="str">
        <f t="shared" ca="1" si="86"/>
        <v/>
      </c>
      <c r="M106" s="67">
        <f ca="1">IF(OR($A106=""),"",SUM(C106:L106))</f>
        <v>-1.9000000000000001</v>
      </c>
      <c r="N106" s="65">
        <f>IF(OR($A106=""),"",M58)</f>
        <v>-2050</v>
      </c>
    </row>
    <row r="107" spans="1:14" x14ac:dyDescent="0.35">
      <c r="A107" t="str">
        <f t="shared" si="85"/>
        <v xml:space="preserve">    Lower Basin</v>
      </c>
      <c r="B107" s="1"/>
      <c r="C107" s="67">
        <f t="shared" ref="C107:L107" ca="1" si="87">IF(OR(C$26="",$A107=""),"",OFFSET(C$57,8*(ROW(B107)-ROW(B$106)),0))</f>
        <v>-0.6</v>
      </c>
      <c r="D107" s="67">
        <f t="shared" ca="1" si="87"/>
        <v>0.6</v>
      </c>
      <c r="E107" s="67">
        <f t="shared" ca="1" si="87"/>
        <v>1.6</v>
      </c>
      <c r="F107" s="67">
        <f t="shared" ca="1" si="87"/>
        <v>0</v>
      </c>
      <c r="G107" s="67">
        <f t="shared" ca="1" si="87"/>
        <v>0</v>
      </c>
      <c r="H107" s="67" t="str">
        <f t="shared" ca="1" si="87"/>
        <v/>
      </c>
      <c r="I107" s="67" t="str">
        <f t="shared" ca="1" si="87"/>
        <v/>
      </c>
      <c r="J107" s="67" t="str">
        <f t="shared" ca="1" si="87"/>
        <v/>
      </c>
      <c r="K107" s="67" t="str">
        <f t="shared" ca="1" si="87"/>
        <v/>
      </c>
      <c r="L107" s="67" t="str">
        <f t="shared" ca="1" si="87"/>
        <v/>
      </c>
      <c r="M107" s="67">
        <f t="shared" ref="M107:M111" ca="1" si="88">IF(OR($A107=""),"",SUM(C107:L107))</f>
        <v>1.6</v>
      </c>
      <c r="N107" s="65">
        <f>IF(OR($A107=""),"",M66)</f>
        <v>1600</v>
      </c>
    </row>
    <row r="108" spans="1:14" x14ac:dyDescent="0.35">
      <c r="A108" t="str">
        <f t="shared" si="85"/>
        <v xml:space="preserve">    Mexico</v>
      </c>
      <c r="B108" s="1"/>
      <c r="C108" s="67">
        <f t="shared" ref="C108:L108" ca="1" si="89">IF(OR(C$26="",$A108=""),"",OFFSET(C$57,8*(ROW(B108)-ROW(B$106)),0))</f>
        <v>0</v>
      </c>
      <c r="D108" s="67">
        <f t="shared" ca="1" si="89"/>
        <v>0</v>
      </c>
      <c r="E108" s="67">
        <f t="shared" ca="1" si="89"/>
        <v>0.2</v>
      </c>
      <c r="F108" s="67">
        <f t="shared" ca="1" si="89"/>
        <v>0.1</v>
      </c>
      <c r="G108" s="67">
        <f t="shared" ca="1" si="89"/>
        <v>0</v>
      </c>
      <c r="H108" s="67" t="str">
        <f t="shared" ca="1" si="89"/>
        <v/>
      </c>
      <c r="I108" s="67" t="str">
        <f t="shared" ca="1" si="89"/>
        <v/>
      </c>
      <c r="J108" s="67" t="str">
        <f t="shared" ca="1" si="89"/>
        <v/>
      </c>
      <c r="K108" s="67" t="str">
        <f t="shared" ca="1" si="89"/>
        <v/>
      </c>
      <c r="L108" s="67" t="str">
        <f t="shared" ca="1" si="89"/>
        <v/>
      </c>
      <c r="M108" s="67">
        <f t="shared" ca="1" si="88"/>
        <v>0.30000000000000004</v>
      </c>
      <c r="N108" s="65">
        <f>IF(OR($A108=""),"",M74)</f>
        <v>450</v>
      </c>
    </row>
    <row r="109" spans="1:14" x14ac:dyDescent="0.35">
      <c r="A109" t="str">
        <f t="shared" si="85"/>
        <v xml:space="preserve">    Shared, Reserve</v>
      </c>
      <c r="B109" s="1"/>
      <c r="C109" s="67">
        <f t="shared" ref="C109:L109" ca="1" si="90">IF(OR(C$26="",$A109=""),"",OFFSET(C$57,8*(ROW(B109)-ROW(B$106)),0))</f>
        <v>0</v>
      </c>
      <c r="D109" s="67">
        <f t="shared" ca="1" si="90"/>
        <v>0</v>
      </c>
      <c r="E109" s="67">
        <f t="shared" ca="1" si="90"/>
        <v>0</v>
      </c>
      <c r="F109" s="67">
        <f t="shared" ca="1" si="90"/>
        <v>0</v>
      </c>
      <c r="G109" s="67">
        <f t="shared" ca="1" si="90"/>
        <v>0</v>
      </c>
      <c r="H109" s="67" t="str">
        <f t="shared" ca="1" si="90"/>
        <v/>
      </c>
      <c r="I109" s="67" t="str">
        <f t="shared" ca="1" si="90"/>
        <v/>
      </c>
      <c r="J109" s="67" t="str">
        <f t="shared" ca="1" si="90"/>
        <v/>
      </c>
      <c r="K109" s="67" t="str">
        <f t="shared" ca="1" si="90"/>
        <v/>
      </c>
      <c r="L109" s="67" t="str">
        <f t="shared" ca="1" si="90"/>
        <v/>
      </c>
      <c r="M109" s="67">
        <f t="shared" ca="1" si="88"/>
        <v>0</v>
      </c>
      <c r="N109" s="65">
        <f>IF(OR($A109=""),"",M82)</f>
        <v>0</v>
      </c>
    </row>
    <row r="110" spans="1:14" x14ac:dyDescent="0.35">
      <c r="A110" t="str">
        <f t="shared" si="85"/>
        <v/>
      </c>
      <c r="B110" s="1"/>
      <c r="C110" s="67" t="str">
        <f t="shared" ref="C110:L110" ca="1" si="91">IF(OR(C$26="",$A110=""),"",OFFSET(C$57,8*(ROW(B110)-ROW(B$106)),0))</f>
        <v/>
      </c>
      <c r="D110" s="67" t="str">
        <f t="shared" ca="1" si="91"/>
        <v/>
      </c>
      <c r="E110" s="67" t="str">
        <f t="shared" ca="1" si="91"/>
        <v/>
      </c>
      <c r="F110" s="67" t="str">
        <f t="shared" ca="1" si="91"/>
        <v/>
      </c>
      <c r="G110" s="67" t="str">
        <f t="shared" ca="1" si="91"/>
        <v/>
      </c>
      <c r="H110" s="67" t="str">
        <f t="shared" ca="1" si="91"/>
        <v/>
      </c>
      <c r="I110" s="67" t="str">
        <f t="shared" ca="1" si="91"/>
        <v/>
      </c>
      <c r="J110" s="67" t="str">
        <f t="shared" ca="1" si="91"/>
        <v/>
      </c>
      <c r="K110" s="67" t="str">
        <f t="shared" ca="1" si="91"/>
        <v/>
      </c>
      <c r="L110" s="67" t="str">
        <f t="shared" ca="1" si="91"/>
        <v/>
      </c>
      <c r="M110" s="67" t="str">
        <f t="shared" si="88"/>
        <v/>
      </c>
      <c r="N110" s="65" t="str">
        <f>IF(OR($A110=""),"",M90)</f>
        <v/>
      </c>
    </row>
    <row r="111" spans="1:14" x14ac:dyDescent="0.35">
      <c r="A111" t="str">
        <f t="shared" si="85"/>
        <v/>
      </c>
      <c r="B111" s="1"/>
      <c r="C111" s="67" t="str">
        <f t="shared" ref="C111:L111" ca="1" si="92">IF(OR(C$26="",$A111=""),"",OFFSET(C$57,8*(ROW(B111)-ROW(B$106)),0))</f>
        <v/>
      </c>
      <c r="D111" s="67" t="str">
        <f t="shared" ca="1" si="92"/>
        <v/>
      </c>
      <c r="E111" s="67" t="str">
        <f t="shared" ca="1" si="92"/>
        <v/>
      </c>
      <c r="F111" s="67" t="str">
        <f t="shared" ca="1" si="92"/>
        <v/>
      </c>
      <c r="G111" s="67" t="str">
        <f t="shared" ca="1" si="92"/>
        <v/>
      </c>
      <c r="H111" s="67" t="str">
        <f t="shared" ca="1" si="92"/>
        <v/>
      </c>
      <c r="I111" s="67" t="str">
        <f t="shared" ca="1" si="92"/>
        <v/>
      </c>
      <c r="J111" s="67" t="str">
        <f t="shared" ca="1" si="92"/>
        <v/>
      </c>
      <c r="K111" s="67" t="str">
        <f t="shared" ca="1" si="92"/>
        <v/>
      </c>
      <c r="L111" s="67" t="str">
        <f t="shared" ca="1" si="92"/>
        <v/>
      </c>
      <c r="M111" s="67" t="str">
        <f t="shared" si="88"/>
        <v/>
      </c>
      <c r="N111" s="65" t="str">
        <f>IF(OR($A111=""),"",M98)</f>
        <v/>
      </c>
    </row>
    <row r="112" spans="1:14" x14ac:dyDescent="0.35">
      <c r="A112" t="s">
        <v>146</v>
      </c>
      <c r="B112" s="1"/>
      <c r="C112" s="51">
        <f ca="1">IF(C$26&lt;&gt;"",SUM(C106:C111),"")</f>
        <v>0</v>
      </c>
      <c r="D112" s="51">
        <f t="shared" ref="D112:L112" ca="1" si="93">IF(D$26&lt;&gt;"",SUM(D106:D111),"")</f>
        <v>0</v>
      </c>
      <c r="E112" s="119">
        <f t="shared" ca="1" si="93"/>
        <v>5.5511151231257827E-17</v>
      </c>
      <c r="F112" s="51">
        <f t="shared" ca="1" si="93"/>
        <v>0</v>
      </c>
      <c r="G112" s="51">
        <f t="shared" ca="1" si="93"/>
        <v>0</v>
      </c>
      <c r="H112" s="51" t="str">
        <f t="shared" si="93"/>
        <v/>
      </c>
      <c r="I112" s="51" t="str">
        <f t="shared" si="93"/>
        <v/>
      </c>
      <c r="J112" s="51" t="str">
        <f t="shared" si="93"/>
        <v/>
      </c>
      <c r="K112" s="51" t="str">
        <f t="shared" si="93"/>
        <v/>
      </c>
      <c r="L112" s="51" t="str">
        <f t="shared" si="93"/>
        <v/>
      </c>
      <c r="M112" s="34"/>
    </row>
    <row r="113" spans="1:12" x14ac:dyDescent="0.35">
      <c r="A113" s="1" t="s">
        <v>134</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4" ca="1" si="94">IF(OR(C$26="",$A114=""),"",OFFSET(C$61,8*(ROW(B114)-ROW(B$114)),0))</f>
        <v>3.5</v>
      </c>
      <c r="D114" s="67">
        <f t="shared" ca="1" si="94"/>
        <v>2.9</v>
      </c>
      <c r="E114" s="67">
        <f t="shared" ca="1" si="94"/>
        <v>2</v>
      </c>
      <c r="F114" s="67">
        <f t="shared" ca="1" si="94"/>
        <v>0.7</v>
      </c>
      <c r="G114" s="67">
        <f t="shared" ca="1" si="94"/>
        <v>0.3</v>
      </c>
      <c r="H114" s="67" t="str">
        <f t="shared" ca="1" si="94"/>
        <v/>
      </c>
      <c r="I114" s="67" t="str">
        <f t="shared" ca="1" si="94"/>
        <v/>
      </c>
      <c r="J114" s="67" t="str">
        <f t="shared" ca="1" si="94"/>
        <v/>
      </c>
      <c r="K114" s="67" t="str">
        <f t="shared" ca="1" si="94"/>
        <v/>
      </c>
      <c r="L114" s="67" t="str">
        <f t="shared" ca="1" si="94"/>
        <v/>
      </c>
    </row>
    <row r="115" spans="1:12" x14ac:dyDescent="0.35">
      <c r="A115" t="str">
        <f>IF(A6="","","    "&amp;A6&amp;" - Release from Mead")</f>
        <v xml:space="preserve">    Lower Basin - Release from Mead</v>
      </c>
      <c r="C115" s="67">
        <f t="shared" ref="C115:L115" ca="1" si="95">IF(OR(C$26="",$A115=""),"",OFFSET(C$61,8*(ROW(B115)-ROW(B$114)),0))</f>
        <v>7</v>
      </c>
      <c r="D115" s="67">
        <f t="shared" ca="1" si="95"/>
        <v>6.8</v>
      </c>
      <c r="E115" s="67">
        <f t="shared" ca="1" si="95"/>
        <v>6.7</v>
      </c>
      <c r="F115" s="67">
        <f t="shared" ca="1" si="95"/>
        <v>6.6</v>
      </c>
      <c r="G115" s="67">
        <f t="shared" ca="1" si="95"/>
        <v>6.6</v>
      </c>
      <c r="H115" s="67" t="str">
        <f t="shared" ca="1" si="95"/>
        <v/>
      </c>
      <c r="I115" s="67" t="str">
        <f t="shared" ca="1" si="95"/>
        <v/>
      </c>
      <c r="J115" s="67" t="str">
        <f t="shared" ca="1" si="95"/>
        <v/>
      </c>
      <c r="K115" s="67" t="str">
        <f t="shared" ca="1" si="95"/>
        <v/>
      </c>
      <c r="L115" s="67" t="str">
        <f t="shared" ca="1" si="95"/>
        <v/>
      </c>
    </row>
    <row r="116" spans="1:12" x14ac:dyDescent="0.35">
      <c r="A116" t="str">
        <f>IF(A7="","","    "&amp;A7&amp;" - Release from Mead")</f>
        <v xml:space="preserve">    Mexico - Release from Mead</v>
      </c>
      <c r="C116" s="67">
        <f t="shared" ref="C116:L116" ca="1" si="96">IF(OR(C$26="",$A116=""),"",OFFSET(C$61,8*(ROW(B116)-ROW(B$114)),0))</f>
        <v>1.5</v>
      </c>
      <c r="D116" s="67">
        <f t="shared" ca="1" si="96"/>
        <v>1.2</v>
      </c>
      <c r="E116" s="67">
        <f t="shared" ca="1" si="96"/>
        <v>1.2</v>
      </c>
      <c r="F116" s="67">
        <f t="shared" ca="1" si="96"/>
        <v>1.2</v>
      </c>
      <c r="G116" s="67">
        <f t="shared" ca="1" si="96"/>
        <v>1.2</v>
      </c>
      <c r="H116" s="67" t="str">
        <f t="shared" ca="1" si="96"/>
        <v/>
      </c>
      <c r="I116" s="67" t="str">
        <f t="shared" ca="1" si="96"/>
        <v/>
      </c>
      <c r="J116" s="67" t="str">
        <f t="shared" ca="1" si="96"/>
        <v/>
      </c>
      <c r="K116" s="67" t="str">
        <f t="shared" ca="1" si="96"/>
        <v/>
      </c>
      <c r="L116" s="67" t="str">
        <f t="shared" ca="1" si="96"/>
        <v/>
      </c>
    </row>
    <row r="117" spans="1:12" x14ac:dyDescent="0.35">
      <c r="A117" t="str">
        <f>IF(A8="","","    "&amp;A8&amp;" - Release from Mead")</f>
        <v xml:space="preserve">    Shared, Reserve - Release from Mead</v>
      </c>
      <c r="C117" s="67">
        <f t="shared" ref="C117:L117" ca="1" si="97">IF(OR(C$26="",$A117=""),"",OFFSET(C$61,8*(ROW(B117)-ROW(B$114)),0))</f>
        <v>0</v>
      </c>
      <c r="D117" s="67">
        <f t="shared" ca="1" si="97"/>
        <v>0</v>
      </c>
      <c r="E117" s="67">
        <f t="shared" ca="1" si="97"/>
        <v>0</v>
      </c>
      <c r="F117" s="67">
        <f t="shared" ca="1" si="97"/>
        <v>0</v>
      </c>
      <c r="G117" s="67">
        <f t="shared" ca="1" si="97"/>
        <v>0</v>
      </c>
      <c r="H117" s="67" t="str">
        <f t="shared" ca="1" si="97"/>
        <v/>
      </c>
      <c r="I117" s="67" t="str">
        <f t="shared" ca="1" si="97"/>
        <v/>
      </c>
      <c r="J117" s="67" t="str">
        <f t="shared" ca="1" si="97"/>
        <v/>
      </c>
      <c r="K117" s="67" t="str">
        <f t="shared" ca="1" si="97"/>
        <v/>
      </c>
      <c r="L117" s="67" t="str">
        <f t="shared" ca="1" si="97"/>
        <v/>
      </c>
    </row>
    <row r="118" spans="1:12" x14ac:dyDescent="0.35">
      <c r="A118" t="str">
        <f>IF(A9="","","    "&amp;A9&amp;" - Release from Mead")</f>
        <v/>
      </c>
      <c r="C118" s="67" t="str">
        <f t="shared" ref="C118:L118" ca="1" si="98">IF(OR(C$26="",$A118=""),"",OFFSET(C$61,8*(ROW(B118)-ROW(B$114)),0))</f>
        <v/>
      </c>
      <c r="D118" s="67" t="str">
        <f t="shared" ca="1" si="98"/>
        <v/>
      </c>
      <c r="E118" s="67" t="str">
        <f t="shared" ca="1" si="98"/>
        <v/>
      </c>
      <c r="F118" s="67" t="str">
        <f t="shared" ca="1" si="98"/>
        <v/>
      </c>
      <c r="G118" s="67" t="str">
        <f t="shared" ca="1" si="98"/>
        <v/>
      </c>
      <c r="H118" s="67" t="str">
        <f t="shared" ca="1" si="98"/>
        <v/>
      </c>
      <c r="I118" s="67" t="str">
        <f t="shared" ca="1" si="98"/>
        <v/>
      </c>
      <c r="J118" s="67" t="str">
        <f t="shared" ca="1" si="98"/>
        <v/>
      </c>
      <c r="K118" s="67" t="str">
        <f t="shared" ca="1" si="98"/>
        <v/>
      </c>
      <c r="L118" s="67" t="str">
        <f t="shared" ca="1" si="98"/>
        <v/>
      </c>
    </row>
    <row r="119" spans="1:12" x14ac:dyDescent="0.35">
      <c r="A119" t="str">
        <f>IF(A10="","","    "&amp;A10&amp;" - Release from Mead")</f>
        <v/>
      </c>
      <c r="C119" s="67" t="str">
        <f t="shared" ref="C119:L119" ca="1" si="99">IF(OR(C$26="",$A119=""),"",OFFSET(C$61,8*(ROW(B119)-ROW(B$114)),0))</f>
        <v/>
      </c>
      <c r="D119" s="67" t="str">
        <f t="shared" ca="1" si="99"/>
        <v/>
      </c>
      <c r="E119" s="67" t="str">
        <f t="shared" ca="1" si="99"/>
        <v/>
      </c>
      <c r="F119" s="67" t="str">
        <f t="shared" ca="1" si="99"/>
        <v/>
      </c>
      <c r="G119" s="67" t="str">
        <f t="shared" ca="1" si="99"/>
        <v/>
      </c>
      <c r="H119" s="67" t="str">
        <f t="shared" ca="1" si="99"/>
        <v/>
      </c>
      <c r="I119" s="67" t="str">
        <f t="shared" ca="1" si="99"/>
        <v/>
      </c>
      <c r="J119" s="67" t="str">
        <f t="shared" ca="1" si="99"/>
        <v/>
      </c>
      <c r="K119" s="67" t="str">
        <f t="shared" ca="1" si="99"/>
        <v/>
      </c>
      <c r="L119" s="67" t="str">
        <f t="shared" ca="1" si="99"/>
        <v/>
      </c>
    </row>
    <row r="120" spans="1:12" x14ac:dyDescent="0.35">
      <c r="A120" s="1" t="s">
        <v>139</v>
      </c>
      <c r="B120" s="1"/>
      <c r="D120" s="2"/>
      <c r="E120" s="2"/>
      <c r="F120" s="2"/>
      <c r="G120" s="2"/>
      <c r="H120" s="2"/>
      <c r="I120" s="2"/>
      <c r="J120" s="2"/>
      <c r="K120" s="2"/>
      <c r="L120" s="2"/>
    </row>
    <row r="121" spans="1:12" x14ac:dyDescent="0.35">
      <c r="A121" t="str">
        <f t="shared" ref="A121:A126" si="100">IF(A5="","","    "&amp;A5)</f>
        <v xml:space="preserve">    Upper Basin</v>
      </c>
      <c r="C121" s="67">
        <f t="shared" ref="C121:L121" ca="1" si="101">IF(OR(C$26="",$A121=""),"",OFFSET(C$62,8*(ROW(B121)-ROW(B$121)),0))</f>
        <v>3.5040452368981789</v>
      </c>
      <c r="D121" s="67">
        <f t="shared" ca="1" si="101"/>
        <v>1.8046756171877996</v>
      </c>
      <c r="E121" s="67">
        <f t="shared" ca="1" si="101"/>
        <v>1.5073083708761699</v>
      </c>
      <c r="F121" s="67">
        <f t="shared" ca="1" si="101"/>
        <v>0.82058243277347653</v>
      </c>
      <c r="G121" s="67">
        <f t="shared" ca="1" si="101"/>
        <v>0.4721485857333319</v>
      </c>
      <c r="H121" s="67" t="str">
        <f t="shared" ca="1" si="101"/>
        <v/>
      </c>
      <c r="I121" s="67" t="str">
        <f t="shared" ca="1" si="101"/>
        <v/>
      </c>
      <c r="J121" s="67" t="str">
        <f t="shared" ca="1" si="101"/>
        <v/>
      </c>
      <c r="K121" s="67" t="str">
        <f t="shared" ca="1" si="101"/>
        <v/>
      </c>
      <c r="L121" s="67" t="str">
        <f t="shared" ca="1" si="101"/>
        <v/>
      </c>
    </row>
    <row r="122" spans="1:12" x14ac:dyDescent="0.35">
      <c r="A122" t="str">
        <f t="shared" si="100"/>
        <v xml:space="preserve">    Lower Basin</v>
      </c>
      <c r="C122" s="67">
        <f t="shared" ref="C122:L122" ca="1" si="102">IF(OR(C$26="",$A122=""),"",OFFSET(C$62,8*(ROW(B122)-ROW(B$121)),0))</f>
        <v>4.0699815232907888</v>
      </c>
      <c r="D122" s="67">
        <f t="shared" ca="1" si="102"/>
        <v>2.8610195042827629</v>
      </c>
      <c r="E122" s="67">
        <f t="shared" ca="1" si="102"/>
        <v>0.86795057260783626</v>
      </c>
      <c r="F122" s="67">
        <f t="shared" ca="1" si="102"/>
        <v>0.63775738801431459</v>
      </c>
      <c r="G122" s="67">
        <f t="shared" ca="1" si="102"/>
        <v>0.28962702540648166</v>
      </c>
      <c r="H122" s="67" t="str">
        <f t="shared" ca="1" si="102"/>
        <v/>
      </c>
      <c r="I122" s="67" t="str">
        <f t="shared" ca="1" si="102"/>
        <v/>
      </c>
      <c r="J122" s="67" t="str">
        <f t="shared" ca="1" si="102"/>
        <v/>
      </c>
      <c r="K122" s="67" t="str">
        <f t="shared" ca="1" si="102"/>
        <v/>
      </c>
      <c r="L122" s="67" t="str">
        <f t="shared" ca="1" si="102"/>
        <v/>
      </c>
    </row>
    <row r="123" spans="1:12" x14ac:dyDescent="0.35">
      <c r="A123" t="str">
        <f t="shared" si="100"/>
        <v xml:space="preserve">    Mexico</v>
      </c>
      <c r="C123" s="67">
        <f t="shared" ref="C123:L123" ca="1" si="103">IF(OR(C$26="",$A123=""),"",OFFSET(C$62,8*(ROW(B123)-ROW(B$121)),0))</f>
        <v>0.11290630981105854</v>
      </c>
      <c r="D123" s="67">
        <f t="shared" ca="1" si="103"/>
        <v>0.35457819453003792</v>
      </c>
      <c r="E123" s="67">
        <f t="shared" ca="1" si="103"/>
        <v>0.14878105251659535</v>
      </c>
      <c r="F123" s="67">
        <f t="shared" ca="1" si="103"/>
        <v>5.3553976712210183E-2</v>
      </c>
      <c r="G123" s="67">
        <f t="shared" ca="1" si="103"/>
        <v>0.17672635386018665</v>
      </c>
      <c r="H123" s="67" t="str">
        <f t="shared" ca="1" si="103"/>
        <v/>
      </c>
      <c r="I123" s="67" t="str">
        <f t="shared" ca="1" si="103"/>
        <v/>
      </c>
      <c r="J123" s="67" t="str">
        <f t="shared" ca="1" si="103"/>
        <v/>
      </c>
      <c r="K123" s="67" t="str">
        <f t="shared" ca="1" si="103"/>
        <v/>
      </c>
      <c r="L123" s="67" t="str">
        <f t="shared" ca="1" si="103"/>
        <v/>
      </c>
    </row>
    <row r="124" spans="1:12" x14ac:dyDescent="0.35">
      <c r="A124" t="str">
        <f t="shared" si="100"/>
        <v xml:space="preserve">    Shared, Reserve</v>
      </c>
      <c r="C124" s="67">
        <f t="shared" ref="C124:L124" ca="1" si="104">IF(OR(C$26="",$A124=""),"",OFFSET(C$62,8*(ROW(B124)-ROW(B$121)),0))</f>
        <v>11.59116925</v>
      </c>
      <c r="D124" s="67">
        <f t="shared" ca="1" si="104"/>
        <v>11.59116925</v>
      </c>
      <c r="E124" s="67">
        <f t="shared" ca="1" si="104"/>
        <v>11.59116925</v>
      </c>
      <c r="F124" s="67">
        <f t="shared" ca="1" si="104"/>
        <v>11.59116925</v>
      </c>
      <c r="G124" s="67">
        <f t="shared" ca="1" si="104"/>
        <v>11.59116925</v>
      </c>
      <c r="H124" s="67" t="str">
        <f t="shared" ca="1" si="104"/>
        <v/>
      </c>
      <c r="I124" s="67" t="str">
        <f t="shared" ca="1" si="104"/>
        <v/>
      </c>
      <c r="J124" s="67" t="str">
        <f t="shared" ca="1" si="104"/>
        <v/>
      </c>
      <c r="K124" s="67" t="str">
        <f t="shared" ca="1" si="104"/>
        <v/>
      </c>
      <c r="L124" s="67" t="str">
        <f t="shared" ca="1" si="104"/>
        <v/>
      </c>
    </row>
    <row r="125" spans="1:12" x14ac:dyDescent="0.35">
      <c r="A125" t="str">
        <f t="shared" si="100"/>
        <v/>
      </c>
      <c r="C125" s="67" t="str">
        <f t="shared" ref="C125:L125" ca="1" si="105">IF(OR(C$26="",$A125=""),"",OFFSET(C$62,8*(ROW(B125)-ROW(B$121)),0))</f>
        <v/>
      </c>
      <c r="D125" s="67" t="str">
        <f t="shared" ca="1" si="105"/>
        <v/>
      </c>
      <c r="E125" s="67" t="str">
        <f t="shared" ca="1" si="105"/>
        <v/>
      </c>
      <c r="F125" s="67" t="str">
        <f t="shared" ca="1" si="105"/>
        <v/>
      </c>
      <c r="G125" s="67" t="str">
        <f t="shared" ca="1" si="105"/>
        <v/>
      </c>
      <c r="H125" s="67" t="str">
        <f t="shared" ca="1" si="105"/>
        <v/>
      </c>
      <c r="I125" s="67" t="str">
        <f t="shared" ca="1" si="105"/>
        <v/>
      </c>
      <c r="J125" s="67" t="str">
        <f t="shared" ca="1" si="105"/>
        <v/>
      </c>
      <c r="K125" s="67" t="str">
        <f t="shared" ca="1" si="105"/>
        <v/>
      </c>
      <c r="L125" s="67" t="str">
        <f t="shared" ca="1" si="105"/>
        <v/>
      </c>
    </row>
    <row r="126" spans="1:12" x14ac:dyDescent="0.35">
      <c r="A126" t="str">
        <f t="shared" si="100"/>
        <v/>
      </c>
      <c r="C126" s="67" t="str">
        <f t="shared" ref="C126:L126" ca="1" si="106">IF(OR(C$26="",$A126=""),"",OFFSET(C$62,8*(ROW(B126)-ROW(B$121)),0))</f>
        <v/>
      </c>
      <c r="D126" s="67" t="str">
        <f t="shared" ca="1" si="106"/>
        <v/>
      </c>
      <c r="E126" s="67" t="str">
        <f t="shared" ca="1" si="106"/>
        <v/>
      </c>
      <c r="F126" s="67" t="str">
        <f t="shared" ca="1" si="106"/>
        <v/>
      </c>
      <c r="G126" s="67" t="str">
        <f t="shared" ca="1" si="106"/>
        <v/>
      </c>
      <c r="H126" s="67" t="str">
        <f t="shared" ca="1" si="106"/>
        <v/>
      </c>
      <c r="I126" s="67" t="str">
        <f t="shared" ca="1" si="106"/>
        <v/>
      </c>
      <c r="J126" s="67" t="str">
        <f t="shared" ca="1" si="106"/>
        <v/>
      </c>
      <c r="K126" s="67" t="str">
        <f t="shared" ca="1" si="106"/>
        <v/>
      </c>
      <c r="L126" s="67" t="str">
        <f t="shared" ca="1" si="106"/>
        <v/>
      </c>
    </row>
    <row r="127" spans="1:12" x14ac:dyDescent="0.35">
      <c r="A127" s="1" t="s">
        <v>123</v>
      </c>
      <c r="B127" s="1"/>
      <c r="C127" s="14">
        <f ca="1">IF(C$26&lt;&gt;"",SUM(C121:C126),"")</f>
        <v>19.278102320000027</v>
      </c>
      <c r="D127" s="14">
        <f t="shared" ref="D127:L127" ca="1" si="107">IF(D$26&lt;&gt;"",SUM(D121:D126),"")</f>
        <v>16.611442566000601</v>
      </c>
      <c r="E127" s="14">
        <f t="shared" ca="1" si="107"/>
        <v>14.115209246000601</v>
      </c>
      <c r="F127" s="14">
        <f t="shared" ca="1" si="107"/>
        <v>13.103063047500001</v>
      </c>
      <c r="G127" s="14">
        <f t="shared" ca="1" si="107"/>
        <v>12.529671215</v>
      </c>
      <c r="H127" s="14" t="str">
        <f t="shared" si="107"/>
        <v/>
      </c>
      <c r="I127" s="14" t="str">
        <f t="shared" si="107"/>
        <v/>
      </c>
      <c r="J127" s="14" t="str">
        <f t="shared" si="107"/>
        <v/>
      </c>
      <c r="K127" s="14" t="str">
        <f t="shared" si="107"/>
        <v/>
      </c>
      <c r="L127" s="14" t="str">
        <f t="shared" si="107"/>
        <v/>
      </c>
    </row>
    <row r="128" spans="1:12" x14ac:dyDescent="0.35">
      <c r="A128" s="1" t="s">
        <v>197</v>
      </c>
      <c r="B128" s="1"/>
      <c r="C128" s="68">
        <v>0.5</v>
      </c>
      <c r="D128" s="68">
        <v>0.65</v>
      </c>
      <c r="E128" s="68">
        <v>0.9</v>
      </c>
      <c r="F128" s="68">
        <v>0.5</v>
      </c>
      <c r="G128" s="68">
        <v>0.5</v>
      </c>
      <c r="H128" s="68"/>
      <c r="I128" s="68"/>
      <c r="J128" s="68"/>
      <c r="K128" s="68"/>
      <c r="L128" s="68"/>
    </row>
    <row r="129" spans="1:14" x14ac:dyDescent="0.35">
      <c r="A129" s="1" t="s">
        <v>193</v>
      </c>
      <c r="B129" s="1"/>
      <c r="C129" s="14">
        <f ca="1">IF(C26="","",C$128*C$127)</f>
        <v>9.6390511600000135</v>
      </c>
      <c r="D129" s="14">
        <f t="shared" ref="D129:L129" ca="1" si="108">IF(D26="","",D$128*D$127)</f>
        <v>10.797437667900391</v>
      </c>
      <c r="E129" s="14">
        <f t="shared" ca="1" si="108"/>
        <v>12.703688321400541</v>
      </c>
      <c r="F129" s="14">
        <f t="shared" ca="1" si="108"/>
        <v>6.5515315237500005</v>
      </c>
      <c r="G129" s="14">
        <f t="shared" ca="1" si="108"/>
        <v>6.2648356075000002</v>
      </c>
      <c r="H129" s="14" t="str">
        <f t="shared" si="108"/>
        <v/>
      </c>
      <c r="I129" s="14" t="str">
        <f t="shared" si="108"/>
        <v/>
      </c>
      <c r="J129" s="14" t="str">
        <f t="shared" si="108"/>
        <v/>
      </c>
      <c r="K129" s="14" t="str">
        <f t="shared" si="108"/>
        <v/>
      </c>
      <c r="L129" s="14" t="str">
        <f t="shared" si="108"/>
        <v/>
      </c>
    </row>
    <row r="130" spans="1:14" x14ac:dyDescent="0.35">
      <c r="A130" s="1" t="s">
        <v>194</v>
      </c>
      <c r="B130" s="1"/>
      <c r="C130" s="14">
        <f ca="1">IF(C27="","",(1-C$128)*C$127)</f>
        <v>9.6390511600000135</v>
      </c>
      <c r="D130" s="14">
        <f t="shared" ref="D130:L130" ca="1" si="109">IF(D27="","",(1-D$128)*D$127)</f>
        <v>5.8140048981002099</v>
      </c>
      <c r="E130" s="14">
        <f t="shared" ca="1" si="109"/>
        <v>1.4115209246000597</v>
      </c>
      <c r="F130" s="14">
        <f t="shared" ca="1" si="109"/>
        <v>6.5515315237500005</v>
      </c>
      <c r="G130" s="14">
        <f t="shared" ca="1" si="109"/>
        <v>6.2648356075000002</v>
      </c>
      <c r="H130" s="14" t="str">
        <f t="shared" si="109"/>
        <v/>
      </c>
      <c r="I130" s="14" t="str">
        <f t="shared" si="109"/>
        <v/>
      </c>
      <c r="J130" s="14" t="str">
        <f t="shared" si="109"/>
        <v/>
      </c>
      <c r="K130" s="14" t="str">
        <f t="shared" si="109"/>
        <v/>
      </c>
      <c r="L130" s="14" t="str">
        <f t="shared" si="109"/>
        <v/>
      </c>
    </row>
    <row r="131" spans="1:14" x14ac:dyDescent="0.35">
      <c r="A131" s="32" t="s">
        <v>282</v>
      </c>
      <c r="B131" s="1"/>
      <c r="C131" s="87">
        <f ca="1">IF(C$26&lt;&gt;"",VLOOKUP(C129*1000000,'Powell-Elevation-Area'!$B$5:$H$689,7),"")</f>
        <v>3576</v>
      </c>
      <c r="D131" s="87">
        <f ca="1">IF(D$26&lt;&gt;"",VLOOKUP(D129*1000000,'Powell-Elevation-Area'!$B$5:$H$689,7),"")</f>
        <v>3589.5</v>
      </c>
      <c r="E131" s="87">
        <f ca="1">IF(E$26&lt;&gt;"",VLOOKUP(E129*1000000,'Powell-Elevation-Area'!$B$5:$H$689,7),"")</f>
        <v>3609.5</v>
      </c>
      <c r="F131" s="87">
        <f ca="1">IF(F$26&lt;&gt;"",VLOOKUP(F129*1000000,'Powell-Elevation-Area'!$B$5:$H$689,7),"")</f>
        <v>3534.5</v>
      </c>
      <c r="G131" s="87">
        <f ca="1">IF(G$26&lt;&gt;"",VLOOKUP(G129*1000000,'Powell-Elevation-Area'!$B$5:$H$689,7),"")</f>
        <v>3530</v>
      </c>
      <c r="H131" s="87" t="str">
        <f>IF(H$26&lt;&gt;"",VLOOKUP(H129*1000000,'Powell-Elevation-Area'!$B$5:$H$689,7),"")</f>
        <v/>
      </c>
      <c r="I131" s="87" t="str">
        <f>IF(I$26&lt;&gt;"",VLOOKUP(I129*1000000,'Powell-Elevation-Area'!$B$5:$H$689,7),"")</f>
        <v/>
      </c>
      <c r="J131" s="87" t="str">
        <f>IF(J$26&lt;&gt;"",VLOOKUP(J129*1000000,'Powell-Elevation-Area'!$B$5:$H$689,7),"")</f>
        <v/>
      </c>
      <c r="K131" s="87" t="str">
        <f>IF(K$26&lt;&gt;"",VLOOKUP(K129*1000000,'Powell-Elevation-Area'!$B$5:$H$689,7),"")</f>
        <v/>
      </c>
      <c r="L131" s="87" t="str">
        <f>IF(L$26&lt;&gt;"",VLOOKUP(L129*1000000,'Powell-Elevation-Area'!$B$5:$H$689,7),"")</f>
        <v/>
      </c>
    </row>
    <row r="132" spans="1:14" x14ac:dyDescent="0.35">
      <c r="A132" s="32" t="s">
        <v>283</v>
      </c>
      <c r="B132" s="1"/>
      <c r="C132" s="87">
        <f ca="1">IF(C$26&lt;&gt;"",VLOOKUP(C130*1000000,'Mead-Elevation-Area'!$B$5:$H$689,7),"")</f>
        <v>1075</v>
      </c>
      <c r="D132" s="87">
        <f ca="1">IF(D$26&lt;&gt;"",VLOOKUP(D130*1000000,'Mead-Elevation-Area'!$B$5:$H$689,7),"")</f>
        <v>1022</v>
      </c>
      <c r="E132" s="87">
        <f ca="1">IF(E$26&lt;&gt;"",VLOOKUP(E130*1000000,'Mead-Elevation-Area'!$B$5:$H$689,7),"")</f>
        <v>935.5</v>
      </c>
      <c r="F132" s="87">
        <f ca="1">IF(F$26&lt;&gt;"",VLOOKUP(F130*1000000,'Mead-Elevation-Area'!$B$5:$H$689,7),"")</f>
        <v>1033.5</v>
      </c>
      <c r="G132" s="87">
        <f ca="1">IF(G$26&lt;&gt;"",VLOOKUP(G130*1000000,'Mead-Elevation-Area'!$B$5:$H$689,7),"")</f>
        <v>1029</v>
      </c>
      <c r="H132" s="87" t="str">
        <f>IF(H$26&lt;&gt;"",VLOOKUP(H130*1000000,'Mead-Elevation-Area'!$B$5:$H$689,7),"")</f>
        <v/>
      </c>
      <c r="I132" s="87" t="str">
        <f>IF(I$26&lt;&gt;"",VLOOKUP(I130*1000000,'Mead-Elevation-Area'!$B$5:$H$689,7),"")</f>
        <v/>
      </c>
      <c r="J132" s="87" t="str">
        <f>IF(J$26&lt;&gt;"",VLOOKUP(J130*1000000,'Mead-Elevation-Area'!$B$5:$H$689,7),"")</f>
        <v/>
      </c>
      <c r="K132" s="87" t="str">
        <f>IF(K$26&lt;&gt;"",VLOOKUP(K130*1000000,'Mead-Elevation-Area'!$B$5:$H$689,7),"")</f>
        <v/>
      </c>
      <c r="L132" s="87" t="str">
        <f>IF(L$26&lt;&gt;"",VLOOKUP(L130*1000000,'Mead-Elevation-Area'!$B$5:$H$689,7),"")</f>
        <v/>
      </c>
    </row>
    <row r="133" spans="1:14" x14ac:dyDescent="0.35">
      <c r="A133" s="1" t="s">
        <v>295</v>
      </c>
      <c r="B133" s="1"/>
    </row>
    <row r="134" spans="1:14" x14ac:dyDescent="0.35">
      <c r="A134" s="32" t="s">
        <v>296</v>
      </c>
      <c r="B134" s="1"/>
      <c r="C134" s="14">
        <f ca="1">IF(C$26&lt;&gt;"",-C129+C37+C26-C61-VLOOKUP(C37*1000000,'Powell-Elevation-Area'!$B$5:$D$689,3)*$B$20/1000000,"")</f>
        <v>8.3380519599994134</v>
      </c>
      <c r="D134" s="14">
        <f ca="1">IF(D$26&lt;&gt;"",-D129+D37+D26-D61-VLOOKUP(D37*1000000,'Powell-Elevation-Area'!$B$5:$D$689,3)*$B$20/1000000,"")</f>
        <v>4.4618417381001949</v>
      </c>
      <c r="E134" s="14">
        <f ca="1">IF(E$26&lt;&gt;"",-E129+E37+E26-E61-VLOOKUP(E37*1000000,'Powell-Elevation-Area'!$B$5:$D$689,3)*$B$20/1000000,"")</f>
        <v>3.6764220264998495</v>
      </c>
      <c r="F134" s="14">
        <f ca="1">IF(F$26&lt;&gt;"",-F129+F37+F26-F61-VLOOKUP(F37*1000000,'Powell-Elevation-Area'!$B$5:$D$689,3)*$B$20/1000000,"")</f>
        <v>12.976896599150541</v>
      </c>
      <c r="G134" s="14">
        <f ca="1">IF(G$26&lt;&gt;"",-G129+G37+G26-G61-VLOOKUP(G37*1000000,'Powell-Elevation-Area'!$B$5:$D$689,3)*$B$20/1000000,"")</f>
        <v>7.7137860837499987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195</v>
      </c>
    </row>
    <row r="135" spans="1:14" x14ac:dyDescent="0.35">
      <c r="A135" s="32" t="s">
        <v>310</v>
      </c>
      <c r="B135" s="1"/>
      <c r="C135" s="87" t="str">
        <f ca="1">IF(C$26&lt;&gt;"",VLOOKUP(C131,PowellReleaseTemperature!$A$5:$B$11,2),"")</f>
        <v>&lt; 18</v>
      </c>
      <c r="D135" s="87" t="str">
        <f ca="1">IF(D$26&lt;&gt;"",VLOOKUP(D131,PowellReleaseTemperature!$A$5:$B$11,2),"")</f>
        <v>&lt; 18</v>
      </c>
      <c r="E135" s="87" t="str">
        <f ca="1">IF(E$26&lt;&gt;"",VLOOKUP(E131,PowellReleaseTemperature!$A$5:$B$11,2),"")</f>
        <v>&lt; 15</v>
      </c>
      <c r="F135" s="87" t="str">
        <f ca="1">IF(F$26&lt;&gt;"",VLOOKUP(F131,PowellReleaseTemperature!$A$5:$B$11,2),"")</f>
        <v>&lt; 18</v>
      </c>
      <c r="G135" s="87" t="str">
        <f ca="1">IF(G$26&lt;&gt;"",VLOOKUP(G131,PowellReleaseTemperature!$A$5:$B$11,2),"")</f>
        <v>&lt; 18</v>
      </c>
      <c r="H135" s="87" t="str">
        <f>IF(H$26&lt;&gt;"",VLOOKUP(H131,PowellReleaseTemperature!$A$5:$B$11,2),"")</f>
        <v/>
      </c>
      <c r="I135" s="87" t="str">
        <f>IF(I$26&lt;&gt;"",VLOOKUP(I131,PowellReleaseTemperature!$A$5:$B$11,2),"")</f>
        <v/>
      </c>
      <c r="J135" s="87" t="str">
        <f>IF(J$26&lt;&gt;"",VLOOKUP(J131,PowellReleaseTemperature!$A$5:$B$11,2),"")</f>
        <v/>
      </c>
      <c r="K135" s="87" t="str">
        <f>IF(K$26&lt;&gt;"",VLOOKUP(K131,PowellReleaseTemperature!$A$5:$B$11,2),"")</f>
        <v/>
      </c>
      <c r="L135" s="87" t="str">
        <f>IF(L$26&lt;&gt;"",VLOOKUP(L131,PowellReleaseTemperature!$A$5:$B$11,2),"")</f>
        <v/>
      </c>
      <c r="N135" t="s">
        <v>301</v>
      </c>
    </row>
    <row r="136" spans="1:14" s="89" customFormat="1" ht="62.5" customHeight="1" x14ac:dyDescent="0.35">
      <c r="A136" s="121" t="s">
        <v>311</v>
      </c>
      <c r="B136" s="88"/>
      <c r="C136" s="120" t="str">
        <f ca="1">IF(C$26&lt;&gt;"",VLOOKUP(C$131,PowellReleaseTemperature!$A$5:$E$11,5),"")</f>
        <v>May benefit or face invasion</v>
      </c>
      <c r="D136" s="120" t="str">
        <f ca="1">IF(D$26&lt;&gt;"",VLOOKUP(D$131,PowellReleaseTemperature!$A$5:$E$11,5),"")</f>
        <v>May benefit or face invasion</v>
      </c>
      <c r="E136" s="120" t="str">
        <f ca="1">IF(E$26&lt;&gt;"",VLOOKUP(E$131,PowellReleaseTemperature!$A$5:$E$11,5),"")</f>
        <v>Increased relative abundance</v>
      </c>
      <c r="F136" s="120" t="str">
        <f ca="1">IF(F$26&lt;&gt;"",VLOOKUP(F$131,PowellReleaseTemperature!$A$5:$E$11,5),"")</f>
        <v>May benefit or face invasion</v>
      </c>
      <c r="G136" s="120" t="str">
        <f ca="1">IF(G$26&lt;&gt;"",VLOOKUP(G$131,PowellReleaseTemperature!$A$5:$E$11,5),"")</f>
        <v>May benefit or face invasion</v>
      </c>
      <c r="H136" s="120" t="str">
        <f>IF(H$26&lt;&gt;"",VLOOKUP(H$131,PowellReleaseTemperature!$A$5:$E$11,5),"")</f>
        <v/>
      </c>
      <c r="I136" s="120" t="str">
        <f>IF(I$26&lt;&gt;"",VLOOKUP(I$131,PowellReleaseTemperature!$A$5:$E$11,5),"")</f>
        <v/>
      </c>
      <c r="J136" s="120" t="str">
        <f>IF(J$26&lt;&gt;"",VLOOKUP(J$131,PowellReleaseTemperature!$A$5:$E$11,5),"")</f>
        <v/>
      </c>
      <c r="K136" s="120" t="str">
        <f>IF(K$26&lt;&gt;"",VLOOKUP(K$131,PowellReleaseTemperature!$A$5:$E$11,5),"")</f>
        <v/>
      </c>
      <c r="L136" s="120" t="str">
        <f>IF(L$26&lt;&gt;"",VLOOKUP(L$131,PowellReleaseTemperature!$A$5:$E$11,5),"")</f>
        <v/>
      </c>
    </row>
    <row r="137" spans="1:14" s="89" customFormat="1" ht="32" customHeight="1" x14ac:dyDescent="0.35">
      <c r="A137" s="121" t="s">
        <v>317</v>
      </c>
      <c r="B137" s="88"/>
      <c r="C137" s="120" t="str">
        <f ca="1">IF(C$26&lt;&gt;"",VLOOKUP(C$131,PowellReleaseTemperature!$A$5:$F$11,6),"")</f>
        <v>Help grow + incubate</v>
      </c>
      <c r="D137" s="120" t="str">
        <f ca="1">IF(D$26&lt;&gt;"",VLOOKUP(D$131,PowellReleaseTemperature!$A$5:$F$11,6),"")</f>
        <v>Help grow + incubate</v>
      </c>
      <c r="E137" s="120" t="str">
        <f ca="1">IF(E$26&lt;&gt;"",VLOOKUP(E$131,PowellReleaseTemperature!$A$5:$F$11,6),"")</f>
        <v>Help grow + incubate</v>
      </c>
      <c r="F137" s="120" t="str">
        <f ca="1">IF(F$26&lt;&gt;"",VLOOKUP(F$131,PowellReleaseTemperature!$A$5:$F$11,6),"")</f>
        <v>Help grow + incubate</v>
      </c>
      <c r="G137" s="120" t="str">
        <f ca="1">IF(G$26&lt;&gt;"",VLOOKUP(G$131,PowellReleaseTemperature!$A$5:$F$11,6),"")</f>
        <v>Help grow + incubate</v>
      </c>
      <c r="H137" s="120" t="str">
        <f>IF(H$26&lt;&gt;"",VLOOKUP(H$131,PowellReleaseTemperature!$A$5:$F$11,6),"")</f>
        <v/>
      </c>
      <c r="I137" s="120" t="str">
        <f>IF(I$26&lt;&gt;"",VLOOKUP(I$131,PowellReleaseTemperature!$A$5:$F$11,6),"")</f>
        <v/>
      </c>
      <c r="J137" s="120" t="str">
        <f>IF(J$26&lt;&gt;"",VLOOKUP(J$131,PowellReleaseTemperature!$A$5:$F$11,6),"")</f>
        <v/>
      </c>
      <c r="K137" s="120" t="str">
        <f>IF(K$26&lt;&gt;"",VLOOKUP(K$131,PowellReleaseTemperature!$A$5:$F$11,6),"")</f>
        <v/>
      </c>
      <c r="L137" s="120" t="str">
        <f>IF(L$26&lt;&gt;"",VLOOKUP(L$131,PowellReleaseTemperature!$A$5:$F$11,6),"")</f>
        <v/>
      </c>
    </row>
    <row r="138" spans="1:14" x14ac:dyDescent="0.35">
      <c r="C138" s="29"/>
    </row>
    <row r="139" spans="1:14" x14ac:dyDescent="0.35">
      <c r="A139" s="1" t="s">
        <v>125</v>
      </c>
      <c r="C139" s="140">
        <f>IF(C$26&lt;&gt;"",0.2,"")</f>
        <v>0.2</v>
      </c>
      <c r="D139" s="140">
        <f t="shared" ref="D139:L139" si="110">IF(D$26&lt;&gt;"",0.2,"")</f>
        <v>0.2</v>
      </c>
      <c r="E139" s="140">
        <f t="shared" si="110"/>
        <v>0.2</v>
      </c>
      <c r="F139" s="140">
        <f t="shared" si="110"/>
        <v>0.2</v>
      </c>
      <c r="G139" s="140">
        <f t="shared" si="110"/>
        <v>0.2</v>
      </c>
      <c r="H139" s="140" t="str">
        <f t="shared" si="110"/>
        <v/>
      </c>
      <c r="I139" s="140" t="str">
        <f t="shared" si="110"/>
        <v/>
      </c>
      <c r="J139" s="140" t="str">
        <f t="shared" si="110"/>
        <v/>
      </c>
      <c r="K139" s="140" t="str">
        <f t="shared" si="110"/>
        <v/>
      </c>
      <c r="L139" s="140" t="str">
        <f t="shared" si="110"/>
        <v/>
      </c>
    </row>
    <row r="140" spans="1:14" x14ac:dyDescent="0.35">
      <c r="A140" t="s">
        <v>126</v>
      </c>
      <c r="C140" s="14">
        <f t="shared" ref="C140:L140" ca="1" si="111">IF(C$26&lt;&gt;"",C115+C139,"")</f>
        <v>7.2</v>
      </c>
      <c r="D140" s="14">
        <f t="shared" ca="1" si="111"/>
        <v>7</v>
      </c>
      <c r="E140" s="14">
        <f t="shared" ca="1" si="111"/>
        <v>6.9</v>
      </c>
      <c r="F140" s="14">
        <f t="shared" ca="1" si="111"/>
        <v>6.8</v>
      </c>
      <c r="G140" s="14">
        <f t="shared" ca="1" si="111"/>
        <v>6.8</v>
      </c>
      <c r="H140" s="14" t="str">
        <f t="shared" si="111"/>
        <v/>
      </c>
      <c r="I140" s="14" t="str">
        <f t="shared" si="111"/>
        <v/>
      </c>
      <c r="J140" s="14" t="str">
        <f t="shared" si="111"/>
        <v/>
      </c>
      <c r="K140" s="14" t="str">
        <f t="shared" si="111"/>
        <v/>
      </c>
      <c r="L140" s="14" t="str">
        <f t="shared" si="111"/>
        <v/>
      </c>
    </row>
    <row r="142" spans="1:14" x14ac:dyDescent="0.35">
      <c r="D142" s="18"/>
    </row>
  </sheetData>
  <mergeCells count="13">
    <mergeCell ref="A3:G3"/>
    <mergeCell ref="C4:G4"/>
    <mergeCell ref="C5:G5"/>
    <mergeCell ref="C6:G6"/>
    <mergeCell ref="C8:G8"/>
    <mergeCell ref="C7:G7"/>
    <mergeCell ref="D17:G17"/>
    <mergeCell ref="B12:F12"/>
    <mergeCell ref="B13:F13"/>
    <mergeCell ref="B14:F14"/>
    <mergeCell ref="B15:F15"/>
    <mergeCell ref="C9:G9"/>
    <mergeCell ref="C10:G10"/>
  </mergeCells>
  <conditionalFormatting sqref="D61">
    <cfRule type="cellIs" dxfId="243" priority="95" operator="greaterThan">
      <formula>$D$60</formula>
    </cfRule>
  </conditionalFormatting>
  <conditionalFormatting sqref="C61">
    <cfRule type="cellIs" dxfId="242" priority="84" operator="greaterThan">
      <formula>$C$60</formula>
    </cfRule>
  </conditionalFormatting>
  <conditionalFormatting sqref="E61">
    <cfRule type="cellIs" dxfId="241" priority="82" operator="greaterThan">
      <formula>$E$60</formula>
    </cfRule>
  </conditionalFormatting>
  <conditionalFormatting sqref="F61">
    <cfRule type="cellIs" dxfId="240" priority="81" operator="greaterThan">
      <formula>$F$60</formula>
    </cfRule>
  </conditionalFormatting>
  <conditionalFormatting sqref="G61">
    <cfRule type="cellIs" dxfId="239" priority="80" operator="greaterThan">
      <formula>$G$60</formula>
    </cfRule>
  </conditionalFormatting>
  <conditionalFormatting sqref="H61">
    <cfRule type="cellIs" dxfId="238" priority="79" operator="greaterThan">
      <formula>$H$60</formula>
    </cfRule>
  </conditionalFormatting>
  <conditionalFormatting sqref="I61">
    <cfRule type="cellIs" dxfId="237" priority="78" operator="greaterThan">
      <formula>$I$60</formula>
    </cfRule>
  </conditionalFormatting>
  <conditionalFormatting sqref="J61">
    <cfRule type="cellIs" dxfId="236" priority="77" operator="greaterThan">
      <formula>$J$60</formula>
    </cfRule>
  </conditionalFormatting>
  <conditionalFormatting sqref="K61">
    <cfRule type="cellIs" dxfId="235" priority="76" operator="greaterThan">
      <formula>$K$60</formula>
    </cfRule>
  </conditionalFormatting>
  <conditionalFormatting sqref="L61">
    <cfRule type="cellIs" dxfId="234" priority="75" operator="greaterThan">
      <formula>$L$60</formula>
    </cfRule>
  </conditionalFormatting>
  <conditionalFormatting sqref="C69">
    <cfRule type="cellIs" dxfId="233" priority="67" operator="greaterThan">
      <formula>$C$68</formula>
    </cfRule>
  </conditionalFormatting>
  <conditionalFormatting sqref="D69">
    <cfRule type="cellIs" dxfId="232" priority="66" operator="greaterThan">
      <formula>$D$68</formula>
    </cfRule>
  </conditionalFormatting>
  <conditionalFormatting sqref="E69">
    <cfRule type="cellIs" dxfId="231" priority="65" operator="greaterThan">
      <formula>$E$68</formula>
    </cfRule>
  </conditionalFormatting>
  <conditionalFormatting sqref="F69">
    <cfRule type="cellIs" dxfId="230" priority="64" operator="greaterThan">
      <formula>$F$68</formula>
    </cfRule>
  </conditionalFormatting>
  <conditionalFormatting sqref="G69">
    <cfRule type="cellIs" dxfId="229" priority="63" operator="greaterThan">
      <formula>$G$68</formula>
    </cfRule>
  </conditionalFormatting>
  <conditionalFormatting sqref="H69">
    <cfRule type="cellIs" dxfId="228" priority="62" operator="greaterThan">
      <formula>$H$68</formula>
    </cfRule>
  </conditionalFormatting>
  <conditionalFormatting sqref="I69">
    <cfRule type="cellIs" dxfId="227" priority="61" operator="greaterThan">
      <formula>$I$68</formula>
    </cfRule>
  </conditionalFormatting>
  <conditionalFormatting sqref="J69">
    <cfRule type="cellIs" dxfId="226" priority="60" operator="greaterThan">
      <formula>$J$68</formula>
    </cfRule>
  </conditionalFormatting>
  <conditionalFormatting sqref="K69">
    <cfRule type="cellIs" dxfId="225" priority="59" operator="greaterThan">
      <formula>$K$68</formula>
    </cfRule>
  </conditionalFormatting>
  <conditionalFormatting sqref="L69">
    <cfRule type="cellIs" dxfId="224" priority="58" operator="greaterThan">
      <formula>$L$68</formula>
    </cfRule>
  </conditionalFormatting>
  <conditionalFormatting sqref="C77">
    <cfRule type="cellIs" dxfId="223" priority="57" operator="greaterThan">
      <formula>$C$76</formula>
    </cfRule>
  </conditionalFormatting>
  <conditionalFormatting sqref="D77">
    <cfRule type="cellIs" dxfId="222" priority="56" operator="greaterThan">
      <formula>$D$76</formula>
    </cfRule>
  </conditionalFormatting>
  <conditionalFormatting sqref="E77">
    <cfRule type="cellIs" dxfId="221" priority="55" operator="greaterThan">
      <formula>$E$76</formula>
    </cfRule>
  </conditionalFormatting>
  <conditionalFormatting sqref="F77">
    <cfRule type="cellIs" dxfId="220" priority="54" operator="greaterThan">
      <formula>$F$76</formula>
    </cfRule>
  </conditionalFormatting>
  <conditionalFormatting sqref="G77">
    <cfRule type="cellIs" dxfId="219" priority="53" operator="greaterThan">
      <formula>$G$76</formula>
    </cfRule>
  </conditionalFormatting>
  <conditionalFormatting sqref="H77">
    <cfRule type="cellIs" dxfId="218" priority="52" operator="greaterThan">
      <formula>$H$76</formula>
    </cfRule>
  </conditionalFormatting>
  <conditionalFormatting sqref="I77">
    <cfRule type="cellIs" dxfId="217" priority="51" operator="greaterThan">
      <formula>$I$76</formula>
    </cfRule>
  </conditionalFormatting>
  <conditionalFormatting sqref="J77">
    <cfRule type="cellIs" dxfId="216" priority="50" operator="greaterThan">
      <formula>$J$76</formula>
    </cfRule>
  </conditionalFormatting>
  <conditionalFormatting sqref="K77">
    <cfRule type="cellIs" dxfId="215" priority="49" operator="greaterThan">
      <formula>$K$76</formula>
    </cfRule>
  </conditionalFormatting>
  <conditionalFormatting sqref="L77">
    <cfRule type="cellIs" dxfId="214" priority="48" operator="greaterThan">
      <formula>$L$76</formula>
    </cfRule>
  </conditionalFormatting>
  <conditionalFormatting sqref="C85:L85">
    <cfRule type="cellIs" dxfId="213" priority="47" operator="greaterThan">
      <formula>$C$84</formula>
    </cfRule>
  </conditionalFormatting>
  <conditionalFormatting sqref="C93">
    <cfRule type="cellIs" dxfId="212" priority="37" operator="greaterThan">
      <formula>$C$92</formula>
    </cfRule>
  </conditionalFormatting>
  <conditionalFormatting sqref="D93">
    <cfRule type="cellIs" dxfId="211" priority="36" operator="greaterThan">
      <formula>$D$92</formula>
    </cfRule>
  </conditionalFormatting>
  <conditionalFormatting sqref="E93">
    <cfRule type="cellIs" dxfId="210" priority="35" operator="greaterThan">
      <formula>$E$92</formula>
    </cfRule>
  </conditionalFormatting>
  <conditionalFormatting sqref="F93">
    <cfRule type="cellIs" dxfId="209" priority="34" operator="greaterThan">
      <formula>$F$92</formula>
    </cfRule>
  </conditionalFormatting>
  <conditionalFormatting sqref="G93">
    <cfRule type="cellIs" dxfId="208" priority="33" operator="greaterThan">
      <formula>$G$92</formula>
    </cfRule>
  </conditionalFormatting>
  <conditionalFormatting sqref="H93">
    <cfRule type="cellIs" dxfId="207" priority="32" operator="greaterThan">
      <formula>$H$92</formula>
    </cfRule>
  </conditionalFormatting>
  <conditionalFormatting sqref="I93">
    <cfRule type="cellIs" dxfId="206" priority="31" operator="greaterThan">
      <formula>$I$92</formula>
    </cfRule>
  </conditionalFormatting>
  <conditionalFormatting sqref="J93">
    <cfRule type="cellIs" dxfId="205" priority="30" operator="greaterThan">
      <formula>$J$92</formula>
    </cfRule>
  </conditionalFormatting>
  <conditionalFormatting sqref="K93">
    <cfRule type="cellIs" dxfId="204" priority="29" operator="greaterThan">
      <formula>$K$92</formula>
    </cfRule>
  </conditionalFormatting>
  <conditionalFormatting sqref="L93">
    <cfRule type="cellIs" dxfId="203" priority="28" operator="greaterThan">
      <formula>$L$92</formula>
    </cfRule>
  </conditionalFormatting>
  <conditionalFormatting sqref="C101">
    <cfRule type="cellIs" dxfId="202" priority="27" operator="greaterThan">
      <formula>$C$100</formula>
    </cfRule>
  </conditionalFormatting>
  <conditionalFormatting sqref="D101">
    <cfRule type="cellIs" dxfId="201" priority="26" operator="greaterThan">
      <formula>$D$100</formula>
    </cfRule>
  </conditionalFormatting>
  <conditionalFormatting sqref="E101">
    <cfRule type="cellIs" dxfId="200" priority="25" operator="greaterThan">
      <formula>$E$100</formula>
    </cfRule>
  </conditionalFormatting>
  <conditionalFormatting sqref="F101">
    <cfRule type="cellIs" dxfId="199" priority="24" operator="greaterThan">
      <formula>$F$100</formula>
    </cfRule>
  </conditionalFormatting>
  <conditionalFormatting sqref="G101">
    <cfRule type="cellIs" dxfId="198" priority="23" operator="greaterThan">
      <formula>$G$100</formula>
    </cfRule>
  </conditionalFormatting>
  <conditionalFormatting sqref="H101">
    <cfRule type="cellIs" dxfId="197" priority="22" operator="greaterThan">
      <formula>$H$100</formula>
    </cfRule>
  </conditionalFormatting>
  <conditionalFormatting sqref="I101">
    <cfRule type="cellIs" dxfId="196" priority="21" operator="greaterThan">
      <formula>$I$100</formula>
    </cfRule>
  </conditionalFormatting>
  <conditionalFormatting sqref="J101">
    <cfRule type="cellIs" dxfId="195" priority="20" operator="greaterThan">
      <formula>$J$100</formula>
    </cfRule>
  </conditionalFormatting>
  <conditionalFormatting sqref="K101">
    <cfRule type="cellIs" dxfId="194" priority="19" operator="greaterThan">
      <formula>$K$100</formula>
    </cfRule>
  </conditionalFormatting>
  <conditionalFormatting sqref="L101">
    <cfRule type="cellIs" dxfId="193" priority="18"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85" id="{7C079620-0330-4E35-80E7-D5191688B53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83" id="{CB6825C4-72DA-422A-98AF-DE5657BCC6C1}">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74" id="{68F77B32-AE7F-44E4-B999-EFB5D7DB95E4}">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73" id="{F95D8FDF-3CF4-4177-92FC-9EC19044384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72" id="{3B9109F9-4995-41F7-A72F-1CBD6259F6C4}">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71" id="{2F166144-3971-4888-B512-CAFD6E72EEAB}">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70" id="{307BFDD1-9756-427E-8116-C39D445B560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69" id="{F02B1C46-3E90-4640-83FF-FBC5D0E6717F}">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68" id="{3824A577-2B6C-40EC-8E7C-498E00C723C1}">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7" id="{484E1796-785F-4FE8-BB52-DD15780065F8}">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9" operator="equal" id="{C6942F8D-D898-4050-9806-B8CF6C321814}">
            <xm:f>PowellReleaseTemperature!$B$10</xm:f>
            <x14:dxf>
              <font>
                <color auto="1"/>
              </font>
              <fill>
                <patternFill>
                  <bgColor theme="4"/>
                </patternFill>
              </fill>
            </x14:dxf>
          </x14:cfRule>
          <x14:cfRule type="cellIs" priority="10" operator="equal" id="{70259884-2ABE-4726-BD5F-C2505C092790}">
            <xm:f>PowellReleaseTemperature!$B$9</xm:f>
            <x14:dxf>
              <font>
                <color theme="4" tint="-0.24994659260841701"/>
              </font>
              <fill>
                <patternFill>
                  <bgColor theme="8" tint="0.59996337778862885"/>
                </patternFill>
              </fill>
            </x14:dxf>
          </x14:cfRule>
          <x14:cfRule type="cellIs" priority="11" operator="equal" id="{38913C9D-9EF2-4E0F-A58A-D242DDD1AC6B}">
            <xm:f>PowellReleaseTemperature!$B$8</xm:f>
            <x14:dxf>
              <font>
                <color rgb="FF9C0006"/>
              </font>
              <fill>
                <patternFill>
                  <bgColor rgb="FFFFC7CE"/>
                </patternFill>
              </fill>
            </x14:dxf>
          </x14:cfRule>
          <x14:cfRule type="cellIs" priority="12" operator="equal" id="{8736C84F-0711-43A4-ADD7-0B6B22CD2A88}">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5" operator="equal" id="{518DDEF3-69FC-447A-AE63-3B0AD5680D7C}">
            <xm:f>PowellReleaseTemperature!$E$5</xm:f>
            <x14:dxf>
              <font>
                <color auto="1"/>
              </font>
              <fill>
                <patternFill>
                  <bgColor rgb="FFFF0000"/>
                </patternFill>
              </fill>
            </x14:dxf>
          </x14:cfRule>
          <x14:cfRule type="cellIs" priority="6" operator="equal" id="{2A51E4AF-D34C-41CC-8C07-DB72B5C292DB}">
            <xm:f>PowellReleaseTemperature!$E$8</xm:f>
            <x14:dxf>
              <font>
                <color rgb="FF9C0006"/>
              </font>
              <fill>
                <patternFill>
                  <bgColor rgb="FFFFC7CE"/>
                </patternFill>
              </fill>
            </x14:dxf>
          </x14:cfRule>
          <x14:cfRule type="cellIs" priority="7" operator="equal" id="{7C6EC025-4CAE-4CC2-8D15-52F7A73560EF}">
            <xm:f>PowellReleaseTemperature!$E$9</xm:f>
            <x14:dxf>
              <font>
                <color theme="4" tint="-0.24994659260841701"/>
              </font>
              <fill>
                <patternFill>
                  <bgColor theme="8" tint="0.59996337778862885"/>
                </patternFill>
              </fill>
            </x14:dxf>
          </x14:cfRule>
          <x14:cfRule type="cellIs" priority="8" operator="equal" id="{167863A9-0899-43F1-8775-B485484765A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1" operator="equal" id="{41D3A9BE-B580-414B-8519-458736BAE6A1}">
            <xm:f>PowellReleaseTemperature!$F$10</xm:f>
            <x14:dxf>
              <font>
                <color auto="1"/>
              </font>
              <fill>
                <patternFill>
                  <bgColor theme="4"/>
                </patternFill>
              </fill>
            </x14:dxf>
          </x14:cfRule>
          <x14:cfRule type="cellIs" priority="2" operator="equal" id="{59EB29AB-5EA7-459C-BB0F-365D90B4D294}">
            <xm:f>PowellReleaseTemperature!$F$9</xm:f>
            <x14:dxf>
              <font>
                <color theme="4" tint="-0.24994659260841701"/>
              </font>
              <fill>
                <patternFill>
                  <bgColor theme="8" tint="0.59996337778862885"/>
                </patternFill>
              </fill>
            </x14:dxf>
          </x14:cfRule>
          <x14:cfRule type="cellIs" priority="4" operator="equal" id="{EE4B22B5-FF7A-4C56-9BB9-C90A23BC1057}">
            <xm:f>PowellReleaseTemperature!$F$5</xm:f>
            <x14:dxf>
              <font>
                <color auto="1"/>
              </font>
              <fill>
                <patternFill>
                  <bgColor rgb="FFFF0000"/>
                </patternFill>
              </fill>
            </x14:dxf>
          </x14:cfRule>
          <xm:sqref>C137:L137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71522-32CD-4EEF-9C2C-E445BC7FD5C6}">
  <dimension ref="A1:N142"/>
  <sheetViews>
    <sheetView topLeftCell="A3" zoomScale="150" zoomScaleNormal="150" workbookViewId="0">
      <selection activeCell="B13" sqref="B13:F13"/>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10.45312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73" t="s">
        <v>151</v>
      </c>
      <c r="B3" s="173"/>
      <c r="C3" s="173"/>
      <c r="D3" s="173"/>
      <c r="E3" s="173"/>
      <c r="F3" s="173"/>
      <c r="G3" s="173"/>
      <c r="H3" s="118"/>
      <c r="I3" s="118"/>
      <c r="J3" s="118"/>
      <c r="K3" s="118"/>
    </row>
    <row r="4" spans="1:13" x14ac:dyDescent="0.35">
      <c r="A4" s="53" t="s">
        <v>38</v>
      </c>
      <c r="B4" s="53" t="s">
        <v>42</v>
      </c>
      <c r="C4" s="174" t="s">
        <v>43</v>
      </c>
      <c r="D4" s="175"/>
      <c r="E4" s="175"/>
      <c r="F4" s="175"/>
      <c r="G4" s="176"/>
      <c r="M4" s="1" t="s">
        <v>321</v>
      </c>
    </row>
    <row r="5" spans="1:13" x14ac:dyDescent="0.35">
      <c r="A5" s="133" t="s">
        <v>39</v>
      </c>
      <c r="B5" s="133" t="s">
        <v>153</v>
      </c>
      <c r="C5" s="177" t="s">
        <v>331</v>
      </c>
      <c r="D5" s="178"/>
      <c r="E5" s="178"/>
      <c r="F5" s="178"/>
      <c r="G5" s="178"/>
      <c r="M5" t="s">
        <v>322</v>
      </c>
    </row>
    <row r="6" spans="1:13" x14ac:dyDescent="0.35">
      <c r="A6" s="133" t="s">
        <v>40</v>
      </c>
      <c r="B6" s="133" t="s">
        <v>153</v>
      </c>
      <c r="C6" s="177" t="s">
        <v>331</v>
      </c>
      <c r="D6" s="178"/>
      <c r="E6" s="178"/>
      <c r="F6" s="178"/>
      <c r="G6" s="178"/>
      <c r="M6" t="s">
        <v>327</v>
      </c>
    </row>
    <row r="7" spans="1:13" x14ac:dyDescent="0.35">
      <c r="A7" s="133" t="s">
        <v>41</v>
      </c>
      <c r="B7" s="133" t="s">
        <v>153</v>
      </c>
      <c r="C7" s="177" t="s">
        <v>331</v>
      </c>
      <c r="D7" s="178"/>
      <c r="E7" s="178"/>
      <c r="F7" s="178"/>
      <c r="G7" s="178"/>
      <c r="M7" t="s">
        <v>328</v>
      </c>
    </row>
    <row r="8" spans="1:13" x14ac:dyDescent="0.35">
      <c r="A8" s="117" t="s">
        <v>157</v>
      </c>
      <c r="B8" s="117" t="s">
        <v>153</v>
      </c>
      <c r="C8" s="179" t="s">
        <v>323</v>
      </c>
      <c r="D8" s="179"/>
      <c r="E8" s="179"/>
      <c r="F8" s="179"/>
      <c r="G8" s="179"/>
    </row>
    <row r="9" spans="1:13" x14ac:dyDescent="0.35">
      <c r="A9" s="133"/>
      <c r="B9" s="133"/>
      <c r="C9" s="167"/>
      <c r="D9" s="167"/>
      <c r="E9" s="167"/>
      <c r="F9" s="167"/>
      <c r="G9" s="167"/>
    </row>
    <row r="10" spans="1:13" x14ac:dyDescent="0.35">
      <c r="A10" s="133"/>
      <c r="B10" s="133"/>
      <c r="C10" s="167"/>
      <c r="D10" s="167"/>
      <c r="E10" s="167"/>
      <c r="F10" s="167"/>
      <c r="G10" s="167"/>
    </row>
    <row r="11" spans="1:13" x14ac:dyDescent="0.35">
      <c r="A11" s="16"/>
      <c r="B11" s="2"/>
      <c r="C11"/>
    </row>
    <row r="12" spans="1:13" x14ac:dyDescent="0.35">
      <c r="A12" s="19" t="s">
        <v>45</v>
      </c>
      <c r="B12" s="166" t="s">
        <v>198</v>
      </c>
      <c r="C12" s="166"/>
      <c r="D12" s="166"/>
      <c r="E12" s="166"/>
      <c r="F12" s="166"/>
    </row>
    <row r="13" spans="1:13" x14ac:dyDescent="0.35">
      <c r="B13" s="168" t="s">
        <v>351</v>
      </c>
      <c r="C13" s="169"/>
      <c r="D13" s="169"/>
      <c r="E13" s="169"/>
      <c r="F13" s="169"/>
    </row>
    <row r="14" spans="1:13" x14ac:dyDescent="0.35">
      <c r="B14" s="170" t="s">
        <v>330</v>
      </c>
      <c r="C14" s="171"/>
      <c r="D14" s="171"/>
      <c r="E14" s="171"/>
      <c r="F14" s="171"/>
    </row>
    <row r="15" spans="1:13" x14ac:dyDescent="0.35">
      <c r="B15" s="172" t="s">
        <v>46</v>
      </c>
      <c r="C15" s="172"/>
      <c r="D15" s="172"/>
      <c r="E15" s="172"/>
      <c r="F15" s="172"/>
    </row>
    <row r="17" spans="1:14" x14ac:dyDescent="0.35">
      <c r="A17" s="1" t="s">
        <v>53</v>
      </c>
      <c r="D17" s="166" t="s">
        <v>154</v>
      </c>
      <c r="E17" s="166"/>
      <c r="F17" s="166"/>
      <c r="G17" s="166"/>
    </row>
    <row r="19" spans="1:14" x14ac:dyDescent="0.35">
      <c r="A19" s="1" t="s">
        <v>32</v>
      </c>
      <c r="B19" s="1" t="s">
        <v>110</v>
      </c>
      <c r="C19" s="13" t="s">
        <v>111</v>
      </c>
    </row>
    <row r="20" spans="1:14" x14ac:dyDescent="0.35">
      <c r="A20" t="s">
        <v>109</v>
      </c>
      <c r="B20" s="140">
        <v>5.73</v>
      </c>
      <c r="C20" s="140">
        <v>6</v>
      </c>
      <c r="D20" s="23" t="s">
        <v>112</v>
      </c>
    </row>
    <row r="21" spans="1:14" x14ac:dyDescent="0.35">
      <c r="A21" t="s">
        <v>141</v>
      </c>
      <c r="B21" s="140">
        <v>11</v>
      </c>
      <c r="C21" s="140">
        <v>10.1</v>
      </c>
      <c r="D21" s="11" t="s">
        <v>34</v>
      </c>
    </row>
    <row r="22" spans="1:14" x14ac:dyDescent="0.35">
      <c r="A22" t="s">
        <v>189</v>
      </c>
      <c r="B22" s="62">
        <v>3525</v>
      </c>
      <c r="C22" s="62">
        <v>1020</v>
      </c>
      <c r="D22" s="11"/>
    </row>
    <row r="23" spans="1:14" x14ac:dyDescent="0.35">
      <c r="A23" t="s">
        <v>175</v>
      </c>
      <c r="B23" s="140">
        <f>VLOOKUP(B22,'Powell-Elevation-Area'!$A$5:$B$689,2)/1000000</f>
        <v>5.9265762500000001</v>
      </c>
      <c r="C23" s="140">
        <f>VLOOKUP(C22,'Mead-Elevation-Area'!$A$5:$B$689,2)/1000000</f>
        <v>5.664593</v>
      </c>
      <c r="D23" s="11"/>
      <c r="E23" s="45"/>
    </row>
    <row r="25" spans="1:14" s="1" customFormat="1" x14ac:dyDescent="0.35">
      <c r="A25" s="146" t="s">
        <v>35</v>
      </c>
      <c r="B25" s="147" t="s">
        <v>48</v>
      </c>
      <c r="C25" s="147" t="s">
        <v>5</v>
      </c>
      <c r="D25" s="147" t="s">
        <v>6</v>
      </c>
      <c r="E25" s="147" t="s">
        <v>7</v>
      </c>
      <c r="F25" s="147" t="s">
        <v>8</v>
      </c>
      <c r="G25" s="147" t="s">
        <v>9</v>
      </c>
      <c r="H25" s="147" t="s">
        <v>10</v>
      </c>
      <c r="I25" s="147" t="s">
        <v>11</v>
      </c>
      <c r="J25" s="147" t="s">
        <v>12</v>
      </c>
      <c r="K25" s="147" t="s">
        <v>36</v>
      </c>
      <c r="L25" s="147" t="s">
        <v>37</v>
      </c>
      <c r="M25" s="147" t="s">
        <v>107</v>
      </c>
      <c r="N25" s="147" t="s">
        <v>172</v>
      </c>
    </row>
    <row r="26" spans="1:14" x14ac:dyDescent="0.35">
      <c r="A26" s="1" t="s">
        <v>44</v>
      </c>
      <c r="B26" s="1"/>
      <c r="C26" s="141">
        <v>11</v>
      </c>
      <c r="D26" s="141">
        <v>9</v>
      </c>
      <c r="E26" s="141">
        <v>8.1</v>
      </c>
      <c r="F26" s="141">
        <v>8.1</v>
      </c>
      <c r="G26" s="141">
        <v>8.1</v>
      </c>
      <c r="H26" s="141"/>
      <c r="I26" s="141"/>
      <c r="J26" s="141"/>
      <c r="K26" s="141"/>
      <c r="L26" s="141"/>
    </row>
    <row r="27" spans="1:14" x14ac:dyDescent="0.35">
      <c r="A27" s="1" t="s">
        <v>121</v>
      </c>
      <c r="B27" s="1"/>
      <c r="C27" s="140">
        <f>IF(C$26&lt;&gt;"",0.8,"")</f>
        <v>0.8</v>
      </c>
      <c r="D27" s="140">
        <f t="shared" ref="D27:L27" si="0">IF(D$26&lt;&gt;"",0.8,"")</f>
        <v>0.8</v>
      </c>
      <c r="E27" s="140">
        <f t="shared" si="0"/>
        <v>0.8</v>
      </c>
      <c r="F27" s="140">
        <f t="shared" si="0"/>
        <v>0.8</v>
      </c>
      <c r="G27" s="140">
        <f t="shared" si="0"/>
        <v>0.8</v>
      </c>
      <c r="H27" s="140" t="str">
        <f t="shared" si="0"/>
        <v/>
      </c>
      <c r="I27" s="140" t="str">
        <f t="shared" si="0"/>
        <v/>
      </c>
      <c r="J27" s="140" t="str">
        <f t="shared" si="0"/>
        <v/>
      </c>
      <c r="K27" s="140" t="str">
        <f t="shared" si="0"/>
        <v/>
      </c>
      <c r="L27" s="140" t="str">
        <f t="shared" si="0"/>
        <v/>
      </c>
    </row>
    <row r="28" spans="1:14" x14ac:dyDescent="0.35">
      <c r="A28" s="1" t="s">
        <v>305</v>
      </c>
      <c r="B28" s="1"/>
      <c r="C28" s="140">
        <f>IF(C$26&lt;&gt;"",0.6,"")</f>
        <v>0.6</v>
      </c>
      <c r="D28" s="140">
        <f t="shared" ref="D28:L28" si="1">IF(D$26&lt;&gt;"",0.6,"")</f>
        <v>0.6</v>
      </c>
      <c r="E28" s="140">
        <f t="shared" si="1"/>
        <v>0.6</v>
      </c>
      <c r="F28" s="140">
        <f t="shared" si="1"/>
        <v>0.6</v>
      </c>
      <c r="G28" s="140">
        <f t="shared" si="1"/>
        <v>0.6</v>
      </c>
      <c r="H28" s="140" t="str">
        <f t="shared" si="1"/>
        <v/>
      </c>
      <c r="I28" s="140" t="str">
        <f t="shared" si="1"/>
        <v/>
      </c>
      <c r="J28" s="140" t="str">
        <f t="shared" si="1"/>
        <v/>
      </c>
      <c r="K28" s="140" t="str">
        <f t="shared" si="1"/>
        <v/>
      </c>
      <c r="L28" s="140" t="str">
        <f t="shared" si="1"/>
        <v/>
      </c>
    </row>
    <row r="29" spans="1:14" x14ac:dyDescent="0.35">
      <c r="A29" s="1" t="s">
        <v>124</v>
      </c>
      <c r="B29" s="114">
        <f>SUM(B30:B35)-SUM(B21:C21)</f>
        <v>0</v>
      </c>
      <c r="C29" s="14">
        <f>IF(C$26&lt;&gt;"",SUM(B21:C21),"")</f>
        <v>21.1</v>
      </c>
      <c r="D29" s="14">
        <f ca="1">IF(D$26&lt;&gt;"",C127,"")</f>
        <v>18.371768986666694</v>
      </c>
      <c r="E29" s="14">
        <f t="shared" ref="E29:L29" ca="1" si="2">IF(E$26&lt;&gt;"",D127,"")</f>
        <v>14.310621491237981</v>
      </c>
      <c r="F29" s="14">
        <f t="shared" ca="1" si="2"/>
        <v>13.769336675304046</v>
      </c>
      <c r="G29" s="14">
        <f t="shared" ca="1" si="2"/>
        <v>13.411908284470714</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15">
        <f>B21-B23</f>
        <v>5.0734237499999999</v>
      </c>
      <c r="C30" s="112">
        <f>IF(OR(C$26="",$A30=""),"",B30)</f>
        <v>5.0734237499999999</v>
      </c>
      <c r="D30" s="14">
        <f ca="1">IF(OR(D$26="",$A30=""),"",C121)</f>
        <v>3.4040452368981784</v>
      </c>
      <c r="E30" s="14">
        <f t="shared" ref="E30:L30" ca="1" si="4">IF(OR(E$26="",$A30=""),"",D121)</f>
        <v>0</v>
      </c>
      <c r="F30" s="14">
        <f t="shared" ca="1" si="4"/>
        <v>0</v>
      </c>
      <c r="G30" s="14">
        <f t="shared" ca="1" si="4"/>
        <v>0</v>
      </c>
      <c r="H30" s="14" t="str">
        <f t="shared" si="4"/>
        <v/>
      </c>
      <c r="I30" s="14" t="str">
        <f t="shared" si="4"/>
        <v/>
      </c>
      <c r="J30" s="14" t="str">
        <f t="shared" si="4"/>
        <v/>
      </c>
      <c r="K30" s="14" t="str">
        <f t="shared" si="4"/>
        <v/>
      </c>
      <c r="L30" s="14" t="str">
        <f t="shared" si="4"/>
        <v/>
      </c>
      <c r="N30" t="s">
        <v>177</v>
      </c>
    </row>
    <row r="31" spans="1:14" x14ac:dyDescent="0.35">
      <c r="A31" t="str">
        <f t="shared" si="3"/>
        <v xml:space="preserve">    Lower Basin Balance</v>
      </c>
      <c r="B31" s="115">
        <f>C21-C23-B32</f>
        <v>4.2614069999999993</v>
      </c>
      <c r="C31" s="112">
        <f t="shared" ref="C31:C35" si="5">IF(OR(C$26="",$A31=""),"",B31)</f>
        <v>4.2614069999999993</v>
      </c>
      <c r="D31" s="14">
        <f t="shared" ref="D31:L35" ca="1" si="6">IF(OR(D$26="",$A31=""),"",C122)</f>
        <v>3.2109815232907888</v>
      </c>
      <c r="E31" s="14">
        <f t="shared" ca="1" si="6"/>
        <v>2.5623520451145225</v>
      </c>
      <c r="F31" s="14">
        <f t="shared" ca="1" si="6"/>
        <v>2.2299807300538657</v>
      </c>
      <c r="G31" s="14">
        <f t="shared" ca="1" si="6"/>
        <v>1.9695642004172758</v>
      </c>
      <c r="H31" s="14" t="str">
        <f t="shared" si="6"/>
        <v/>
      </c>
      <c r="I31" s="14" t="str">
        <f t="shared" si="6"/>
        <v/>
      </c>
      <c r="J31" s="14" t="str">
        <f t="shared" si="6"/>
        <v/>
      </c>
      <c r="K31" s="14" t="str">
        <f t="shared" si="6"/>
        <v/>
      </c>
      <c r="L31" s="14" t="str">
        <f t="shared" si="6"/>
        <v/>
      </c>
      <c r="N31" t="s">
        <v>174</v>
      </c>
    </row>
    <row r="32" spans="1:14" x14ac:dyDescent="0.35">
      <c r="A32" t="str">
        <f t="shared" si="3"/>
        <v xml:space="preserve">    Mexico Balance</v>
      </c>
      <c r="B32" s="116">
        <v>0.17399999999999999</v>
      </c>
      <c r="C32" s="113">
        <f t="shared" si="5"/>
        <v>0.17399999999999999</v>
      </c>
      <c r="D32" s="52">
        <f t="shared" ca="1" si="6"/>
        <v>0.16557297647772518</v>
      </c>
      <c r="E32" s="52">
        <f t="shared" ca="1" si="6"/>
        <v>0.1571001961234586</v>
      </c>
      <c r="F32" s="52">
        <f t="shared" ca="1" si="6"/>
        <v>-5.1813304749818379E-2</v>
      </c>
      <c r="G32" s="52">
        <f t="shared" ca="1" si="6"/>
        <v>-0.14882516594656248</v>
      </c>
      <c r="H32" s="14" t="str">
        <f t="shared" si="6"/>
        <v/>
      </c>
      <c r="I32" s="14" t="str">
        <f t="shared" si="6"/>
        <v/>
      </c>
      <c r="J32" s="14" t="str">
        <f t="shared" si="6"/>
        <v/>
      </c>
      <c r="K32" s="14" t="str">
        <f t="shared" si="6"/>
        <v/>
      </c>
      <c r="L32" s="14" t="str">
        <f t="shared" si="6"/>
        <v/>
      </c>
      <c r="N32" t="s">
        <v>173</v>
      </c>
    </row>
    <row r="33" spans="1:14" x14ac:dyDescent="0.35">
      <c r="A33" t="str">
        <f t="shared" si="3"/>
        <v xml:space="preserve">    Shared, Reserve Balance</v>
      </c>
      <c r="B33" s="115">
        <f>SUM(B23:C23)</f>
        <v>11.59116925</v>
      </c>
      <c r="C33" s="112">
        <f t="shared" si="5"/>
        <v>11.59116925</v>
      </c>
      <c r="D33" s="14">
        <f t="shared" ca="1" si="6"/>
        <v>11.59116925</v>
      </c>
      <c r="E33" s="14">
        <f t="shared" ca="1" si="6"/>
        <v>11.59116925</v>
      </c>
      <c r="F33" s="14">
        <f t="shared" ca="1" si="6"/>
        <v>11.59116925</v>
      </c>
      <c r="G33" s="14">
        <f t="shared" ca="1" si="6"/>
        <v>11.59116925</v>
      </c>
      <c r="H33" s="14" t="str">
        <f t="shared" si="6"/>
        <v/>
      </c>
      <c r="I33" s="14" t="str">
        <f t="shared" si="6"/>
        <v/>
      </c>
      <c r="J33" s="14" t="str">
        <f t="shared" si="6"/>
        <v/>
      </c>
      <c r="K33" s="14" t="str">
        <f t="shared" si="6"/>
        <v/>
      </c>
      <c r="L33" s="14" t="str">
        <f t="shared" si="6"/>
        <v/>
      </c>
    </row>
    <row r="34" spans="1:14" x14ac:dyDescent="0.35">
      <c r="A34" t="str">
        <f t="shared" si="3"/>
        <v/>
      </c>
      <c r="B34" s="115"/>
      <c r="C34" s="112"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176</v>
      </c>
    </row>
    <row r="35" spans="1:14" x14ac:dyDescent="0.35">
      <c r="A35" t="str">
        <f t="shared" si="3"/>
        <v/>
      </c>
      <c r="B35" s="117"/>
      <c r="C35" s="112"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196</v>
      </c>
      <c r="C36"/>
    </row>
    <row r="37" spans="1:14" x14ac:dyDescent="0.35">
      <c r="A37" t="s">
        <v>113</v>
      </c>
      <c r="C37" s="14">
        <f>IF(C$26&lt;&gt;"",B21,"")</f>
        <v>11</v>
      </c>
      <c r="D37" s="14">
        <f ca="1">IF(D$26&lt;&gt;"",C129,"")</f>
        <v>9.1858844933333472</v>
      </c>
      <c r="E37" s="14">
        <f t="shared" ref="E37:G38" ca="1" si="7">IF(E$26&lt;&gt;"",D129,"")</f>
        <v>7.1553107456189906</v>
      </c>
      <c r="F37" s="14">
        <f t="shared" ca="1" si="7"/>
        <v>6.8846683376520232</v>
      </c>
      <c r="G37" s="14">
        <f t="shared" ca="1" si="7"/>
        <v>6.705954142235357</v>
      </c>
      <c r="H37" s="14" t="str">
        <f t="shared" ref="H37:H38" si="8">IF(H$26&lt;&gt;"",G129,"")</f>
        <v/>
      </c>
      <c r="I37" s="14" t="str">
        <f t="shared" ref="I37:I38" si="9">IF(I$26&lt;&gt;"",H129,"")</f>
        <v/>
      </c>
      <c r="J37" s="14" t="str">
        <f t="shared" ref="J37:J38" si="10">IF(J$26&lt;&gt;"",I129,"")</f>
        <v/>
      </c>
      <c r="K37" s="14" t="str">
        <f t="shared" ref="K37:K38" si="11">IF(K$26&lt;&gt;"",J129,"")</f>
        <v/>
      </c>
      <c r="L37" s="14" t="str">
        <f t="shared" ref="L37:L38" si="12">IF(L$26&lt;&gt;"",K129,"")</f>
        <v/>
      </c>
    </row>
    <row r="38" spans="1:14" x14ac:dyDescent="0.35">
      <c r="A38" t="s">
        <v>114</v>
      </c>
      <c r="C38" s="14">
        <f>IF(C$26&lt;&gt;"",C21,"")</f>
        <v>10.1</v>
      </c>
      <c r="D38" s="14">
        <f ca="1">IF(D$26&lt;&gt;"",C130,"")</f>
        <v>9.1858844933333472</v>
      </c>
      <c r="E38" s="14">
        <f t="shared" ca="1" si="7"/>
        <v>7.1553107456189906</v>
      </c>
      <c r="F38" s="14">
        <f t="shared" ca="1" si="7"/>
        <v>6.8846683376520232</v>
      </c>
      <c r="G38" s="14">
        <f t="shared" ca="1" si="7"/>
        <v>6.705954142235357</v>
      </c>
      <c r="H38" s="14" t="str">
        <f t="shared" si="8"/>
        <v/>
      </c>
      <c r="I38" s="14" t="str">
        <f t="shared" si="9"/>
        <v/>
      </c>
      <c r="J38" s="14" t="str">
        <f t="shared" si="10"/>
        <v/>
      </c>
      <c r="K38" s="14" t="str">
        <f t="shared" si="11"/>
        <v/>
      </c>
      <c r="L38" s="14" t="str">
        <f t="shared" si="12"/>
        <v/>
      </c>
    </row>
    <row r="39" spans="1:14" x14ac:dyDescent="0.35">
      <c r="A39" s="1" t="s">
        <v>119</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0.94012903950117299</v>
      </c>
      <c r="E39" s="14">
        <f ca="1">IF(E$26&lt;&gt;"",VLOOKUP(E37*1000000,'Powell-Elevation-Area'!$B$5:$D$689,3)*$B$20/1000000 + VLOOKUP(E38*1000000,'Mead-Elevation-Area'!$B$5:$D$676,3)*$C$20/1000000,"")</f>
        <v>0.81195148260060002</v>
      </c>
      <c r="F39" s="14">
        <f ca="1">IF(F$26&lt;&gt;"",VLOOKUP(F37*1000000,'Powell-Elevation-Area'!$B$5:$D$689,3)*$B$20/1000000 + VLOOKUP(F38*1000000,'Mead-Elevation-Area'!$B$5:$D$676,3)*$C$20/1000000,"")</f>
        <v>0.79409505750000009</v>
      </c>
      <c r="G39" s="14">
        <f ca="1">IF(G$26&lt;&gt;"",VLOOKUP(G37*1000000,'Powell-Elevation-Area'!$B$5:$D$689,3)*$B$20/1000000 + VLOOKUP(G38*1000000,'Mead-Elevation-Area'!$B$5:$D$676,3)*$C$20/1000000,"")</f>
        <v>0.78374644500000001</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13">IF(A5="","","    "&amp;A5&amp;" Share")</f>
        <v xml:space="preserve">    Upper Basin Share</v>
      </c>
      <c r="B40" s="1"/>
      <c r="C40" s="14">
        <f t="shared" ref="C40:L45" si="14">IF(OR(C$26="",$A40=""),"",C$39*C30/C$29)</f>
        <v>0.24571184643515467</v>
      </c>
      <c r="D40" s="14">
        <f t="shared" ca="1" si="14"/>
        <v>0.1741934476373071</v>
      </c>
      <c r="E40" s="14">
        <f t="shared" ca="1" si="14"/>
        <v>0</v>
      </c>
      <c r="F40" s="14">
        <f t="shared" ca="1" si="14"/>
        <v>0</v>
      </c>
      <c r="G40" s="14">
        <f t="shared" ca="1" si="14"/>
        <v>0</v>
      </c>
      <c r="H40" s="14" t="str">
        <f t="shared" si="14"/>
        <v/>
      </c>
      <c r="I40" s="14" t="str">
        <f t="shared" si="14"/>
        <v/>
      </c>
      <c r="J40" s="14" t="str">
        <f t="shared" si="14"/>
        <v/>
      </c>
      <c r="K40" s="14" t="str">
        <f t="shared" si="14"/>
        <v/>
      </c>
      <c r="L40" s="14" t="str">
        <f t="shared" si="14"/>
        <v/>
      </c>
    </row>
    <row r="41" spans="1:14" x14ac:dyDescent="0.35">
      <c r="A41" t="str">
        <f t="shared" si="13"/>
        <v xml:space="preserve">    Lower Basin Share</v>
      </c>
      <c r="B41" s="1"/>
      <c r="C41" s="14">
        <f t="shared" si="14"/>
        <v>0.20638492544244763</v>
      </c>
      <c r="D41" s="14">
        <f t="shared" ca="1" si="14"/>
        <v>0.16431389799960092</v>
      </c>
      <c r="E41" s="14">
        <f t="shared" ca="1" si="14"/>
        <v>0.14538191393359506</v>
      </c>
      <c r="F41" s="14">
        <f t="shared" ca="1" si="14"/>
        <v>0.12860580853049078</v>
      </c>
      <c r="G41" s="14">
        <f t="shared" ca="1" si="14"/>
        <v>0.11509465376106434</v>
      </c>
      <c r="H41" s="14" t="str">
        <f t="shared" si="14"/>
        <v/>
      </c>
      <c r="I41" s="14" t="str">
        <f t="shared" si="14"/>
        <v/>
      </c>
      <c r="J41" s="14" t="str">
        <f t="shared" si="14"/>
        <v/>
      </c>
      <c r="K41" s="14" t="str">
        <f t="shared" si="14"/>
        <v/>
      </c>
      <c r="L41" s="14" t="str">
        <f t="shared" si="14"/>
        <v/>
      </c>
    </row>
    <row r="42" spans="1:14" x14ac:dyDescent="0.35">
      <c r="A42" t="str">
        <f t="shared" si="13"/>
        <v xml:space="preserve">    Mexico Share</v>
      </c>
      <c r="B42" s="1"/>
      <c r="C42" s="14">
        <f t="shared" si="14"/>
        <v>8.4270235222746598E-3</v>
      </c>
      <c r="D42" s="14">
        <f t="shared" ca="1" si="14"/>
        <v>8.4727803542666066E-3</v>
      </c>
      <c r="E42" s="14">
        <f t="shared" ca="1" si="14"/>
        <v>8.9135008732770631E-3</v>
      </c>
      <c r="F42" s="14">
        <f t="shared" ca="1" si="14"/>
        <v>-2.9881388032560051E-3</v>
      </c>
      <c r="G42" s="14">
        <f t="shared" ca="1" si="14"/>
        <v>-8.6968380832285509E-3</v>
      </c>
      <c r="H42" s="14" t="str">
        <f t="shared" si="14"/>
        <v/>
      </c>
      <c r="I42" s="14" t="str">
        <f t="shared" si="14"/>
        <v/>
      </c>
      <c r="J42" s="14" t="str">
        <f t="shared" si="14"/>
        <v/>
      </c>
      <c r="K42" s="14" t="str">
        <f t="shared" si="14"/>
        <v/>
      </c>
      <c r="L42" s="14" t="str">
        <f t="shared" si="14"/>
        <v/>
      </c>
    </row>
    <row r="43" spans="1:14" x14ac:dyDescent="0.35">
      <c r="A43" t="str">
        <f t="shared" si="13"/>
        <v xml:space="preserve">    Shared, Reserve Share</v>
      </c>
      <c r="B43" s="1"/>
      <c r="C43" s="14">
        <f t="shared" si="14"/>
        <v>0.56137388460009618</v>
      </c>
      <c r="D43" s="14">
        <f t="shared" ca="1" si="14"/>
        <v>0.59314891350999832</v>
      </c>
      <c r="E43" s="14">
        <f t="shared" ca="1" si="14"/>
        <v>0.65765606779372787</v>
      </c>
      <c r="F43" s="14">
        <f t="shared" ca="1" si="14"/>
        <v>0.66847738777276533</v>
      </c>
      <c r="G43" s="14">
        <f t="shared" ca="1" si="14"/>
        <v>0.67734862932216422</v>
      </c>
      <c r="H43" s="14" t="str">
        <f t="shared" si="14"/>
        <v/>
      </c>
      <c r="I43" s="14" t="str">
        <f t="shared" si="14"/>
        <v/>
      </c>
      <c r="J43" s="14" t="str">
        <f t="shared" si="14"/>
        <v/>
      </c>
      <c r="K43" s="14" t="str">
        <f t="shared" si="14"/>
        <v/>
      </c>
      <c r="L43" s="14" t="str">
        <f t="shared" si="14"/>
        <v/>
      </c>
    </row>
    <row r="44" spans="1:14" x14ac:dyDescent="0.3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259</v>
      </c>
      <c r="B46" s="75"/>
      <c r="C46" s="49">
        <f>IF(C$26&lt;&gt;"",1.5-0.21/9/2-VLOOKUP(C38,LowerBasinCuts!$C$5:$P$13,13),"")</f>
        <v>1.4473333333333334</v>
      </c>
      <c r="D46" s="49">
        <f ca="1">IF(D$26&lt;&gt;"",1.5-0.21/9/2-VLOOKUP(D38,LowerBasinCuts!$C$5:$P$13,13),"")</f>
        <v>1.4083333333333332</v>
      </c>
      <c r="E46" s="49">
        <f ca="1">IF(E$26&lt;&gt;"",1.5-0.21/9/2-VLOOKUP(E38,LowerBasinCuts!$C$5:$P$13,13),"")</f>
        <v>1.3423333333333334</v>
      </c>
      <c r="F46" s="49">
        <f ca="1">IF(F$26&lt;&gt;"",1.5-0.21/9/2-VLOOKUP(F38,LowerBasinCuts!$C$5:$P$13,13),"")</f>
        <v>1.3343333333333334</v>
      </c>
      <c r="G46" s="49">
        <f ca="1">IF(G$26&lt;&gt;"",1.5-0.21/9/2-VLOOKUP(G38,LowerBasinCuts!$C$5:$P$13,13),"")</f>
        <v>1.3343333333333334</v>
      </c>
      <c r="H46" s="49" t="str">
        <f>IF(H$26&lt;&gt;"",1.5-0.21/9/2-VLOOKUP(H38,LowerBasinCuts!$C$5:$P$13,13),"")</f>
        <v/>
      </c>
      <c r="I46" s="49" t="str">
        <f>IF(I$26&lt;&gt;"",1.5-0.21/9/2-VLOOKUP(I38,LowerBasinCuts!$C$5:$P$13,13),"")</f>
        <v/>
      </c>
      <c r="J46" s="49" t="str">
        <f>IF(J$26&lt;&gt;"",1.5-0.21/9/2-VLOOKUP(J38,LowerBasinCuts!$C$5:$P$13,13),"")</f>
        <v/>
      </c>
      <c r="K46" s="49" t="str">
        <f>IF(K$26&lt;&gt;"",1.5-0.21/9/2-VLOOKUP(K38,LowerBasinCuts!$C$5:$P$13,13),"")</f>
        <v/>
      </c>
      <c r="L46" s="49" t="str">
        <f>IF(L$26&lt;&gt;"",1.5-0.21/9/2-VLOOKUP(L38,LowerBasinCuts!$C$5:$P$13,13),"")</f>
        <v/>
      </c>
    </row>
    <row r="47" spans="1:14" x14ac:dyDescent="0.35">
      <c r="A47" s="1" t="s">
        <v>306</v>
      </c>
      <c r="B47" s="1"/>
      <c r="C47" s="51">
        <f>IF(C26="","",SUM(C26:C27)-C28)</f>
        <v>11.200000000000001</v>
      </c>
      <c r="D47" s="51">
        <f t="shared" ref="D47:L47" si="15">IF(D26="","",SUM(D26:D27)-D28)</f>
        <v>9.2000000000000011</v>
      </c>
      <c r="E47" s="14">
        <f t="shared" si="15"/>
        <v>8.3000000000000007</v>
      </c>
      <c r="F47" s="51">
        <f t="shared" si="15"/>
        <v>8.3000000000000007</v>
      </c>
      <c r="G47" s="51">
        <f t="shared" si="15"/>
        <v>8.3000000000000007</v>
      </c>
      <c r="H47" s="51" t="str">
        <f t="shared" si="15"/>
        <v/>
      </c>
      <c r="I47" s="51" t="str">
        <f t="shared" si="15"/>
        <v/>
      </c>
      <c r="J47" s="51" t="str">
        <f t="shared" si="15"/>
        <v/>
      </c>
      <c r="K47" s="51" t="str">
        <f t="shared" si="15"/>
        <v/>
      </c>
      <c r="L47" s="51" t="str">
        <f t="shared" si="15"/>
        <v/>
      </c>
      <c r="M47" s="45"/>
      <c r="N47" s="45"/>
    </row>
    <row r="48" spans="1:14" x14ac:dyDescent="0.35">
      <c r="A48" t="str">
        <f t="shared" ref="A48:A53" si="16">IF(A5="","","    To "&amp;A5)</f>
        <v xml:space="preserve">    To Upper Basin</v>
      </c>
      <c r="B48" s="138" t="s">
        <v>147</v>
      </c>
      <c r="C48" s="112">
        <f>IF(OR(C$26="",$A48=""),"",IF(C$26&gt;SUM(MIN($B49,C26-C50/2)+C50/2),C$26-SUM(MIN($B49,C26-C50/2)+C50/2),0))</f>
        <v>2.7763333333333335</v>
      </c>
      <c r="D48" s="112">
        <f t="shared" ref="D48:L48" ca="1" si="17">IF(OR(D$26="",$A48=""),"",IF(D$26&gt;SUM(MIN($B49,D26-D50/2)+D50/2),D$26-SUM(MIN($B49,D26-D50/2)+D50/2),0))</f>
        <v>0.79583333333333428</v>
      </c>
      <c r="E48" s="112">
        <f t="shared" ca="1" si="17"/>
        <v>0</v>
      </c>
      <c r="F48" s="112">
        <f t="shared" ca="1" si="17"/>
        <v>0</v>
      </c>
      <c r="G48" s="112">
        <f t="shared" ca="1" si="17"/>
        <v>0</v>
      </c>
      <c r="H48" s="112" t="str">
        <f t="shared" si="17"/>
        <v/>
      </c>
      <c r="I48" s="112" t="str">
        <f t="shared" si="17"/>
        <v/>
      </c>
      <c r="J48" s="112" t="str">
        <f t="shared" si="17"/>
        <v/>
      </c>
      <c r="K48" s="112" t="str">
        <f t="shared" si="17"/>
        <v/>
      </c>
      <c r="L48" s="112" t="str">
        <f t="shared" si="17"/>
        <v/>
      </c>
      <c r="M48" s="29"/>
      <c r="N48" s="29"/>
    </row>
    <row r="49" spans="1:14" x14ac:dyDescent="0.35">
      <c r="A49" t="str">
        <f t="shared" si="16"/>
        <v xml:space="preserve">    To Lower Basin</v>
      </c>
      <c r="B49" s="139">
        <f>7.5</f>
        <v>7.5</v>
      </c>
      <c r="C49" s="112">
        <f>IF(OR(C$26="",$A49=""),"",C27-C28-C51-C50/2+MIN($B49,C26-C50/2))</f>
        <v>6.4149594487332369</v>
      </c>
      <c r="D49" s="112">
        <f t="shared" ref="D49:L49" ca="1" si="18">IF(OR(D$26="",$A49=""),"",D27-D28-D51-D50/2+MIN($B49,D26-D50/2))</f>
        <v>6.402684419823335</v>
      </c>
      <c r="E49" s="112">
        <f t="shared" ca="1" si="18"/>
        <v>6.3000105988729391</v>
      </c>
      <c r="F49" s="112">
        <f t="shared" ca="1" si="18"/>
        <v>6.2971892788939012</v>
      </c>
      <c r="G49" s="112">
        <f t="shared" ca="1" si="18"/>
        <v>6.288318037344502</v>
      </c>
      <c r="H49" s="112" t="str">
        <f t="shared" si="18"/>
        <v/>
      </c>
      <c r="I49" s="112" t="str">
        <f t="shared" si="18"/>
        <v/>
      </c>
      <c r="J49" s="112" t="str">
        <f t="shared" si="18"/>
        <v/>
      </c>
      <c r="K49" s="112" t="str">
        <f t="shared" si="18"/>
        <v/>
      </c>
      <c r="L49" s="112" t="str">
        <f t="shared" si="18"/>
        <v/>
      </c>
      <c r="M49" s="29"/>
      <c r="N49" s="29"/>
    </row>
    <row r="50" spans="1:14" x14ac:dyDescent="0.35">
      <c r="A50" t="str">
        <f t="shared" si="16"/>
        <v xml:space="preserve">    To Mexico</v>
      </c>
      <c r="B50" s="139" t="s">
        <v>185</v>
      </c>
      <c r="C50" s="112">
        <f>IF(OR(C$26="",$A50=""),"",IF(C$47&gt;SUM(C51:C52,C46),C46,C$47-SUM(C51:C52)))</f>
        <v>1.4473333333333334</v>
      </c>
      <c r="D50" s="112">
        <f t="shared" ref="D50:L50" ca="1" si="19">IF(OR(D$26="",$A50=""),"",IF(D$47&gt;SUM(D51:D52,D46),D46,D$47-SUM(D51:D52)))</f>
        <v>1.4083333333333332</v>
      </c>
      <c r="E50" s="112">
        <f t="shared" ca="1" si="19"/>
        <v>1.3423333333333334</v>
      </c>
      <c r="F50" s="112">
        <f t="shared" ca="1" si="19"/>
        <v>1.3343333333333334</v>
      </c>
      <c r="G50" s="112">
        <f t="shared" ca="1" si="19"/>
        <v>1.3343333333333334</v>
      </c>
      <c r="H50" s="112" t="str">
        <f t="shared" si="19"/>
        <v/>
      </c>
      <c r="I50" s="112" t="str">
        <f t="shared" si="19"/>
        <v/>
      </c>
      <c r="J50" s="112" t="str">
        <f t="shared" si="19"/>
        <v/>
      </c>
      <c r="K50" s="112" t="str">
        <f t="shared" si="19"/>
        <v/>
      </c>
      <c r="L50" s="112" t="str">
        <f t="shared" si="19"/>
        <v/>
      </c>
      <c r="M50" s="29"/>
      <c r="N50" s="29"/>
    </row>
    <row r="51" spans="1:14" x14ac:dyDescent="0.35">
      <c r="A51" t="str">
        <f t="shared" si="16"/>
        <v xml:space="preserve">    To Shared, Reserve</v>
      </c>
      <c r="B51" s="139" t="s">
        <v>184</v>
      </c>
      <c r="C51" s="112">
        <f>IF(OR(C$26="",$A51=""),"",IF(C$47&gt;C43,C43,C47))</f>
        <v>0.56137388460009618</v>
      </c>
      <c r="D51" s="112">
        <f t="shared" ref="D51:L51" ca="1" si="20">IF(OR(D$26="",$A51=""),"",IF(D$47&gt;D43,D43,D47))</f>
        <v>0.59314891350999832</v>
      </c>
      <c r="E51" s="112">
        <f t="shared" ca="1" si="20"/>
        <v>0.65765606779372787</v>
      </c>
      <c r="F51" s="112">
        <f t="shared" ca="1" si="20"/>
        <v>0.66847738777276533</v>
      </c>
      <c r="G51" s="112">
        <f t="shared" ca="1" si="20"/>
        <v>0.67734862932216422</v>
      </c>
      <c r="H51" s="112" t="str">
        <f t="shared" si="20"/>
        <v/>
      </c>
      <c r="I51" s="112" t="str">
        <f t="shared" si="20"/>
        <v/>
      </c>
      <c r="J51" s="112" t="str">
        <f t="shared" si="20"/>
        <v/>
      </c>
      <c r="K51" s="112" t="str">
        <f t="shared" si="20"/>
        <v/>
      </c>
      <c r="L51" s="112" t="str">
        <f t="shared" si="20"/>
        <v/>
      </c>
      <c r="M51" s="29"/>
      <c r="N51" s="29"/>
    </row>
    <row r="52" spans="1:14" x14ac:dyDescent="0.35">
      <c r="A52" t="str">
        <f t="shared" si="16"/>
        <v/>
      </c>
      <c r="B52" s="139"/>
      <c r="C52" s="112"/>
      <c r="D52" s="112"/>
      <c r="E52" s="112"/>
      <c r="F52" s="112"/>
      <c r="G52" s="112"/>
      <c r="H52" s="112"/>
      <c r="I52" s="112"/>
      <c r="J52" s="112"/>
      <c r="K52" s="112"/>
      <c r="L52" s="112"/>
      <c r="M52" s="29"/>
      <c r="N52" s="29"/>
    </row>
    <row r="53" spans="1:14" x14ac:dyDescent="0.35">
      <c r="A53" t="str">
        <f t="shared" si="16"/>
        <v/>
      </c>
      <c r="B53" s="139"/>
      <c r="C53" s="113"/>
      <c r="D53" s="113"/>
      <c r="E53" s="113"/>
      <c r="F53" s="113"/>
      <c r="G53" s="113"/>
      <c r="H53" s="113"/>
      <c r="I53" s="113"/>
      <c r="J53" s="113"/>
      <c r="K53" s="113"/>
      <c r="L53" s="113"/>
      <c r="M53" s="29"/>
      <c r="N53" s="29"/>
    </row>
    <row r="54" spans="1:14" x14ac:dyDescent="0.35">
      <c r="C54" s="45"/>
      <c r="D54" s="45"/>
      <c r="E54" s="45"/>
      <c r="F54" s="45"/>
      <c r="G54" s="45"/>
    </row>
    <row r="55" spans="1:14" x14ac:dyDescent="0.35">
      <c r="A55" s="142" t="s">
        <v>181</v>
      </c>
      <c r="B55" s="142"/>
      <c r="C55" s="142"/>
      <c r="D55" s="142"/>
      <c r="E55" s="142"/>
      <c r="F55" s="142"/>
      <c r="G55" s="142"/>
      <c r="H55" s="142"/>
      <c r="I55" s="142"/>
      <c r="J55" s="142"/>
      <c r="K55" s="142"/>
      <c r="L55" s="142"/>
      <c r="M55" s="142"/>
      <c r="N55" s="142"/>
    </row>
    <row r="56" spans="1:14" x14ac:dyDescent="0.35">
      <c r="A56" s="143" t="str">
        <f>IF(A$5="[Unused]","",A5)</f>
        <v>Upper Basin</v>
      </c>
      <c r="B56" s="143"/>
      <c r="C56" s="143"/>
      <c r="D56" s="143"/>
      <c r="E56" s="143"/>
      <c r="F56" s="143"/>
      <c r="G56" s="143"/>
      <c r="H56" s="143"/>
      <c r="I56" s="143"/>
      <c r="J56" s="143"/>
      <c r="K56" s="143"/>
      <c r="L56" s="143"/>
      <c r="M56" s="144" t="s">
        <v>107</v>
      </c>
      <c r="N56" s="143" t="s">
        <v>172</v>
      </c>
    </row>
    <row r="57" spans="1:14" x14ac:dyDescent="0.35">
      <c r="A57" s="32" t="str">
        <f>IF(A56="[Unused]","","   Volume of Sales(+) and Purchases(-) [maf]")</f>
        <v xml:space="preserve">   Volume of Sales(+) and Purchases(-) [maf]</v>
      </c>
      <c r="C57" s="134"/>
      <c r="D57" s="134"/>
      <c r="E57" s="134"/>
      <c r="F57" s="134"/>
      <c r="G57" s="134"/>
      <c r="H57" s="134"/>
      <c r="I57" s="134"/>
      <c r="J57" s="134"/>
      <c r="K57" s="134"/>
      <c r="L57" s="134"/>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35"/>
      <c r="D58" s="135"/>
      <c r="E58" s="135"/>
      <c r="F58" s="134"/>
      <c r="G58" s="135"/>
      <c r="H58" s="135"/>
      <c r="I58" s="135"/>
      <c r="J58" s="135"/>
      <c r="K58" s="135"/>
      <c r="L58" s="135"/>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21">IF(OR(C$26="",$A59=""),"",C$112)</f>
        <v>0</v>
      </c>
      <c r="D59" s="67">
        <f t="shared" ca="1" si="21"/>
        <v>0</v>
      </c>
      <c r="E59" s="67">
        <f t="shared" ca="1" si="21"/>
        <v>0.2</v>
      </c>
      <c r="F59" s="67">
        <f t="shared" ca="1" si="21"/>
        <v>0.1</v>
      </c>
      <c r="G59" s="67">
        <f t="shared" ca="1" si="21"/>
        <v>0</v>
      </c>
      <c r="H59" s="67" t="str">
        <f t="shared" si="21"/>
        <v/>
      </c>
      <c r="I59" s="67" t="str">
        <f t="shared" si="21"/>
        <v/>
      </c>
      <c r="J59" s="67" t="str">
        <f t="shared" si="21"/>
        <v/>
      </c>
      <c r="K59" s="67" t="str">
        <f t="shared" si="21"/>
        <v/>
      </c>
      <c r="L59" s="67" t="str">
        <f t="shared" si="21"/>
        <v/>
      </c>
      <c r="M59" t="str">
        <f t="shared" si="21"/>
        <v/>
      </c>
      <c r="N59" t="str">
        <f>IF(A59="","","If non-zero, players need to change amount(s)")</f>
        <v>If non-zero, players need to change amount(s)</v>
      </c>
    </row>
    <row r="60" spans="1:14" x14ac:dyDescent="0.35">
      <c r="A60" s="1" t="str">
        <f>IF(A58="","","   Available Water [maf]")</f>
        <v xml:space="preserve">   Available Water [maf]</v>
      </c>
      <c r="C60" s="14">
        <f>IF(OR(C$26="",$A60=""),"",C30+C48-C40-C57)</f>
        <v>7.6040452368981786</v>
      </c>
      <c r="D60" s="14">
        <f t="shared" ref="D60:L60" ca="1" si="22">IF(OR(D$26="",$A60=""),"",D30+D48-D40-D57)</f>
        <v>4.0256851225942052</v>
      </c>
      <c r="E60" s="14">
        <f t="shared" ca="1" si="22"/>
        <v>0</v>
      </c>
      <c r="F60" s="14">
        <f t="shared" ca="1" si="22"/>
        <v>0</v>
      </c>
      <c r="G60" s="14">
        <f t="shared" ca="1" si="22"/>
        <v>0</v>
      </c>
      <c r="H60" s="14" t="str">
        <f t="shared" si="22"/>
        <v/>
      </c>
      <c r="I60" s="14" t="str">
        <f t="shared" si="22"/>
        <v/>
      </c>
      <c r="J60" s="14" t="str">
        <f t="shared" si="22"/>
        <v/>
      </c>
      <c r="K60" s="14" t="str">
        <f t="shared" si="22"/>
        <v/>
      </c>
      <c r="L60" s="14" t="str">
        <f t="shared" si="22"/>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36">
        <f>IF(C27&lt;&gt;"",IF(C60&gt;4.2,4.2,MAX(C60,0)),"")</f>
        <v>4.2</v>
      </c>
      <c r="D61" s="136">
        <f t="shared" ref="D61:G61" ca="1" si="23">IF(D27&lt;&gt;"",IF(D60&gt;4.2,4.2,MAX(D60,0)),"")</f>
        <v>4.0256851225942052</v>
      </c>
      <c r="E61" s="136">
        <f t="shared" ca="1" si="23"/>
        <v>0</v>
      </c>
      <c r="F61" s="136">
        <f t="shared" ca="1" si="23"/>
        <v>0</v>
      </c>
      <c r="G61" s="136">
        <f t="shared" ca="1" si="23"/>
        <v>0</v>
      </c>
      <c r="H61" s="136"/>
      <c r="I61" s="136"/>
      <c r="J61" s="136"/>
      <c r="K61" s="136"/>
      <c r="L61" s="136"/>
      <c r="N61" t="str">
        <f>IF(A61="","","Must be less than Available water")</f>
        <v>Must be less than Available water</v>
      </c>
    </row>
    <row r="62" spans="1:14" x14ac:dyDescent="0.35">
      <c r="A62" s="32" t="str">
        <f>IF(A61="","","   End of Year Balance [maf]")</f>
        <v xml:space="preserve">   End of Year Balance [maf]</v>
      </c>
      <c r="C62" s="66">
        <f>IF(OR(C$26="",$A62=""),"",C60-C61)</f>
        <v>3.4040452368981784</v>
      </c>
      <c r="D62" s="66">
        <f t="shared" ref="D62:L62" ca="1" si="24">IF(OR(D$26="",$A62=""),"",D60-D61)</f>
        <v>0</v>
      </c>
      <c r="E62" s="66">
        <f t="shared" ca="1" si="24"/>
        <v>0</v>
      </c>
      <c r="F62" s="66">
        <f t="shared" ca="1" si="24"/>
        <v>0</v>
      </c>
      <c r="G62" s="66">
        <f t="shared" ca="1" si="24"/>
        <v>0</v>
      </c>
      <c r="H62" s="66" t="str">
        <f t="shared" si="24"/>
        <v/>
      </c>
      <c r="I62" s="66" t="str">
        <f t="shared" si="24"/>
        <v/>
      </c>
      <c r="J62" s="66" t="str">
        <f t="shared" si="24"/>
        <v/>
      </c>
      <c r="K62" s="66" t="str">
        <f t="shared" si="24"/>
        <v/>
      </c>
      <c r="L62" s="66" t="str">
        <f t="shared" si="24"/>
        <v/>
      </c>
      <c r="N62" t="str">
        <f>IF(A62="","","Available water - Account Withdraw")</f>
        <v>Available water - Account Withdraw</v>
      </c>
    </row>
    <row r="63" spans="1:14" x14ac:dyDescent="0.35">
      <c r="C63"/>
    </row>
    <row r="64" spans="1:14" x14ac:dyDescent="0.35">
      <c r="A64" s="143" t="str">
        <f>IF(A$6="","[Unused]",A6)</f>
        <v>Lower Basin</v>
      </c>
      <c r="B64" s="143"/>
      <c r="C64" s="143"/>
      <c r="D64" s="143"/>
      <c r="E64" s="143"/>
      <c r="F64" s="143"/>
      <c r="G64" s="143"/>
      <c r="H64" s="143"/>
      <c r="I64" s="143"/>
      <c r="J64" s="143"/>
      <c r="K64" s="143"/>
      <c r="L64" s="143"/>
      <c r="M64" s="144" t="s">
        <v>107</v>
      </c>
      <c r="N64" s="143" t="s">
        <v>172</v>
      </c>
    </row>
    <row r="65" spans="1:14" x14ac:dyDescent="0.35">
      <c r="A65" s="32" t="str">
        <f>IF(A64="[Unused]","","   Volume of Sales(+) and Purchases(-) [maf]")</f>
        <v xml:space="preserve">   Volume of Sales(+) and Purchases(-) [maf]</v>
      </c>
      <c r="C65" s="134"/>
      <c r="D65" s="134"/>
      <c r="E65" s="134"/>
      <c r="F65" s="134"/>
      <c r="G65" s="134"/>
      <c r="H65" s="134"/>
      <c r="I65" s="134"/>
      <c r="J65" s="134"/>
      <c r="K65" s="134"/>
      <c r="L65" s="134"/>
      <c r="M65" s="67">
        <f>SUM(C65:L65)</f>
        <v>0</v>
      </c>
      <c r="N65" t="str">
        <f>IF(A65="","",N57)</f>
        <v>Add if multiple transactions, e.g.: 0.5 + 0.25</v>
      </c>
    </row>
    <row r="66" spans="1:14" x14ac:dyDescent="0.35">
      <c r="A66" s="32" t="str">
        <f>IF(A65="","","   Cash Intake(+) and Payments(-) [$ Mill]")</f>
        <v xml:space="preserve">   Cash Intake(+) and Payments(-) [$ Mill]</v>
      </c>
      <c r="C66" s="135"/>
      <c r="D66" s="135"/>
      <c r="E66" s="135"/>
      <c r="F66" s="135"/>
      <c r="G66" s="135"/>
      <c r="H66" s="135"/>
      <c r="I66" s="135"/>
      <c r="J66" s="135"/>
      <c r="K66" s="135"/>
      <c r="L66" s="135"/>
      <c r="M66" s="65">
        <f>SUM(C66:L66)</f>
        <v>0</v>
      </c>
      <c r="N66" t="str">
        <f t="shared" ref="N66:N70" si="25">IF(A66="","",N58)</f>
        <v>Add if multiple transactions, e.g.: $350*0.5 + $450*0.25</v>
      </c>
    </row>
    <row r="67" spans="1:14" x14ac:dyDescent="0.35">
      <c r="A67" s="32" t="str">
        <f>IF(A66="","","   Volume all players (should be zero)")</f>
        <v xml:space="preserve">   Volume all players (should be zero)</v>
      </c>
      <c r="C67" s="67">
        <f t="shared" ref="C67:M67" ca="1" si="26">IF(OR(C$26="",$A67=""),"",C$112)</f>
        <v>0</v>
      </c>
      <c r="D67" s="67">
        <f t="shared" ca="1" si="26"/>
        <v>0</v>
      </c>
      <c r="E67" s="67">
        <f t="shared" ca="1" si="26"/>
        <v>0.2</v>
      </c>
      <c r="F67" s="67">
        <f t="shared" ca="1" si="26"/>
        <v>0.1</v>
      </c>
      <c r="G67" s="67">
        <f t="shared" ca="1" si="26"/>
        <v>0</v>
      </c>
      <c r="H67" s="67" t="str">
        <f t="shared" si="26"/>
        <v/>
      </c>
      <c r="I67" s="67" t="str">
        <f t="shared" si="26"/>
        <v/>
      </c>
      <c r="J67" s="67" t="str">
        <f t="shared" si="26"/>
        <v/>
      </c>
      <c r="K67" s="67" t="str">
        <f t="shared" si="26"/>
        <v/>
      </c>
      <c r="L67" s="67" t="str">
        <f t="shared" si="26"/>
        <v/>
      </c>
      <c r="M67" t="str">
        <f t="shared" si="26"/>
        <v/>
      </c>
      <c r="N67" t="str">
        <f t="shared" si="25"/>
        <v>If non-zero, players need to change amount(s)</v>
      </c>
    </row>
    <row r="68" spans="1:14" x14ac:dyDescent="0.35">
      <c r="A68" s="1" t="str">
        <f>IF(A66="","","   Available Water [maf]")</f>
        <v xml:space="preserve">   Available Water [maf]</v>
      </c>
      <c r="C68" s="14">
        <f t="shared" ref="C68:L68" si="27">IF(OR(C$26="",$A68=""),"",C31+C49-C41-C65)</f>
        <v>10.469981523290789</v>
      </c>
      <c r="D68" s="14">
        <f t="shared" ca="1" si="27"/>
        <v>9.449352045114523</v>
      </c>
      <c r="E68" s="14">
        <f t="shared" ca="1" si="27"/>
        <v>8.7169807300538658</v>
      </c>
      <c r="F68" s="14">
        <f t="shared" ca="1" si="27"/>
        <v>8.398564200417276</v>
      </c>
      <c r="G68" s="14">
        <f t="shared" ca="1" si="27"/>
        <v>8.1427875840007129</v>
      </c>
      <c r="H68" s="14" t="str">
        <f t="shared" si="27"/>
        <v/>
      </c>
      <c r="I68" s="14" t="str">
        <f t="shared" si="27"/>
        <v/>
      </c>
      <c r="J68" s="14" t="str">
        <f t="shared" si="27"/>
        <v/>
      </c>
      <c r="K68" s="14" t="str">
        <f t="shared" si="27"/>
        <v/>
      </c>
      <c r="L68" s="14" t="str">
        <f t="shared" si="27"/>
        <v/>
      </c>
      <c r="N68" t="str">
        <f t="shared" si="25"/>
        <v>Available water = Account Balance + Available Inflow - Evaporation + Sales - Purchases</v>
      </c>
    </row>
    <row r="69" spans="1:14" x14ac:dyDescent="0.35">
      <c r="A69" s="1" t="str">
        <f>IF(A68="","","   Account Withdraw [maf]")</f>
        <v xml:space="preserve">   Account Withdraw [maf]</v>
      </c>
      <c r="C69" s="136">
        <f>IF(C27&lt;&gt;"",7.5-VLOOKUP(C38,LowerBasinCuts!$C$5:$P$13,14),"")</f>
        <v>7.2590000000000003</v>
      </c>
      <c r="D69" s="136">
        <f ca="1">IF(D27&lt;&gt;"",7.5-VLOOKUP(D38,LowerBasinCuts!$C$5:$P$13,14),"")</f>
        <v>6.8870000000000005</v>
      </c>
      <c r="E69" s="136">
        <f ca="1">IF(E27&lt;&gt;"",7.5-VLOOKUP(E38,LowerBasinCuts!$C$5:$P$13,14),"")</f>
        <v>6.4870000000000001</v>
      </c>
      <c r="F69" s="136">
        <f ca="1">IF(F27&lt;&gt;"",7.5-VLOOKUP(F38,LowerBasinCuts!$C$5:$P$13,14),"")</f>
        <v>6.4290000000000003</v>
      </c>
      <c r="G69" s="136">
        <f ca="1">IF(G27&lt;&gt;"",7.5-VLOOKUP(G38,LowerBasinCuts!$C$5:$P$13,14),"")</f>
        <v>6.4290000000000003</v>
      </c>
      <c r="H69" s="136"/>
      <c r="I69" s="136"/>
      <c r="J69" s="136"/>
      <c r="K69" s="136"/>
      <c r="L69" s="136"/>
      <c r="N69" t="str">
        <f t="shared" si="25"/>
        <v>Must be less than Available water</v>
      </c>
    </row>
    <row r="70" spans="1:14" x14ac:dyDescent="0.35">
      <c r="A70" s="32" t="str">
        <f>IF(A69="","","   End of Year Balance [maf]")</f>
        <v xml:space="preserve">   End of Year Balance [maf]</v>
      </c>
      <c r="C70" s="66">
        <f>IF(OR(C$26="",$A70=""),"",C68-C69)</f>
        <v>3.2109815232907888</v>
      </c>
      <c r="D70" s="66">
        <f t="shared" ref="D70:L70" ca="1" si="28">IF(OR(D$26="",$A70=""),"",D68-D69)</f>
        <v>2.5623520451145225</v>
      </c>
      <c r="E70" s="66">
        <f t="shared" ca="1" si="28"/>
        <v>2.2299807300538657</v>
      </c>
      <c r="F70" s="66">
        <f t="shared" ca="1" si="28"/>
        <v>1.9695642004172758</v>
      </c>
      <c r="G70" s="66">
        <f t="shared" ca="1" si="28"/>
        <v>1.7137875840007126</v>
      </c>
      <c r="H70" s="66" t="str">
        <f t="shared" si="28"/>
        <v/>
      </c>
      <c r="I70" s="66" t="str">
        <f t="shared" si="28"/>
        <v/>
      </c>
      <c r="J70" s="66" t="str">
        <f t="shared" si="28"/>
        <v/>
      </c>
      <c r="K70" s="66" t="str">
        <f t="shared" si="28"/>
        <v/>
      </c>
      <c r="L70" s="66" t="str">
        <f t="shared" si="28"/>
        <v/>
      </c>
      <c r="N70" t="str">
        <f t="shared" si="25"/>
        <v>Available water - Account Withdraw</v>
      </c>
    </row>
    <row r="71" spans="1:14" x14ac:dyDescent="0.35">
      <c r="C71"/>
    </row>
    <row r="72" spans="1:14" x14ac:dyDescent="0.35">
      <c r="A72" s="143" t="str">
        <f>IF(A$7="","[Unused]",A7)</f>
        <v>Mexico</v>
      </c>
      <c r="B72" s="143"/>
      <c r="C72" s="143"/>
      <c r="D72" s="143"/>
      <c r="E72" s="143"/>
      <c r="F72" s="143"/>
      <c r="G72" s="143"/>
      <c r="H72" s="143"/>
      <c r="I72" s="143"/>
      <c r="J72" s="143"/>
      <c r="K72" s="143"/>
      <c r="L72" s="143"/>
      <c r="M72" s="144" t="s">
        <v>107</v>
      </c>
      <c r="N72" s="143" t="s">
        <v>172</v>
      </c>
    </row>
    <row r="73" spans="1:14" x14ac:dyDescent="0.35">
      <c r="A73" s="32" t="str">
        <f>IF(A72="[Unused]","","   Volume of Sales(+) and Purchases(-) [maf]")</f>
        <v xml:space="preserve">   Volume of Sales(+) and Purchases(-) [maf]</v>
      </c>
      <c r="C73" s="134"/>
      <c r="D73" s="134"/>
      <c r="E73" s="134">
        <v>0.2</v>
      </c>
      <c r="F73" s="134">
        <v>0.1</v>
      </c>
      <c r="G73" s="134"/>
      <c r="H73" s="134"/>
      <c r="I73" s="134"/>
      <c r="J73" s="134"/>
      <c r="K73" s="134"/>
      <c r="L73" s="134"/>
      <c r="M73" s="67">
        <f>SUM(C73:L73)</f>
        <v>0.30000000000000004</v>
      </c>
      <c r="N73" t="str">
        <f>IF(A73="","",N65)</f>
        <v>Add if multiple transactions, e.g.: 0.5 + 0.25</v>
      </c>
    </row>
    <row r="74" spans="1:14" x14ac:dyDescent="0.35">
      <c r="A74" s="32" t="str">
        <f>IF(A73="","","   Cash Intake(+) and Payments(-) [$ Mill]")</f>
        <v xml:space="preserve">   Cash Intake(+) and Payments(-) [$ Mill]</v>
      </c>
      <c r="C74" s="135"/>
      <c r="D74" s="135"/>
      <c r="E74" s="135">
        <f>1500*E73</f>
        <v>300</v>
      </c>
      <c r="F74" s="135">
        <f>1500*F73</f>
        <v>150</v>
      </c>
      <c r="G74" s="135"/>
      <c r="H74" s="135"/>
      <c r="I74" s="135"/>
      <c r="J74" s="135"/>
      <c r="K74" s="135"/>
      <c r="L74" s="135"/>
      <c r="M74" s="65">
        <f>SUM(C74:L74)</f>
        <v>450</v>
      </c>
      <c r="N74" t="str">
        <f t="shared" ref="N74:N78" si="29">IF(A74="","",N66)</f>
        <v>Add if multiple transactions, e.g.: $350*0.5 + $450*0.25</v>
      </c>
    </row>
    <row r="75" spans="1:14" x14ac:dyDescent="0.35">
      <c r="A75" s="32" t="str">
        <f>IF(A74="","","   Volume all players (should be zero)")</f>
        <v xml:space="preserve">   Volume all players (should be zero)</v>
      </c>
      <c r="C75" s="67">
        <f t="shared" ref="C75:M75" ca="1" si="30">IF(OR(C$26="",$A75=""),"",C$112)</f>
        <v>0</v>
      </c>
      <c r="D75" s="67">
        <f t="shared" ca="1" si="30"/>
        <v>0</v>
      </c>
      <c r="E75" s="67">
        <f t="shared" ca="1" si="30"/>
        <v>0.2</v>
      </c>
      <c r="F75" s="67">
        <f t="shared" ca="1" si="30"/>
        <v>0.1</v>
      </c>
      <c r="G75" s="67">
        <f t="shared" ca="1" si="30"/>
        <v>0</v>
      </c>
      <c r="H75" s="67" t="str">
        <f t="shared" si="30"/>
        <v/>
      </c>
      <c r="I75" s="67" t="str">
        <f t="shared" si="30"/>
        <v/>
      </c>
      <c r="J75" s="67" t="str">
        <f t="shared" si="30"/>
        <v/>
      </c>
      <c r="K75" s="67" t="str">
        <f t="shared" si="30"/>
        <v/>
      </c>
      <c r="L75" s="67" t="str">
        <f t="shared" si="30"/>
        <v/>
      </c>
      <c r="M75" t="str">
        <f t="shared" si="30"/>
        <v/>
      </c>
      <c r="N75" t="str">
        <f t="shared" si="29"/>
        <v>If non-zero, players need to change amount(s)</v>
      </c>
    </row>
    <row r="76" spans="1:14" x14ac:dyDescent="0.35">
      <c r="A76" s="1" t="str">
        <f>IF(A74="","","   Available Water [maf]")</f>
        <v xml:space="preserve">   Available Water [maf]</v>
      </c>
      <c r="C76" s="14">
        <f t="shared" ref="C76:L76" si="31">IF(OR(C$26="",$A76=""),"",C32+C50-C42-C73)</f>
        <v>1.6129063098110585</v>
      </c>
      <c r="D76" s="14">
        <f t="shared" ca="1" si="31"/>
        <v>1.5654335294567918</v>
      </c>
      <c r="E76" s="14">
        <f t="shared" ca="1" si="31"/>
        <v>1.290520028583515</v>
      </c>
      <c r="F76" s="14">
        <f ca="1">IF(OR(F$26="",$A76=""),"",F32+F50-F42-F73)</f>
        <v>1.1855081673867709</v>
      </c>
      <c r="G76" s="14">
        <f t="shared" ca="1" si="31"/>
        <v>1.1942050054699995</v>
      </c>
      <c r="H76" s="14" t="str">
        <f t="shared" si="31"/>
        <v/>
      </c>
      <c r="I76" s="14" t="str">
        <f t="shared" si="31"/>
        <v/>
      </c>
      <c r="J76" s="14" t="str">
        <f t="shared" si="31"/>
        <v/>
      </c>
      <c r="K76" s="14" t="str">
        <f t="shared" si="31"/>
        <v/>
      </c>
      <c r="L76" s="14" t="str">
        <f t="shared" si="31"/>
        <v/>
      </c>
      <c r="N76" t="str">
        <f t="shared" si="29"/>
        <v>Available water = Account Balance + Available Inflow - Evaporation + Sales - Purchases</v>
      </c>
    </row>
    <row r="77" spans="1:14" x14ac:dyDescent="0.35">
      <c r="A77" s="1" t="str">
        <f>IF(A76="","","   Account Withdraw [maf]")</f>
        <v xml:space="preserve">   Account Withdraw [maf]</v>
      </c>
      <c r="C77" s="136">
        <f>C46</f>
        <v>1.4473333333333334</v>
      </c>
      <c r="D77" s="136">
        <f t="shared" ref="D77:G77" ca="1" si="32">D46</f>
        <v>1.4083333333333332</v>
      </c>
      <c r="E77" s="136">
        <f t="shared" ca="1" si="32"/>
        <v>1.3423333333333334</v>
      </c>
      <c r="F77" s="136">
        <f t="shared" ca="1" si="32"/>
        <v>1.3343333333333334</v>
      </c>
      <c r="G77" s="136">
        <f t="shared" ca="1" si="32"/>
        <v>1.3343333333333334</v>
      </c>
      <c r="H77" s="136"/>
      <c r="I77" s="136"/>
      <c r="J77" s="136"/>
      <c r="K77" s="136"/>
      <c r="L77" s="136"/>
      <c r="N77" t="str">
        <f t="shared" si="29"/>
        <v>Must be less than Available water</v>
      </c>
    </row>
    <row r="78" spans="1:14" x14ac:dyDescent="0.35">
      <c r="A78" s="32" t="str">
        <f>IF(A77="","","   End of Year Balance [maf]")</f>
        <v xml:space="preserve">   End of Year Balance [maf]</v>
      </c>
      <c r="C78" s="66">
        <f>IF(OR(C$26="",$A78=""),"",C76-C77)</f>
        <v>0.16557297647772518</v>
      </c>
      <c r="D78" s="66">
        <f t="shared" ref="D78:L78" ca="1" si="33">IF(OR(D$26="",$A78=""),"",D76-D77)</f>
        <v>0.1571001961234586</v>
      </c>
      <c r="E78" s="66">
        <f t="shared" ca="1" si="33"/>
        <v>-5.1813304749818379E-2</v>
      </c>
      <c r="F78" s="66">
        <f t="shared" ca="1" si="33"/>
        <v>-0.14882516594656248</v>
      </c>
      <c r="G78" s="66">
        <f t="shared" ca="1" si="33"/>
        <v>-0.14012832786333385</v>
      </c>
      <c r="H78" s="66" t="str">
        <f t="shared" si="33"/>
        <v/>
      </c>
      <c r="I78" s="66" t="str">
        <f t="shared" si="33"/>
        <v/>
      </c>
      <c r="J78" s="66" t="str">
        <f t="shared" si="33"/>
        <v/>
      </c>
      <c r="K78" s="66" t="str">
        <f t="shared" si="33"/>
        <v/>
      </c>
      <c r="L78" s="66" t="str">
        <f t="shared" si="33"/>
        <v/>
      </c>
      <c r="N78" t="str">
        <f t="shared" si="29"/>
        <v>Available water - Account Withdraw</v>
      </c>
    </row>
    <row r="79" spans="1:14" x14ac:dyDescent="0.35">
      <c r="C79"/>
    </row>
    <row r="80" spans="1:14" x14ac:dyDescent="0.35">
      <c r="A80" s="143" t="str">
        <f>IF(A$8="","[Unused]",A8)</f>
        <v>Shared, Reserve</v>
      </c>
      <c r="B80" s="143"/>
      <c r="C80" s="143"/>
      <c r="D80" s="143"/>
      <c r="E80" s="143"/>
      <c r="F80" s="143"/>
      <c r="G80" s="143"/>
      <c r="H80" s="143"/>
      <c r="I80" s="143"/>
      <c r="J80" s="143"/>
      <c r="K80" s="143"/>
      <c r="L80" s="143"/>
      <c r="M80" s="144" t="s">
        <v>107</v>
      </c>
      <c r="N80" s="143" t="s">
        <v>172</v>
      </c>
    </row>
    <row r="81" spans="1:14" x14ac:dyDescent="0.35">
      <c r="A81" s="32" t="str">
        <f>IF(A80="[Unused]","","   Volume of Sales(+) and Purchases(-) [maf]")</f>
        <v xml:space="preserve">   Volume of Sales(+) and Purchases(-) [maf]</v>
      </c>
      <c r="C81" s="134"/>
      <c r="D81" s="134"/>
      <c r="E81" s="134"/>
      <c r="F81" s="134"/>
      <c r="G81" s="134"/>
      <c r="H81" s="134"/>
      <c r="I81" s="134"/>
      <c r="J81" s="134"/>
      <c r="K81" s="134"/>
      <c r="L81" s="134"/>
      <c r="M81" s="67">
        <f>SUM(C81:L81)</f>
        <v>0</v>
      </c>
      <c r="N81" t="str">
        <f>IF(A81="","",N73)</f>
        <v>Add if multiple transactions, e.g.: 0.5 + 0.25</v>
      </c>
    </row>
    <row r="82" spans="1:14" x14ac:dyDescent="0.35">
      <c r="A82" s="32" t="str">
        <f>IF(A81="","","   Cash Intake(+) and Payments(-) [$ Mill]")</f>
        <v xml:space="preserve">   Cash Intake(+) and Payments(-) [$ Mill]</v>
      </c>
      <c r="C82" s="135"/>
      <c r="D82" s="135"/>
      <c r="E82" s="135"/>
      <c r="F82" s="135"/>
      <c r="G82" s="135"/>
      <c r="H82" s="135"/>
      <c r="I82" s="135"/>
      <c r="J82" s="135"/>
      <c r="K82" s="135"/>
      <c r="L82" s="135"/>
      <c r="M82" s="65">
        <f>SUM(C82:L82)</f>
        <v>0</v>
      </c>
      <c r="N82" t="str">
        <f t="shared" ref="N82:N86" si="34">IF(A82="","",N74)</f>
        <v>Add if multiple transactions, e.g.: $350*0.5 + $450*0.25</v>
      </c>
    </row>
    <row r="83" spans="1:14" x14ac:dyDescent="0.35">
      <c r="A83" s="32" t="str">
        <f>IF(A82="","","   Volume all players (should be zero)")</f>
        <v xml:space="preserve">   Volume all players (should be zero)</v>
      </c>
      <c r="C83" s="67">
        <f t="shared" ref="C83:M83" ca="1" si="35">IF(OR(C$26="",$A83=""),"",C$112)</f>
        <v>0</v>
      </c>
      <c r="D83" s="67">
        <f t="shared" ca="1" si="35"/>
        <v>0</v>
      </c>
      <c r="E83" s="67">
        <f t="shared" ca="1" si="35"/>
        <v>0.2</v>
      </c>
      <c r="F83" s="67">
        <f t="shared" ca="1" si="35"/>
        <v>0.1</v>
      </c>
      <c r="G83" s="67">
        <f t="shared" ca="1" si="35"/>
        <v>0</v>
      </c>
      <c r="H83" s="67" t="str">
        <f t="shared" si="35"/>
        <v/>
      </c>
      <c r="I83" s="67" t="str">
        <f t="shared" si="35"/>
        <v/>
      </c>
      <c r="J83" s="67" t="str">
        <f t="shared" si="35"/>
        <v/>
      </c>
      <c r="K83" s="67" t="str">
        <f t="shared" si="35"/>
        <v/>
      </c>
      <c r="L83" s="67" t="str">
        <f t="shared" si="35"/>
        <v/>
      </c>
      <c r="M83" t="str">
        <f t="shared" si="35"/>
        <v/>
      </c>
      <c r="N83" t="str">
        <f t="shared" si="34"/>
        <v>If non-zero, players need to change amount(s)</v>
      </c>
    </row>
    <row r="84" spans="1:14" x14ac:dyDescent="0.35">
      <c r="A84" s="1" t="str">
        <f>IF(A82="","","   Available Water [maf]")</f>
        <v xml:space="preserve">   Available Water [maf]</v>
      </c>
      <c r="C84" s="14">
        <f t="shared" ref="C84:L84" si="36">IF(OR(C$26="",$A84=""),"",C33+C51-C43-C81)</f>
        <v>11.59116925</v>
      </c>
      <c r="D84" s="14">
        <f t="shared" ca="1" si="36"/>
        <v>11.59116925</v>
      </c>
      <c r="E84" s="14">
        <f t="shared" ca="1" si="36"/>
        <v>11.59116925</v>
      </c>
      <c r="F84" s="14">
        <f t="shared" ca="1" si="36"/>
        <v>11.59116925</v>
      </c>
      <c r="G84" s="14">
        <f t="shared" ca="1" si="36"/>
        <v>11.59116925</v>
      </c>
      <c r="H84" s="14" t="str">
        <f t="shared" si="36"/>
        <v/>
      </c>
      <c r="I84" s="14" t="str">
        <f t="shared" si="36"/>
        <v/>
      </c>
      <c r="J84" s="14" t="str">
        <f t="shared" si="36"/>
        <v/>
      </c>
      <c r="K84" s="14" t="str">
        <f t="shared" si="36"/>
        <v/>
      </c>
      <c r="L84" s="14" t="str">
        <f t="shared" si="36"/>
        <v/>
      </c>
      <c r="N84" t="str">
        <f t="shared" si="34"/>
        <v>Available water = Account Balance + Available Inflow - Evaporation + Sales - Purchases</v>
      </c>
    </row>
    <row r="85" spans="1:14" x14ac:dyDescent="0.35">
      <c r="A85" s="1" t="str">
        <f>IF(A84="","","   Account Withdraw [maf]")</f>
        <v xml:space="preserve">   Account Withdraw [maf]</v>
      </c>
      <c r="C85" s="136"/>
      <c r="D85" s="136"/>
      <c r="E85" s="136"/>
      <c r="F85" s="136"/>
      <c r="G85" s="136"/>
      <c r="H85" s="136"/>
      <c r="I85" s="136"/>
      <c r="J85" s="136"/>
      <c r="K85" s="136"/>
      <c r="L85" s="136"/>
      <c r="N85" t="str">
        <f t="shared" si="34"/>
        <v>Must be less than Available water</v>
      </c>
    </row>
    <row r="86" spans="1:14" x14ac:dyDescent="0.35">
      <c r="A86" s="32" t="str">
        <f>IF(A85="","","   End of Year Balance [maf]")</f>
        <v xml:space="preserve">   End of Year Balance [maf]</v>
      </c>
      <c r="C86" s="66">
        <f>IF(OR(C$26="",$A86=""),"",C84-C85)</f>
        <v>11.59116925</v>
      </c>
      <c r="D86" s="66">
        <f t="shared" ref="D86:L86" ca="1" si="37">IF(OR(D$26="",$A86=""),"",D84-D85)</f>
        <v>11.59116925</v>
      </c>
      <c r="E86" s="66">
        <f t="shared" ca="1" si="37"/>
        <v>11.59116925</v>
      </c>
      <c r="F86" s="66">
        <f t="shared" ca="1" si="37"/>
        <v>11.59116925</v>
      </c>
      <c r="G86" s="66">
        <f t="shared" ca="1" si="37"/>
        <v>11.59116925</v>
      </c>
      <c r="H86" s="66" t="str">
        <f t="shared" si="37"/>
        <v/>
      </c>
      <c r="I86" s="66" t="str">
        <f t="shared" si="37"/>
        <v/>
      </c>
      <c r="J86" s="66" t="str">
        <f t="shared" si="37"/>
        <v/>
      </c>
      <c r="K86" s="66" t="str">
        <f t="shared" si="37"/>
        <v/>
      </c>
      <c r="L86" s="66" t="str">
        <f t="shared" si="37"/>
        <v/>
      </c>
      <c r="N86" t="str">
        <f t="shared" si="34"/>
        <v>Available water - Account Withdraw</v>
      </c>
    </row>
    <row r="87" spans="1:14" x14ac:dyDescent="0.35">
      <c r="C87"/>
    </row>
    <row r="88" spans="1:14" x14ac:dyDescent="0.35">
      <c r="A88" s="143" t="str">
        <f>IF(A$9="","[Unused]",A9)</f>
        <v>[Unused]</v>
      </c>
      <c r="B88" s="143"/>
      <c r="C88" s="143"/>
      <c r="D88" s="143"/>
      <c r="E88" s="143"/>
      <c r="F88" s="143"/>
      <c r="G88" s="143"/>
      <c r="H88" s="143"/>
      <c r="I88" s="143"/>
      <c r="J88" s="143"/>
      <c r="K88" s="143"/>
      <c r="L88" s="143"/>
      <c r="M88" s="144" t="s">
        <v>107</v>
      </c>
      <c r="N88" s="143" t="s">
        <v>172</v>
      </c>
    </row>
    <row r="89" spans="1:14" x14ac:dyDescent="0.35">
      <c r="A89" s="32" t="str">
        <f>IF(A88="[Unused]","","   Volume of Sales(+) and Purchases(-) [maf]")</f>
        <v/>
      </c>
      <c r="C89" s="134"/>
      <c r="D89" s="134"/>
      <c r="E89" s="134"/>
      <c r="F89" s="134"/>
      <c r="G89" s="134"/>
      <c r="H89" s="134"/>
      <c r="I89" s="134"/>
      <c r="J89" s="134"/>
      <c r="K89" s="134"/>
      <c r="L89" s="134"/>
      <c r="M89" s="67">
        <f>SUM(C89:L89)</f>
        <v>0</v>
      </c>
      <c r="N89" t="str">
        <f>IF(A89="","",N81)</f>
        <v/>
      </c>
    </row>
    <row r="90" spans="1:14" x14ac:dyDescent="0.35">
      <c r="A90" s="32" t="str">
        <f>IF(A89="","","   Cash Intake(+) and Payments(-) [$ Mill]")</f>
        <v/>
      </c>
      <c r="C90" s="135"/>
      <c r="D90" s="135"/>
      <c r="E90" s="135"/>
      <c r="F90" s="135"/>
      <c r="G90" s="135"/>
      <c r="H90" s="135"/>
      <c r="I90" s="135"/>
      <c r="J90" s="135"/>
      <c r="K90" s="135"/>
      <c r="L90" s="135"/>
      <c r="M90" s="65">
        <f>SUM(C90:L90)</f>
        <v>0</v>
      </c>
      <c r="N90" t="str">
        <f t="shared" ref="N90:N94" si="38">IF(A90="","",N82)</f>
        <v/>
      </c>
    </row>
    <row r="91" spans="1:14" x14ac:dyDescent="0.35">
      <c r="A91" s="32" t="str">
        <f>IF(A90="","","   Volume all players (should be zero)")</f>
        <v/>
      </c>
      <c r="C91" s="67" t="str">
        <f t="shared" ref="C91:M91" si="39">IF(OR(C$26="",$A91=""),"",C$112)</f>
        <v/>
      </c>
      <c r="D91" s="67" t="str">
        <f t="shared" si="39"/>
        <v/>
      </c>
      <c r="E91" s="67" t="str">
        <f t="shared" si="39"/>
        <v/>
      </c>
      <c r="F91" s="67" t="str">
        <f t="shared" si="39"/>
        <v/>
      </c>
      <c r="G91" s="67" t="str">
        <f t="shared" si="39"/>
        <v/>
      </c>
      <c r="H91" s="67" t="str">
        <f t="shared" si="39"/>
        <v/>
      </c>
      <c r="I91" s="67" t="str">
        <f t="shared" si="39"/>
        <v/>
      </c>
      <c r="J91" s="67" t="str">
        <f t="shared" si="39"/>
        <v/>
      </c>
      <c r="K91" s="67" t="str">
        <f t="shared" si="39"/>
        <v/>
      </c>
      <c r="L91" s="67" t="str">
        <f t="shared" si="39"/>
        <v/>
      </c>
      <c r="M91" t="str">
        <f t="shared" si="39"/>
        <v/>
      </c>
      <c r="N91" t="str">
        <f t="shared" si="38"/>
        <v/>
      </c>
    </row>
    <row r="92" spans="1:14" x14ac:dyDescent="0.35">
      <c r="A92" s="1" t="str">
        <f>IF(A90="","","   Available Water [maf]")</f>
        <v/>
      </c>
      <c r="C92" s="14" t="str">
        <f t="shared" ref="C92:L92" si="40">IF(OR(C$26="",$A92=""),"",C34+C52-C44-C89)</f>
        <v/>
      </c>
      <c r="D92" s="14" t="str">
        <f t="shared" si="40"/>
        <v/>
      </c>
      <c r="E92" s="14" t="str">
        <f t="shared" si="40"/>
        <v/>
      </c>
      <c r="F92" s="14" t="str">
        <f t="shared" si="40"/>
        <v/>
      </c>
      <c r="G92" s="14" t="str">
        <f t="shared" si="40"/>
        <v/>
      </c>
      <c r="H92" s="14" t="str">
        <f t="shared" si="40"/>
        <v/>
      </c>
      <c r="I92" s="14" t="str">
        <f t="shared" si="40"/>
        <v/>
      </c>
      <c r="J92" s="14" t="str">
        <f t="shared" si="40"/>
        <v/>
      </c>
      <c r="K92" s="14" t="str">
        <f t="shared" si="40"/>
        <v/>
      </c>
      <c r="L92" s="14" t="str">
        <f t="shared" si="40"/>
        <v/>
      </c>
      <c r="N92" t="str">
        <f t="shared" si="38"/>
        <v/>
      </c>
    </row>
    <row r="93" spans="1:14" x14ac:dyDescent="0.35">
      <c r="A93" s="1" t="str">
        <f>IF(A92="","","   Account Withdraw [maf]")</f>
        <v/>
      </c>
      <c r="C93" s="136"/>
      <c r="D93" s="136"/>
      <c r="E93" s="136"/>
      <c r="F93" s="136"/>
      <c r="G93" s="136"/>
      <c r="H93" s="136"/>
      <c r="I93" s="136"/>
      <c r="J93" s="136"/>
      <c r="K93" s="136"/>
      <c r="L93" s="136"/>
      <c r="N93" t="str">
        <f t="shared" si="38"/>
        <v/>
      </c>
    </row>
    <row r="94" spans="1:14" x14ac:dyDescent="0.35">
      <c r="A94" s="32" t="str">
        <f>IF(A93="","","   End of Year Balance [maf]")</f>
        <v/>
      </c>
      <c r="C94" s="66" t="str">
        <f>IF(OR(C$26="",$A94=""),"",C92-C93)</f>
        <v/>
      </c>
      <c r="D94" s="66" t="str">
        <f t="shared" ref="D94:L94" si="41">IF(OR(D$26="",$A94=""),"",D92-D93)</f>
        <v/>
      </c>
      <c r="E94" s="66" t="str">
        <f t="shared" si="41"/>
        <v/>
      </c>
      <c r="F94" s="66" t="str">
        <f t="shared" si="41"/>
        <v/>
      </c>
      <c r="G94" s="66" t="str">
        <f t="shared" si="41"/>
        <v/>
      </c>
      <c r="H94" s="66" t="str">
        <f t="shared" si="41"/>
        <v/>
      </c>
      <c r="I94" s="66" t="str">
        <f t="shared" si="41"/>
        <v/>
      </c>
      <c r="J94" s="66" t="str">
        <f t="shared" si="41"/>
        <v/>
      </c>
      <c r="K94" s="66" t="str">
        <f t="shared" si="41"/>
        <v/>
      </c>
      <c r="L94" s="66" t="str">
        <f t="shared" si="41"/>
        <v/>
      </c>
      <c r="N94" t="str">
        <f t="shared" si="38"/>
        <v/>
      </c>
    </row>
    <row r="95" spans="1:14" x14ac:dyDescent="0.35">
      <c r="C95"/>
    </row>
    <row r="96" spans="1:14" x14ac:dyDescent="0.35">
      <c r="A96" s="143" t="str">
        <f>IF(A$10="","[Unused]",A10)</f>
        <v>[Unused]</v>
      </c>
      <c r="B96" s="143"/>
      <c r="C96" s="143"/>
      <c r="D96" s="143"/>
      <c r="E96" s="143"/>
      <c r="F96" s="143"/>
      <c r="G96" s="143"/>
      <c r="H96" s="143"/>
      <c r="I96" s="143"/>
      <c r="J96" s="143"/>
      <c r="K96" s="143"/>
      <c r="L96" s="143"/>
      <c r="M96" s="144" t="s">
        <v>107</v>
      </c>
      <c r="N96" s="143" t="s">
        <v>172</v>
      </c>
    </row>
    <row r="97" spans="1:14" x14ac:dyDescent="0.35">
      <c r="A97" s="32" t="str">
        <f>IF(A96="[Unused]","","   Volume of Sales(+) and Purchases(-) [maf]")</f>
        <v/>
      </c>
      <c r="C97" s="134"/>
      <c r="D97" s="134"/>
      <c r="E97" s="134"/>
      <c r="F97" s="134"/>
      <c r="G97" s="134"/>
      <c r="H97" s="134"/>
      <c r="I97" s="134"/>
      <c r="J97" s="134"/>
      <c r="K97" s="134"/>
      <c r="L97" s="134"/>
      <c r="M97" s="67">
        <f>SUM(C97:L97)</f>
        <v>0</v>
      </c>
      <c r="N97" t="str">
        <f>IF(A97="","",N89)</f>
        <v/>
      </c>
    </row>
    <row r="98" spans="1:14" x14ac:dyDescent="0.35">
      <c r="A98" s="32" t="str">
        <f>IF(A97="","","   Cash Intake(+) and Payments(-) [$ Mill]")</f>
        <v/>
      </c>
      <c r="C98" s="135"/>
      <c r="D98" s="135"/>
      <c r="E98" s="135"/>
      <c r="F98" s="135"/>
      <c r="G98" s="135"/>
      <c r="H98" s="135"/>
      <c r="I98" s="135"/>
      <c r="J98" s="135"/>
      <c r="K98" s="135"/>
      <c r="L98" s="135"/>
      <c r="M98" s="65">
        <f>SUM(C98:L98)</f>
        <v>0</v>
      </c>
      <c r="N98" t="str">
        <f t="shared" ref="N98:N102" si="42">IF(A98="","",N90)</f>
        <v/>
      </c>
    </row>
    <row r="99" spans="1:14" x14ac:dyDescent="0.35">
      <c r="A99" s="32" t="str">
        <f>IF(A98="","","   Volume all players (should be zero)")</f>
        <v/>
      </c>
      <c r="C99" s="67" t="str">
        <f t="shared" ref="C99:M99" si="43">IF(OR(C$26="",$A99=""),"",C$112)</f>
        <v/>
      </c>
      <c r="D99" s="67" t="str">
        <f t="shared" si="43"/>
        <v/>
      </c>
      <c r="E99" s="67" t="str">
        <f t="shared" si="43"/>
        <v/>
      </c>
      <c r="F99" s="67" t="str">
        <f t="shared" si="43"/>
        <v/>
      </c>
      <c r="G99" s="67" t="str">
        <f t="shared" si="43"/>
        <v/>
      </c>
      <c r="H99" s="67" t="str">
        <f t="shared" si="43"/>
        <v/>
      </c>
      <c r="I99" s="67" t="str">
        <f t="shared" si="43"/>
        <v/>
      </c>
      <c r="J99" s="67" t="str">
        <f t="shared" si="43"/>
        <v/>
      </c>
      <c r="K99" s="67" t="str">
        <f t="shared" si="43"/>
        <v/>
      </c>
      <c r="L99" s="67" t="str">
        <f t="shared" si="43"/>
        <v/>
      </c>
      <c r="M99" t="str">
        <f t="shared" si="43"/>
        <v/>
      </c>
      <c r="N99" t="str">
        <f t="shared" si="42"/>
        <v/>
      </c>
    </row>
    <row r="100" spans="1:14" x14ac:dyDescent="0.35">
      <c r="A100" s="1" t="str">
        <f>IF(A98="","","   Available Water [maf]")</f>
        <v/>
      </c>
      <c r="C100" s="14" t="str">
        <f t="shared" ref="C100:L100" si="44">IF(OR(C$26="",$A100=""),"",C35+C53-C45-C97)</f>
        <v/>
      </c>
      <c r="D100" s="14" t="str">
        <f t="shared" si="44"/>
        <v/>
      </c>
      <c r="E100" s="14" t="str">
        <f t="shared" si="44"/>
        <v/>
      </c>
      <c r="F100" s="14" t="str">
        <f t="shared" si="44"/>
        <v/>
      </c>
      <c r="G100" s="14" t="str">
        <f t="shared" si="44"/>
        <v/>
      </c>
      <c r="H100" s="14" t="str">
        <f t="shared" si="44"/>
        <v/>
      </c>
      <c r="I100" s="14" t="str">
        <f t="shared" si="44"/>
        <v/>
      </c>
      <c r="J100" s="14" t="str">
        <f t="shared" si="44"/>
        <v/>
      </c>
      <c r="K100" s="14" t="str">
        <f t="shared" si="44"/>
        <v/>
      </c>
      <c r="L100" s="14" t="str">
        <f t="shared" si="44"/>
        <v/>
      </c>
      <c r="N100" t="str">
        <f t="shared" si="42"/>
        <v/>
      </c>
    </row>
    <row r="101" spans="1:14" x14ac:dyDescent="0.35">
      <c r="A101" s="1" t="str">
        <f>IF(A100="","","   Account Withdraw [maf]")</f>
        <v/>
      </c>
      <c r="C101" s="136"/>
      <c r="D101" s="136"/>
      <c r="E101" s="136"/>
      <c r="F101" s="136"/>
      <c r="G101" s="136"/>
      <c r="H101" s="136"/>
      <c r="I101" s="136"/>
      <c r="J101" s="136"/>
      <c r="K101" s="136"/>
      <c r="L101" s="136"/>
      <c r="N101" t="str">
        <f t="shared" si="42"/>
        <v/>
      </c>
    </row>
    <row r="102" spans="1:14" x14ac:dyDescent="0.35">
      <c r="A102" s="32" t="str">
        <f>IF(A101="","","   End of Year Balance [maf]")</f>
        <v/>
      </c>
      <c r="C102" s="66" t="str">
        <f>IF(OR(C$26="",$A102=""),"",C100-C101)</f>
        <v/>
      </c>
      <c r="D102" s="66" t="str">
        <f t="shared" ref="D102:L102" si="45">IF(OR(D$26="",$A102=""),"",D100-D101)</f>
        <v/>
      </c>
      <c r="E102" s="66" t="str">
        <f t="shared" si="45"/>
        <v/>
      </c>
      <c r="F102" s="66" t="str">
        <f t="shared" si="45"/>
        <v/>
      </c>
      <c r="G102" s="66" t="str">
        <f t="shared" si="45"/>
        <v/>
      </c>
      <c r="H102" s="66" t="str">
        <f t="shared" si="45"/>
        <v/>
      </c>
      <c r="I102" s="66" t="str">
        <f t="shared" si="45"/>
        <v/>
      </c>
      <c r="J102" s="66" t="str">
        <f t="shared" si="45"/>
        <v/>
      </c>
      <c r="K102" s="66" t="str">
        <f t="shared" si="45"/>
        <v/>
      </c>
      <c r="L102" s="66" t="str">
        <f t="shared" si="45"/>
        <v/>
      </c>
      <c r="N102" t="str">
        <f t="shared" si="42"/>
        <v/>
      </c>
    </row>
    <row r="103" spans="1:14" x14ac:dyDescent="0.35">
      <c r="C103"/>
    </row>
    <row r="104" spans="1:14" x14ac:dyDescent="0.35">
      <c r="A104" s="145" t="s">
        <v>183</v>
      </c>
      <c r="B104" s="145"/>
      <c r="C104" s="145"/>
      <c r="D104" s="145"/>
      <c r="E104" s="145"/>
      <c r="F104" s="145"/>
      <c r="G104" s="145"/>
      <c r="H104" s="145"/>
      <c r="I104" s="145"/>
      <c r="J104" s="145"/>
      <c r="K104" s="145"/>
      <c r="L104" s="145"/>
      <c r="M104" s="145"/>
      <c r="N104" s="145"/>
    </row>
    <row r="105" spans="1:14" x14ac:dyDescent="0.35">
      <c r="A105" s="1" t="s">
        <v>149</v>
      </c>
      <c r="C105"/>
      <c r="M105" t="s">
        <v>182</v>
      </c>
      <c r="N105" t="s">
        <v>150</v>
      </c>
    </row>
    <row r="106" spans="1:14" x14ac:dyDescent="0.35">
      <c r="A106" t="str">
        <f t="shared" ref="A106:A111" si="46">IF(A5="","","    "&amp;A5)</f>
        <v xml:space="preserve">    Upper Basin</v>
      </c>
      <c r="B106" s="1"/>
      <c r="C106" s="67">
        <f t="shared" ref="C106:L111" ca="1" si="47">IF(OR(C$26="",$A106=""),"",OFFSET(C$57,8*(ROW(B106)-ROW(B$106)),0))</f>
        <v>0</v>
      </c>
      <c r="D106" s="67">
        <f t="shared" ca="1" si="47"/>
        <v>0</v>
      </c>
      <c r="E106" s="67">
        <f t="shared" ca="1" si="47"/>
        <v>0</v>
      </c>
      <c r="F106" s="67">
        <f t="shared" ca="1" si="47"/>
        <v>0</v>
      </c>
      <c r="G106" s="67">
        <f t="shared" ca="1" si="47"/>
        <v>0</v>
      </c>
      <c r="H106" s="67" t="str">
        <f t="shared" ca="1" si="47"/>
        <v/>
      </c>
      <c r="I106" s="67" t="str">
        <f t="shared" ca="1" si="47"/>
        <v/>
      </c>
      <c r="J106" s="67" t="str">
        <f t="shared" ca="1" si="47"/>
        <v/>
      </c>
      <c r="K106" s="67" t="str">
        <f t="shared" ca="1" si="47"/>
        <v/>
      </c>
      <c r="L106" s="67" t="str">
        <f t="shared" ca="1" si="47"/>
        <v/>
      </c>
      <c r="M106" s="67">
        <f ca="1">IF(OR($A106=""),"",SUM(C106:L106))</f>
        <v>0</v>
      </c>
      <c r="N106" s="65">
        <f>IF(OR($A106=""),"",M58)</f>
        <v>0</v>
      </c>
    </row>
    <row r="107" spans="1:14" x14ac:dyDescent="0.35">
      <c r="A107" t="str">
        <f t="shared" si="46"/>
        <v xml:space="preserve">    Lower Basin</v>
      </c>
      <c r="B107" s="1"/>
      <c r="C107" s="67">
        <f t="shared" ca="1" si="47"/>
        <v>0</v>
      </c>
      <c r="D107" s="67">
        <f t="shared" ca="1" si="47"/>
        <v>0</v>
      </c>
      <c r="E107" s="67">
        <f t="shared" ca="1" si="47"/>
        <v>0</v>
      </c>
      <c r="F107" s="67">
        <f t="shared" ca="1" si="47"/>
        <v>0</v>
      </c>
      <c r="G107" s="67">
        <f t="shared" ca="1" si="47"/>
        <v>0</v>
      </c>
      <c r="H107" s="67" t="str">
        <f t="shared" ca="1" si="47"/>
        <v/>
      </c>
      <c r="I107" s="67" t="str">
        <f t="shared" ca="1" si="47"/>
        <v/>
      </c>
      <c r="J107" s="67" t="str">
        <f t="shared" ca="1" si="47"/>
        <v/>
      </c>
      <c r="K107" s="67" t="str">
        <f t="shared" ca="1" si="47"/>
        <v/>
      </c>
      <c r="L107" s="67" t="str">
        <f t="shared" ca="1" si="47"/>
        <v/>
      </c>
      <c r="M107" s="67">
        <f t="shared" ref="M107:M111" ca="1" si="48">IF(OR($A107=""),"",SUM(C107:L107))</f>
        <v>0</v>
      </c>
      <c r="N107" s="65">
        <f>IF(OR($A107=""),"",M66)</f>
        <v>0</v>
      </c>
    </row>
    <row r="108" spans="1:14" x14ac:dyDescent="0.35">
      <c r="A108" t="str">
        <f t="shared" si="46"/>
        <v xml:space="preserve">    Mexico</v>
      </c>
      <c r="B108" s="1"/>
      <c r="C108" s="67">
        <f t="shared" ca="1" si="47"/>
        <v>0</v>
      </c>
      <c r="D108" s="67">
        <f t="shared" ca="1" si="47"/>
        <v>0</v>
      </c>
      <c r="E108" s="67">
        <f t="shared" ca="1" si="47"/>
        <v>0.2</v>
      </c>
      <c r="F108" s="67">
        <f t="shared" ca="1" si="47"/>
        <v>0.1</v>
      </c>
      <c r="G108" s="67">
        <f t="shared" ca="1" si="47"/>
        <v>0</v>
      </c>
      <c r="H108" s="67" t="str">
        <f t="shared" ca="1" si="47"/>
        <v/>
      </c>
      <c r="I108" s="67" t="str">
        <f t="shared" ca="1" si="47"/>
        <v/>
      </c>
      <c r="J108" s="67" t="str">
        <f t="shared" ca="1" si="47"/>
        <v/>
      </c>
      <c r="K108" s="67" t="str">
        <f t="shared" ca="1" si="47"/>
        <v/>
      </c>
      <c r="L108" s="67" t="str">
        <f t="shared" ca="1" si="47"/>
        <v/>
      </c>
      <c r="M108" s="67">
        <f t="shared" ca="1" si="48"/>
        <v>0.30000000000000004</v>
      </c>
      <c r="N108" s="65">
        <f>IF(OR($A108=""),"",M74)</f>
        <v>450</v>
      </c>
    </row>
    <row r="109" spans="1:14" x14ac:dyDescent="0.35">
      <c r="A109" t="str">
        <f t="shared" si="46"/>
        <v xml:space="preserve">    Shared, Reserve</v>
      </c>
      <c r="B109" s="1"/>
      <c r="C109" s="67">
        <f t="shared" ca="1" si="47"/>
        <v>0</v>
      </c>
      <c r="D109" s="67">
        <f t="shared" ca="1" si="47"/>
        <v>0</v>
      </c>
      <c r="E109" s="67">
        <f t="shared" ca="1" si="47"/>
        <v>0</v>
      </c>
      <c r="F109" s="67">
        <f t="shared" ca="1" si="47"/>
        <v>0</v>
      </c>
      <c r="G109" s="67">
        <f t="shared" ca="1" si="47"/>
        <v>0</v>
      </c>
      <c r="H109" s="67" t="str">
        <f t="shared" ca="1" si="47"/>
        <v/>
      </c>
      <c r="I109" s="67" t="str">
        <f t="shared" ca="1" si="47"/>
        <v/>
      </c>
      <c r="J109" s="67" t="str">
        <f t="shared" ca="1" si="47"/>
        <v/>
      </c>
      <c r="K109" s="67" t="str">
        <f t="shared" ca="1" si="47"/>
        <v/>
      </c>
      <c r="L109" s="67" t="str">
        <f t="shared" ca="1" si="47"/>
        <v/>
      </c>
      <c r="M109" s="67">
        <f t="shared" ca="1" si="48"/>
        <v>0</v>
      </c>
      <c r="N109" s="65">
        <f>IF(OR($A109=""),"",M82)</f>
        <v>0</v>
      </c>
    </row>
    <row r="110" spans="1:14" x14ac:dyDescent="0.35">
      <c r="A110" t="str">
        <f t="shared" si="46"/>
        <v/>
      </c>
      <c r="B110" s="1"/>
      <c r="C110" s="67" t="str">
        <f t="shared" ca="1" si="47"/>
        <v/>
      </c>
      <c r="D110" s="67" t="str">
        <f t="shared" ca="1" si="47"/>
        <v/>
      </c>
      <c r="E110" s="67" t="str">
        <f t="shared" ca="1" si="47"/>
        <v/>
      </c>
      <c r="F110" s="67" t="str">
        <f t="shared" ca="1" si="47"/>
        <v/>
      </c>
      <c r="G110" s="67" t="str">
        <f t="shared" ca="1" si="47"/>
        <v/>
      </c>
      <c r="H110" s="67" t="str">
        <f t="shared" ca="1" si="47"/>
        <v/>
      </c>
      <c r="I110" s="67" t="str">
        <f t="shared" ca="1" si="47"/>
        <v/>
      </c>
      <c r="J110" s="67" t="str">
        <f t="shared" ca="1" si="47"/>
        <v/>
      </c>
      <c r="K110" s="67" t="str">
        <f t="shared" ca="1" si="47"/>
        <v/>
      </c>
      <c r="L110" s="67" t="str">
        <f t="shared" ca="1" si="47"/>
        <v/>
      </c>
      <c r="M110" s="67" t="str">
        <f t="shared" si="48"/>
        <v/>
      </c>
      <c r="N110" s="65" t="str">
        <f>IF(OR($A110=""),"",M90)</f>
        <v/>
      </c>
    </row>
    <row r="111" spans="1:14" x14ac:dyDescent="0.35">
      <c r="A111" t="str">
        <f t="shared" si="46"/>
        <v/>
      </c>
      <c r="B111" s="1"/>
      <c r="C111" s="67" t="str">
        <f t="shared" ca="1" si="47"/>
        <v/>
      </c>
      <c r="D111" s="67" t="str">
        <f t="shared" ca="1" si="47"/>
        <v/>
      </c>
      <c r="E111" s="67" t="str">
        <f t="shared" ca="1" si="47"/>
        <v/>
      </c>
      <c r="F111" s="67" t="str">
        <f t="shared" ca="1" si="47"/>
        <v/>
      </c>
      <c r="G111" s="67" t="str">
        <f t="shared" ca="1" si="47"/>
        <v/>
      </c>
      <c r="H111" s="67" t="str">
        <f t="shared" ca="1" si="47"/>
        <v/>
      </c>
      <c r="I111" s="67" t="str">
        <f t="shared" ca="1" si="47"/>
        <v/>
      </c>
      <c r="J111" s="67" t="str">
        <f t="shared" ca="1" si="47"/>
        <v/>
      </c>
      <c r="K111" s="67" t="str">
        <f t="shared" ca="1" si="47"/>
        <v/>
      </c>
      <c r="L111" s="67" t="str">
        <f t="shared" ca="1" si="47"/>
        <v/>
      </c>
      <c r="M111" s="67" t="str">
        <f t="shared" si="48"/>
        <v/>
      </c>
      <c r="N111" s="65" t="str">
        <f>IF(OR($A111=""),"",M98)</f>
        <v/>
      </c>
    </row>
    <row r="112" spans="1:14" x14ac:dyDescent="0.35">
      <c r="A112" t="s">
        <v>146</v>
      </c>
      <c r="B112" s="1"/>
      <c r="C112" s="51">
        <f ca="1">IF(C$26&lt;&gt;"",SUM(C106:C111),"")</f>
        <v>0</v>
      </c>
      <c r="D112" s="51">
        <f t="shared" ref="D112:L112" ca="1" si="49">IF(D$26&lt;&gt;"",SUM(D106:D111),"")</f>
        <v>0</v>
      </c>
      <c r="E112" s="119">
        <f t="shared" ca="1" si="49"/>
        <v>0.2</v>
      </c>
      <c r="F112" s="51">
        <f t="shared" ca="1" si="49"/>
        <v>0.1</v>
      </c>
      <c r="G112" s="51">
        <f t="shared" ca="1" si="49"/>
        <v>0</v>
      </c>
      <c r="H112" s="51" t="str">
        <f t="shared" si="49"/>
        <v/>
      </c>
      <c r="I112" s="51" t="str">
        <f t="shared" si="49"/>
        <v/>
      </c>
      <c r="J112" s="51" t="str">
        <f t="shared" si="49"/>
        <v/>
      </c>
      <c r="K112" s="51" t="str">
        <f t="shared" si="49"/>
        <v/>
      </c>
      <c r="L112" s="51" t="str">
        <f t="shared" si="49"/>
        <v/>
      </c>
      <c r="M112" s="34"/>
    </row>
    <row r="113" spans="1:12" x14ac:dyDescent="0.35">
      <c r="A113" s="1" t="s">
        <v>134</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50">IF(OR(C$26="",$A114=""),"",OFFSET(C$61,8*(ROW(B114)-ROW(B$114)),0))</f>
        <v>4.2</v>
      </c>
      <c r="D114" s="67">
        <f t="shared" ca="1" si="50"/>
        <v>4.0256851225942052</v>
      </c>
      <c r="E114" s="67">
        <f t="shared" ca="1" si="50"/>
        <v>0</v>
      </c>
      <c r="F114" s="67">
        <f t="shared" ca="1" si="50"/>
        <v>0</v>
      </c>
      <c r="G114" s="67">
        <f t="shared" ca="1" si="50"/>
        <v>0</v>
      </c>
      <c r="H114" s="67" t="str">
        <f t="shared" ca="1" si="50"/>
        <v/>
      </c>
      <c r="I114" s="67" t="str">
        <f t="shared" ca="1" si="50"/>
        <v/>
      </c>
      <c r="J114" s="67" t="str">
        <f t="shared" ca="1" si="50"/>
        <v/>
      </c>
      <c r="K114" s="67" t="str">
        <f t="shared" ca="1" si="50"/>
        <v/>
      </c>
      <c r="L114" s="67" t="str">
        <f t="shared" ca="1" si="50"/>
        <v/>
      </c>
    </row>
    <row r="115" spans="1:12" x14ac:dyDescent="0.35">
      <c r="A115" t="str">
        <f>IF(A6="","","    "&amp;A6&amp;" - Release from Mead")</f>
        <v xml:space="preserve">    Lower Basin - Release from Mead</v>
      </c>
      <c r="C115" s="67">
        <f t="shared" ca="1" si="50"/>
        <v>7.2590000000000003</v>
      </c>
      <c r="D115" s="67">
        <f t="shared" ca="1" si="50"/>
        <v>6.8870000000000005</v>
      </c>
      <c r="E115" s="67">
        <f t="shared" ca="1" si="50"/>
        <v>6.4870000000000001</v>
      </c>
      <c r="F115" s="67">
        <f t="shared" ca="1" si="50"/>
        <v>6.4290000000000003</v>
      </c>
      <c r="G115" s="67">
        <f t="shared" ca="1" si="50"/>
        <v>6.4290000000000003</v>
      </c>
      <c r="H115" s="67" t="str">
        <f t="shared" ca="1" si="50"/>
        <v/>
      </c>
      <c r="I115" s="67" t="str">
        <f t="shared" ca="1" si="50"/>
        <v/>
      </c>
      <c r="J115" s="67" t="str">
        <f t="shared" ca="1" si="50"/>
        <v/>
      </c>
      <c r="K115" s="67" t="str">
        <f t="shared" ca="1" si="50"/>
        <v/>
      </c>
      <c r="L115" s="67" t="str">
        <f t="shared" ca="1" si="50"/>
        <v/>
      </c>
    </row>
    <row r="116" spans="1:12" x14ac:dyDescent="0.35">
      <c r="A116" t="str">
        <f>IF(A7="","","    "&amp;A7&amp;" - Release from Mead")</f>
        <v xml:space="preserve">    Mexico - Release from Mead</v>
      </c>
      <c r="C116" s="67">
        <f t="shared" ca="1" si="50"/>
        <v>1.4473333333333334</v>
      </c>
      <c r="D116" s="67">
        <f t="shared" ca="1" si="50"/>
        <v>1.4083333333333332</v>
      </c>
      <c r="E116" s="67">
        <f t="shared" ca="1" si="50"/>
        <v>1.3423333333333334</v>
      </c>
      <c r="F116" s="67">
        <f t="shared" ca="1" si="50"/>
        <v>1.3343333333333334</v>
      </c>
      <c r="G116" s="67">
        <f t="shared" ca="1" si="50"/>
        <v>1.3343333333333334</v>
      </c>
      <c r="H116" s="67" t="str">
        <f t="shared" ca="1" si="50"/>
        <v/>
      </c>
      <c r="I116" s="67" t="str">
        <f t="shared" ca="1" si="50"/>
        <v/>
      </c>
      <c r="J116" s="67" t="str">
        <f t="shared" ca="1" si="50"/>
        <v/>
      </c>
      <c r="K116" s="67" t="str">
        <f t="shared" ca="1" si="50"/>
        <v/>
      </c>
      <c r="L116" s="67" t="str">
        <f t="shared" ca="1" si="50"/>
        <v/>
      </c>
    </row>
    <row r="117" spans="1:12" x14ac:dyDescent="0.35">
      <c r="A117" t="str">
        <f>IF(A8="","","    "&amp;A8&amp;" - Release from Mead")</f>
        <v xml:space="preserve">    Shared, Reserve - Release from Mead</v>
      </c>
      <c r="C117" s="67">
        <f t="shared" ca="1" si="50"/>
        <v>0</v>
      </c>
      <c r="D117" s="67">
        <f t="shared" ca="1" si="50"/>
        <v>0</v>
      </c>
      <c r="E117" s="67">
        <f t="shared" ca="1" si="50"/>
        <v>0</v>
      </c>
      <c r="F117" s="67">
        <f t="shared" ca="1" si="50"/>
        <v>0</v>
      </c>
      <c r="G117" s="67">
        <f t="shared" ca="1" si="50"/>
        <v>0</v>
      </c>
      <c r="H117" s="67" t="str">
        <f t="shared" ca="1" si="50"/>
        <v/>
      </c>
      <c r="I117" s="67" t="str">
        <f t="shared" ca="1" si="50"/>
        <v/>
      </c>
      <c r="J117" s="67" t="str">
        <f t="shared" ca="1" si="50"/>
        <v/>
      </c>
      <c r="K117" s="67" t="str">
        <f t="shared" ca="1" si="50"/>
        <v/>
      </c>
      <c r="L117" s="67" t="str">
        <f t="shared" ca="1" si="50"/>
        <v/>
      </c>
    </row>
    <row r="118" spans="1:12" x14ac:dyDescent="0.35">
      <c r="A118" t="str">
        <f>IF(A9="","","    "&amp;A9&amp;" - Release from Mead")</f>
        <v/>
      </c>
      <c r="C118" s="67" t="str">
        <f t="shared" ca="1" si="50"/>
        <v/>
      </c>
      <c r="D118" s="67" t="str">
        <f t="shared" ca="1" si="50"/>
        <v/>
      </c>
      <c r="E118" s="67" t="str">
        <f t="shared" ca="1" si="50"/>
        <v/>
      </c>
      <c r="F118" s="67" t="str">
        <f t="shared" ca="1" si="50"/>
        <v/>
      </c>
      <c r="G118" s="67" t="str">
        <f t="shared" ca="1" si="50"/>
        <v/>
      </c>
      <c r="H118" s="67" t="str">
        <f t="shared" ca="1" si="50"/>
        <v/>
      </c>
      <c r="I118" s="67" t="str">
        <f t="shared" ca="1" si="50"/>
        <v/>
      </c>
      <c r="J118" s="67" t="str">
        <f t="shared" ca="1" si="50"/>
        <v/>
      </c>
      <c r="K118" s="67" t="str">
        <f t="shared" ca="1" si="50"/>
        <v/>
      </c>
      <c r="L118" s="67" t="str">
        <f t="shared" ca="1" si="50"/>
        <v/>
      </c>
    </row>
    <row r="119" spans="1:12" x14ac:dyDescent="0.35">
      <c r="A119" t="str">
        <f>IF(A10="","","    "&amp;A10&amp;" - Release from Mead")</f>
        <v/>
      </c>
      <c r="C119" s="67" t="str">
        <f t="shared" ca="1" si="50"/>
        <v/>
      </c>
      <c r="D119" s="67" t="str">
        <f t="shared" ca="1" si="50"/>
        <v/>
      </c>
      <c r="E119" s="67" t="str">
        <f t="shared" ca="1" si="50"/>
        <v/>
      </c>
      <c r="F119" s="67" t="str">
        <f t="shared" ca="1" si="50"/>
        <v/>
      </c>
      <c r="G119" s="67" t="str">
        <f t="shared" ca="1" si="50"/>
        <v/>
      </c>
      <c r="H119" s="67" t="str">
        <f t="shared" ca="1" si="50"/>
        <v/>
      </c>
      <c r="I119" s="67" t="str">
        <f t="shared" ca="1" si="50"/>
        <v/>
      </c>
      <c r="J119" s="67" t="str">
        <f t="shared" ca="1" si="50"/>
        <v/>
      </c>
      <c r="K119" s="67" t="str">
        <f t="shared" ca="1" si="50"/>
        <v/>
      </c>
      <c r="L119" s="67" t="str">
        <f t="shared" ca="1" si="50"/>
        <v/>
      </c>
    </row>
    <row r="120" spans="1:12" x14ac:dyDescent="0.35">
      <c r="A120" s="1" t="s">
        <v>139</v>
      </c>
      <c r="B120" s="1"/>
      <c r="D120" s="2"/>
      <c r="E120" s="2"/>
      <c r="F120" s="2"/>
      <c r="G120" s="2"/>
      <c r="H120" s="2"/>
      <c r="I120" s="2"/>
      <c r="J120" s="2"/>
      <c r="K120" s="2"/>
      <c r="L120" s="2"/>
    </row>
    <row r="121" spans="1:12" x14ac:dyDescent="0.35">
      <c r="A121" t="str">
        <f t="shared" ref="A121:A126" si="51">IF(A5="","","    "&amp;A5)</f>
        <v xml:space="preserve">    Upper Basin</v>
      </c>
      <c r="C121" s="67">
        <f t="shared" ref="C121:L126" ca="1" si="52">IF(OR(C$26="",$A121=""),"",OFFSET(C$62,8*(ROW(B121)-ROW(B$121)),0))</f>
        <v>3.4040452368981784</v>
      </c>
      <c r="D121" s="67">
        <f t="shared" ca="1" si="52"/>
        <v>0</v>
      </c>
      <c r="E121" s="67">
        <f t="shared" ca="1" si="52"/>
        <v>0</v>
      </c>
      <c r="F121" s="67">
        <f t="shared" ca="1" si="52"/>
        <v>0</v>
      </c>
      <c r="G121" s="67">
        <f t="shared" ca="1" si="52"/>
        <v>0</v>
      </c>
      <c r="H121" s="67" t="str">
        <f t="shared" ca="1" si="52"/>
        <v/>
      </c>
      <c r="I121" s="67" t="str">
        <f t="shared" ca="1" si="52"/>
        <v/>
      </c>
      <c r="J121" s="67" t="str">
        <f t="shared" ca="1" si="52"/>
        <v/>
      </c>
      <c r="K121" s="67" t="str">
        <f t="shared" ca="1" si="52"/>
        <v/>
      </c>
      <c r="L121" s="67" t="str">
        <f t="shared" ca="1" si="52"/>
        <v/>
      </c>
    </row>
    <row r="122" spans="1:12" x14ac:dyDescent="0.35">
      <c r="A122" t="str">
        <f t="shared" si="51"/>
        <v xml:space="preserve">    Lower Basin</v>
      </c>
      <c r="C122" s="67">
        <f t="shared" ca="1" si="52"/>
        <v>3.2109815232907888</v>
      </c>
      <c r="D122" s="67">
        <f t="shared" ca="1" si="52"/>
        <v>2.5623520451145225</v>
      </c>
      <c r="E122" s="67">
        <f t="shared" ca="1" si="52"/>
        <v>2.2299807300538657</v>
      </c>
      <c r="F122" s="67">
        <f t="shared" ca="1" si="52"/>
        <v>1.9695642004172758</v>
      </c>
      <c r="G122" s="67">
        <f t="shared" ca="1" si="52"/>
        <v>1.7137875840007126</v>
      </c>
      <c r="H122" s="67" t="str">
        <f t="shared" ca="1" si="52"/>
        <v/>
      </c>
      <c r="I122" s="67" t="str">
        <f t="shared" ca="1" si="52"/>
        <v/>
      </c>
      <c r="J122" s="67" t="str">
        <f t="shared" ca="1" si="52"/>
        <v/>
      </c>
      <c r="K122" s="67" t="str">
        <f t="shared" ca="1" si="52"/>
        <v/>
      </c>
      <c r="L122" s="67" t="str">
        <f t="shared" ca="1" si="52"/>
        <v/>
      </c>
    </row>
    <row r="123" spans="1:12" x14ac:dyDescent="0.35">
      <c r="A123" t="str">
        <f t="shared" si="51"/>
        <v xml:space="preserve">    Mexico</v>
      </c>
      <c r="C123" s="67">
        <f t="shared" ca="1" si="52"/>
        <v>0.16557297647772518</v>
      </c>
      <c r="D123" s="67">
        <f t="shared" ca="1" si="52"/>
        <v>0.1571001961234586</v>
      </c>
      <c r="E123" s="67">
        <f t="shared" ca="1" si="52"/>
        <v>-5.1813304749818379E-2</v>
      </c>
      <c r="F123" s="67">
        <f t="shared" ca="1" si="52"/>
        <v>-0.14882516594656248</v>
      </c>
      <c r="G123" s="67">
        <f t="shared" ca="1" si="52"/>
        <v>-0.14012832786333385</v>
      </c>
      <c r="H123" s="67" t="str">
        <f t="shared" ca="1" si="52"/>
        <v/>
      </c>
      <c r="I123" s="67" t="str">
        <f t="shared" ca="1" si="52"/>
        <v/>
      </c>
      <c r="J123" s="67" t="str">
        <f t="shared" ca="1" si="52"/>
        <v/>
      </c>
      <c r="K123" s="67" t="str">
        <f t="shared" ca="1" si="52"/>
        <v/>
      </c>
      <c r="L123" s="67" t="str">
        <f t="shared" ca="1" si="52"/>
        <v/>
      </c>
    </row>
    <row r="124" spans="1:12" x14ac:dyDescent="0.35">
      <c r="A124" t="str">
        <f t="shared" si="51"/>
        <v xml:space="preserve">    Shared, Reserve</v>
      </c>
      <c r="C124" s="67">
        <f t="shared" ca="1" si="52"/>
        <v>11.59116925</v>
      </c>
      <c r="D124" s="67">
        <f t="shared" ca="1" si="52"/>
        <v>11.59116925</v>
      </c>
      <c r="E124" s="67">
        <f t="shared" ca="1" si="52"/>
        <v>11.59116925</v>
      </c>
      <c r="F124" s="67">
        <f t="shared" ca="1" si="52"/>
        <v>11.59116925</v>
      </c>
      <c r="G124" s="67">
        <f t="shared" ca="1" si="52"/>
        <v>11.59116925</v>
      </c>
      <c r="H124" s="67" t="str">
        <f t="shared" ca="1" si="52"/>
        <v/>
      </c>
      <c r="I124" s="67" t="str">
        <f t="shared" ca="1" si="52"/>
        <v/>
      </c>
      <c r="J124" s="67" t="str">
        <f t="shared" ca="1" si="52"/>
        <v/>
      </c>
      <c r="K124" s="67" t="str">
        <f t="shared" ca="1" si="52"/>
        <v/>
      </c>
      <c r="L124" s="67" t="str">
        <f t="shared" ca="1" si="52"/>
        <v/>
      </c>
    </row>
    <row r="125" spans="1:12" x14ac:dyDescent="0.35">
      <c r="A125" t="str">
        <f t="shared" si="51"/>
        <v/>
      </c>
      <c r="C125" s="67" t="str">
        <f t="shared" ca="1" si="52"/>
        <v/>
      </c>
      <c r="D125" s="67" t="str">
        <f t="shared" ca="1" si="52"/>
        <v/>
      </c>
      <c r="E125" s="67" t="str">
        <f t="shared" ca="1" si="52"/>
        <v/>
      </c>
      <c r="F125" s="67" t="str">
        <f t="shared" ca="1" si="52"/>
        <v/>
      </c>
      <c r="G125" s="67" t="str">
        <f t="shared" ca="1" si="52"/>
        <v/>
      </c>
      <c r="H125" s="67" t="str">
        <f t="shared" ca="1" si="52"/>
        <v/>
      </c>
      <c r="I125" s="67" t="str">
        <f t="shared" ca="1" si="52"/>
        <v/>
      </c>
      <c r="J125" s="67" t="str">
        <f t="shared" ca="1" si="52"/>
        <v/>
      </c>
      <c r="K125" s="67" t="str">
        <f t="shared" ca="1" si="52"/>
        <v/>
      </c>
      <c r="L125" s="67" t="str">
        <f t="shared" ca="1" si="52"/>
        <v/>
      </c>
    </row>
    <row r="126" spans="1:12" x14ac:dyDescent="0.35">
      <c r="A126" t="str">
        <f t="shared" si="51"/>
        <v/>
      </c>
      <c r="C126" s="67" t="str">
        <f t="shared" ca="1" si="52"/>
        <v/>
      </c>
      <c r="D126" s="67" t="str">
        <f t="shared" ca="1" si="52"/>
        <v/>
      </c>
      <c r="E126" s="67" t="str">
        <f t="shared" ca="1" si="52"/>
        <v/>
      </c>
      <c r="F126" s="67" t="str">
        <f t="shared" ca="1" si="52"/>
        <v/>
      </c>
      <c r="G126" s="67" t="str">
        <f t="shared" ca="1" si="52"/>
        <v/>
      </c>
      <c r="H126" s="67" t="str">
        <f t="shared" ca="1" si="52"/>
        <v/>
      </c>
      <c r="I126" s="67" t="str">
        <f t="shared" ca="1" si="52"/>
        <v/>
      </c>
      <c r="J126" s="67" t="str">
        <f t="shared" ca="1" si="52"/>
        <v/>
      </c>
      <c r="K126" s="67" t="str">
        <f t="shared" ca="1" si="52"/>
        <v/>
      </c>
      <c r="L126" s="67" t="str">
        <f t="shared" ca="1" si="52"/>
        <v/>
      </c>
    </row>
    <row r="127" spans="1:12" x14ac:dyDescent="0.35">
      <c r="A127" s="1" t="s">
        <v>123</v>
      </c>
      <c r="B127" s="1"/>
      <c r="C127" s="14">
        <f ca="1">IF(C$26&lt;&gt;"",SUM(C121:C126),"")</f>
        <v>18.371768986666694</v>
      </c>
      <c r="D127" s="14">
        <f t="shared" ref="D127:L127" ca="1" si="53">IF(D$26&lt;&gt;"",SUM(D121:D126),"")</f>
        <v>14.310621491237981</v>
      </c>
      <c r="E127" s="14">
        <f t="shared" ca="1" si="53"/>
        <v>13.769336675304046</v>
      </c>
      <c r="F127" s="14">
        <f t="shared" ca="1" si="53"/>
        <v>13.411908284470714</v>
      </c>
      <c r="G127" s="14">
        <f t="shared" ca="1" si="53"/>
        <v>13.164828506137379</v>
      </c>
      <c r="H127" s="14" t="str">
        <f t="shared" si="53"/>
        <v/>
      </c>
      <c r="I127" s="14" t="str">
        <f t="shared" si="53"/>
        <v/>
      </c>
      <c r="J127" s="14" t="str">
        <f t="shared" si="53"/>
        <v/>
      </c>
      <c r="K127" s="14" t="str">
        <f t="shared" si="53"/>
        <v/>
      </c>
      <c r="L127" s="14" t="str">
        <f t="shared" si="53"/>
        <v/>
      </c>
    </row>
    <row r="128" spans="1:12" x14ac:dyDescent="0.35">
      <c r="A128" s="1" t="s">
        <v>197</v>
      </c>
      <c r="B128" s="1"/>
      <c r="C128" s="68">
        <v>0.5</v>
      </c>
      <c r="D128" s="68">
        <v>0.5</v>
      </c>
      <c r="E128" s="68">
        <v>0.5</v>
      </c>
      <c r="F128" s="68">
        <v>0.5</v>
      </c>
      <c r="G128" s="68">
        <v>0.5</v>
      </c>
      <c r="H128" s="68"/>
      <c r="I128" s="68"/>
      <c r="J128" s="68"/>
      <c r="K128" s="68"/>
      <c r="L128" s="68"/>
    </row>
    <row r="129" spans="1:14" x14ac:dyDescent="0.35">
      <c r="A129" s="1" t="s">
        <v>193</v>
      </c>
      <c r="B129" s="1"/>
      <c r="C129" s="14">
        <f ca="1">IF(C26="","",C$128*C$127)</f>
        <v>9.1858844933333472</v>
      </c>
      <c r="D129" s="14">
        <f t="shared" ref="D129:L129" ca="1" si="54">IF(D26="","",D$128*D$127)</f>
        <v>7.1553107456189906</v>
      </c>
      <c r="E129" s="14">
        <f t="shared" ca="1" si="54"/>
        <v>6.8846683376520232</v>
      </c>
      <c r="F129" s="14">
        <f t="shared" ca="1" si="54"/>
        <v>6.705954142235357</v>
      </c>
      <c r="G129" s="14">
        <f t="shared" ca="1" si="54"/>
        <v>6.5824142530686895</v>
      </c>
      <c r="H129" s="14" t="str">
        <f t="shared" si="54"/>
        <v/>
      </c>
      <c r="I129" s="14" t="str">
        <f t="shared" si="54"/>
        <v/>
      </c>
      <c r="J129" s="14" t="str">
        <f t="shared" si="54"/>
        <v/>
      </c>
      <c r="K129" s="14" t="str">
        <f t="shared" si="54"/>
        <v/>
      </c>
      <c r="L129" s="14" t="str">
        <f t="shared" si="54"/>
        <v/>
      </c>
    </row>
    <row r="130" spans="1:14" x14ac:dyDescent="0.35">
      <c r="A130" s="1" t="s">
        <v>194</v>
      </c>
      <c r="B130" s="1"/>
      <c r="C130" s="14">
        <f ca="1">IF(C27="","",(1-C$128)*C$127)</f>
        <v>9.1858844933333472</v>
      </c>
      <c r="D130" s="14">
        <f t="shared" ref="D130:L130" ca="1" si="55">IF(D27="","",(1-D$128)*D$127)</f>
        <v>7.1553107456189906</v>
      </c>
      <c r="E130" s="14">
        <f t="shared" ca="1" si="55"/>
        <v>6.8846683376520232</v>
      </c>
      <c r="F130" s="14">
        <f t="shared" ca="1" si="55"/>
        <v>6.705954142235357</v>
      </c>
      <c r="G130" s="14">
        <f t="shared" ca="1" si="55"/>
        <v>6.5824142530686895</v>
      </c>
      <c r="H130" s="14" t="str">
        <f t="shared" si="55"/>
        <v/>
      </c>
      <c r="I130" s="14" t="str">
        <f t="shared" si="55"/>
        <v/>
      </c>
      <c r="J130" s="14" t="str">
        <f t="shared" si="55"/>
        <v/>
      </c>
      <c r="K130" s="14" t="str">
        <f t="shared" si="55"/>
        <v/>
      </c>
      <c r="L130" s="14" t="str">
        <f t="shared" si="55"/>
        <v/>
      </c>
    </row>
    <row r="131" spans="1:14" x14ac:dyDescent="0.35">
      <c r="A131" s="32" t="s">
        <v>282</v>
      </c>
      <c r="B131" s="1"/>
      <c r="C131" s="87">
        <f ca="1">IF(C$26&lt;&gt;"",VLOOKUP(C129*1000000,'Powell-Elevation-Area'!$B$5:$H$689,7),"")</f>
        <v>3570.5</v>
      </c>
      <c r="D131" s="87">
        <f ca="1">IF(D$26&lt;&gt;"",VLOOKUP(D129*1000000,'Powell-Elevation-Area'!$B$5:$H$689,7),"")</f>
        <v>3543.5</v>
      </c>
      <c r="E131" s="87">
        <f ca="1">IF(E$26&lt;&gt;"",VLOOKUP(E129*1000000,'Powell-Elevation-Area'!$B$5:$H$689,7),"")</f>
        <v>3539.5</v>
      </c>
      <c r="F131" s="87">
        <f ca="1">IF(F$26&lt;&gt;"",VLOOKUP(F129*1000000,'Powell-Elevation-Area'!$B$5:$H$689,7),"")</f>
        <v>3537</v>
      </c>
      <c r="G131" s="87">
        <f ca="1">IF(G$26&lt;&gt;"",VLOOKUP(G129*1000000,'Powell-Elevation-Area'!$B$5:$H$689,7),"")</f>
        <v>3535</v>
      </c>
      <c r="H131" s="87" t="str">
        <f>IF(H$26&lt;&gt;"",VLOOKUP(H129*1000000,'Powell-Elevation-Area'!$B$5:$H$689,7),"")</f>
        <v/>
      </c>
      <c r="I131" s="87" t="str">
        <f>IF(I$26&lt;&gt;"",VLOOKUP(I129*1000000,'Powell-Elevation-Area'!$B$5:$H$689,7),"")</f>
        <v/>
      </c>
      <c r="J131" s="87" t="str">
        <f>IF(J$26&lt;&gt;"",VLOOKUP(J129*1000000,'Powell-Elevation-Area'!$B$5:$H$689,7),"")</f>
        <v/>
      </c>
      <c r="K131" s="87" t="str">
        <f>IF(K$26&lt;&gt;"",VLOOKUP(K129*1000000,'Powell-Elevation-Area'!$B$5:$H$689,7),"")</f>
        <v/>
      </c>
      <c r="L131" s="87" t="str">
        <f>IF(L$26&lt;&gt;"",VLOOKUP(L129*1000000,'Powell-Elevation-Area'!$B$5:$H$689,7),"")</f>
        <v/>
      </c>
    </row>
    <row r="132" spans="1:14" x14ac:dyDescent="0.35">
      <c r="A132" s="32" t="s">
        <v>283</v>
      </c>
      <c r="B132" s="1"/>
      <c r="C132" s="87">
        <f ca="1">IF(C$26&lt;&gt;"",VLOOKUP(C130*1000000,'Mead-Elevation-Area'!$B$5:$H$689,7),"")</f>
        <v>1069.5</v>
      </c>
      <c r="D132" s="87">
        <f ca="1">IF(D$26&lt;&gt;"",VLOOKUP(D130*1000000,'Mead-Elevation-Area'!$B$5:$H$689,7),"")</f>
        <v>1042.5</v>
      </c>
      <c r="E132" s="87">
        <f ca="1">IF(E$26&lt;&gt;"",VLOOKUP(E130*1000000,'Mead-Elevation-Area'!$B$5:$H$689,7),"")</f>
        <v>1038.5</v>
      </c>
      <c r="F132" s="87">
        <f ca="1">IF(F$26&lt;&gt;"",VLOOKUP(F130*1000000,'Mead-Elevation-Area'!$B$5:$H$689,7),"")</f>
        <v>1036</v>
      </c>
      <c r="G132" s="87">
        <f ca="1">IF(G$26&lt;&gt;"",VLOOKUP(G130*1000000,'Mead-Elevation-Area'!$B$5:$H$689,7),"")</f>
        <v>1034</v>
      </c>
      <c r="H132" s="87" t="str">
        <f>IF(H$26&lt;&gt;"",VLOOKUP(H130*1000000,'Mead-Elevation-Area'!$B$5:$H$689,7),"")</f>
        <v/>
      </c>
      <c r="I132" s="87" t="str">
        <f>IF(I$26&lt;&gt;"",VLOOKUP(I130*1000000,'Mead-Elevation-Area'!$B$5:$H$689,7),"")</f>
        <v/>
      </c>
      <c r="J132" s="87" t="str">
        <f>IF(J$26&lt;&gt;"",VLOOKUP(J130*1000000,'Mead-Elevation-Area'!$B$5:$H$689,7),"")</f>
        <v/>
      </c>
      <c r="K132" s="87" t="str">
        <f>IF(K$26&lt;&gt;"",VLOOKUP(K130*1000000,'Mead-Elevation-Area'!$B$5:$H$689,7),"")</f>
        <v/>
      </c>
      <c r="L132" s="87" t="str">
        <f>IF(L$26&lt;&gt;"",VLOOKUP(L130*1000000,'Mead-Elevation-Area'!$B$5:$H$689,7),"")</f>
        <v/>
      </c>
    </row>
    <row r="133" spans="1:14" x14ac:dyDescent="0.35">
      <c r="A133" s="1" t="s">
        <v>295</v>
      </c>
      <c r="B133" s="1"/>
    </row>
    <row r="134" spans="1:14" x14ac:dyDescent="0.35">
      <c r="A134" s="32" t="s">
        <v>296</v>
      </c>
      <c r="B134" s="1"/>
      <c r="C134" s="14">
        <f ca="1">IF(C$26&lt;&gt;"",-C129+C37+C26-C61-VLOOKUP(C37*1000000,'Powell-Elevation-Area'!$B$5:$D$689,3)*$B$20/1000000,"")</f>
        <v>8.0912186266660804</v>
      </c>
      <c r="D134" s="14">
        <f ca="1">IF(D$26&lt;&gt;"",-D129+D37+D26-D61-VLOOKUP(D37*1000000,'Powell-Elevation-Area'!$B$5:$D$689,3)*$B$20/1000000,"")</f>
        <v>6.5403795856195783</v>
      </c>
      <c r="E134" s="14">
        <f ca="1">IF(E$26&lt;&gt;"",-E129+E37+E26-E61-VLOOKUP(E37*1000000,'Powell-Elevation-Area'!$B$5:$D$689,3)*$B$20/1000000,"")</f>
        <v>7.9767529253669673</v>
      </c>
      <c r="F134" s="14">
        <f ca="1">IF(F$26&lt;&gt;"",-F129+F37+F26-F61-VLOOKUP(F37*1000000,'Powell-Elevation-Area'!$B$5:$D$689,3)*$B$20/1000000,"")</f>
        <v>7.8947311379166649</v>
      </c>
      <c r="G134" s="14">
        <f ca="1">IF(G$26&lt;&gt;"",-G129+G37+G26-G61-VLOOKUP(G37*1000000,'Powell-Elevation-Area'!$B$5:$D$689,3)*$B$20/1000000,"")</f>
        <v>7.8450934441666664</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195</v>
      </c>
    </row>
    <row r="135" spans="1:14" x14ac:dyDescent="0.35">
      <c r="A135" s="32" t="s">
        <v>310</v>
      </c>
      <c r="B135" s="1"/>
      <c r="C135" s="87" t="str">
        <f ca="1">IF(C$26&lt;&gt;"",VLOOKUP(C131,PowellReleaseTemperature!$A$5:$B$11,2),"")</f>
        <v>&lt; 18</v>
      </c>
      <c r="D135" s="87" t="str">
        <f ca="1">IF(D$26&lt;&gt;"",VLOOKUP(D131,PowellReleaseTemperature!$A$5:$B$11,2),"")</f>
        <v>&lt; 18</v>
      </c>
      <c r="E135" s="87" t="str">
        <f ca="1">IF(E$26&lt;&gt;"",VLOOKUP(E131,PowellReleaseTemperature!$A$5:$B$11,2),"")</f>
        <v>&lt; 18</v>
      </c>
      <c r="F135" s="87" t="str">
        <f ca="1">IF(F$26&lt;&gt;"",VLOOKUP(F131,PowellReleaseTemperature!$A$5:$B$11,2),"")</f>
        <v>&lt; 18</v>
      </c>
      <c r="G135" s="87" t="str">
        <f ca="1">IF(G$26&lt;&gt;"",VLOOKUP(G131,PowellReleaseTemperature!$A$5:$B$11,2),"")</f>
        <v>&lt; 18</v>
      </c>
      <c r="H135" s="87" t="str">
        <f>IF(H$26&lt;&gt;"",VLOOKUP(H131,PowellReleaseTemperature!$A$5:$B$11,2),"")</f>
        <v/>
      </c>
      <c r="I135" s="87" t="str">
        <f>IF(I$26&lt;&gt;"",VLOOKUP(I131,PowellReleaseTemperature!$A$5:$B$11,2),"")</f>
        <v/>
      </c>
      <c r="J135" s="87" t="str">
        <f>IF(J$26&lt;&gt;"",VLOOKUP(J131,PowellReleaseTemperature!$A$5:$B$11,2),"")</f>
        <v/>
      </c>
      <c r="K135" s="87" t="str">
        <f>IF(K$26&lt;&gt;"",VLOOKUP(K131,PowellReleaseTemperature!$A$5:$B$11,2),"")</f>
        <v/>
      </c>
      <c r="L135" s="87" t="str">
        <f>IF(L$26&lt;&gt;"",VLOOKUP(L131,PowellReleaseTemperature!$A$5:$B$11,2),"")</f>
        <v/>
      </c>
      <c r="N135" t="s">
        <v>301</v>
      </c>
    </row>
    <row r="136" spans="1:14" s="89" customFormat="1" ht="62.5" customHeight="1" x14ac:dyDescent="0.35">
      <c r="A136" s="121" t="s">
        <v>311</v>
      </c>
      <c r="B136" s="88"/>
      <c r="C136" s="120" t="str">
        <f ca="1">IF(C$26&lt;&gt;"",VLOOKUP(C$131,PowellReleaseTemperature!$A$5:$E$11,5),"")</f>
        <v>May benefit or face invasion</v>
      </c>
      <c r="D136" s="120" t="str">
        <f ca="1">IF(D$26&lt;&gt;"",VLOOKUP(D$131,PowellReleaseTemperature!$A$5:$E$11,5),"")</f>
        <v>May benefit or face invasion</v>
      </c>
      <c r="E136" s="120" t="str">
        <f ca="1">IF(E$26&lt;&gt;"",VLOOKUP(E$131,PowellReleaseTemperature!$A$5:$E$11,5),"")</f>
        <v>May benefit or face invasion</v>
      </c>
      <c r="F136" s="120" t="str">
        <f ca="1">IF(F$26&lt;&gt;"",VLOOKUP(F$131,PowellReleaseTemperature!$A$5:$E$11,5),"")</f>
        <v>May benefit or face invasion</v>
      </c>
      <c r="G136" s="120" t="str">
        <f ca="1">IF(G$26&lt;&gt;"",VLOOKUP(G$131,PowellReleaseTemperature!$A$5:$E$11,5),"")</f>
        <v>May benefit or face invasion</v>
      </c>
      <c r="H136" s="120" t="str">
        <f>IF(H$26&lt;&gt;"",VLOOKUP(H$131,PowellReleaseTemperature!$A$5:$E$11,5),"")</f>
        <v/>
      </c>
      <c r="I136" s="120" t="str">
        <f>IF(I$26&lt;&gt;"",VLOOKUP(I$131,PowellReleaseTemperature!$A$5:$E$11,5),"")</f>
        <v/>
      </c>
      <c r="J136" s="120" t="str">
        <f>IF(J$26&lt;&gt;"",VLOOKUP(J$131,PowellReleaseTemperature!$A$5:$E$11,5),"")</f>
        <v/>
      </c>
      <c r="K136" s="120" t="str">
        <f>IF(K$26&lt;&gt;"",VLOOKUP(K$131,PowellReleaseTemperature!$A$5:$E$11,5),"")</f>
        <v/>
      </c>
      <c r="L136" s="120" t="str">
        <f>IF(L$26&lt;&gt;"",VLOOKUP(L$131,PowellReleaseTemperature!$A$5:$E$11,5),"")</f>
        <v/>
      </c>
    </row>
    <row r="137" spans="1:14" s="89" customFormat="1" ht="32" customHeight="1" x14ac:dyDescent="0.35">
      <c r="A137" s="121" t="s">
        <v>317</v>
      </c>
      <c r="B137" s="88"/>
      <c r="C137" s="120" t="str">
        <f ca="1">IF(C$26&lt;&gt;"",VLOOKUP(C$131,PowellReleaseTemperature!$A$5:$F$11,6),"")</f>
        <v>Help grow + incubate</v>
      </c>
      <c r="D137" s="120" t="str">
        <f ca="1">IF(D$26&lt;&gt;"",VLOOKUP(D$131,PowellReleaseTemperature!$A$5:$F$11,6),"")</f>
        <v>Help grow + incubate</v>
      </c>
      <c r="E137" s="120" t="str">
        <f ca="1">IF(E$26&lt;&gt;"",VLOOKUP(E$131,PowellReleaseTemperature!$A$5:$F$11,6),"")</f>
        <v>Help grow + incubate</v>
      </c>
      <c r="F137" s="120" t="str">
        <f ca="1">IF(F$26&lt;&gt;"",VLOOKUP(F$131,PowellReleaseTemperature!$A$5:$F$11,6),"")</f>
        <v>Help grow + incubate</v>
      </c>
      <c r="G137" s="120" t="str">
        <f ca="1">IF(G$26&lt;&gt;"",VLOOKUP(G$131,PowellReleaseTemperature!$A$5:$F$11,6),"")</f>
        <v>Help grow + incubate</v>
      </c>
      <c r="H137" s="120" t="str">
        <f>IF(H$26&lt;&gt;"",VLOOKUP(H$131,PowellReleaseTemperature!$A$5:$F$11,6),"")</f>
        <v/>
      </c>
      <c r="I137" s="120" t="str">
        <f>IF(I$26&lt;&gt;"",VLOOKUP(I$131,PowellReleaseTemperature!$A$5:$F$11,6),"")</f>
        <v/>
      </c>
      <c r="J137" s="120" t="str">
        <f>IF(J$26&lt;&gt;"",VLOOKUP(J$131,PowellReleaseTemperature!$A$5:$F$11,6),"")</f>
        <v/>
      </c>
      <c r="K137" s="120" t="str">
        <f>IF(K$26&lt;&gt;"",VLOOKUP(K$131,PowellReleaseTemperature!$A$5:$F$11,6),"")</f>
        <v/>
      </c>
      <c r="L137" s="120" t="str">
        <f>IF(L$26&lt;&gt;"",VLOOKUP(L$131,PowellReleaseTemperature!$A$5:$F$11,6),"")</f>
        <v/>
      </c>
    </row>
    <row r="138" spans="1:14" x14ac:dyDescent="0.35">
      <c r="C138" s="29"/>
    </row>
    <row r="139" spans="1:14" x14ac:dyDescent="0.35">
      <c r="A139" s="1" t="s">
        <v>125</v>
      </c>
      <c r="C139" s="140">
        <f>IF(C$26&lt;&gt;"",0.2,"")</f>
        <v>0.2</v>
      </c>
      <c r="D139" s="140">
        <f t="shared" ref="D139:L139" si="56">IF(D$26&lt;&gt;"",0.2,"")</f>
        <v>0.2</v>
      </c>
      <c r="E139" s="140">
        <f t="shared" si="56"/>
        <v>0.2</v>
      </c>
      <c r="F139" s="140">
        <f t="shared" si="56"/>
        <v>0.2</v>
      </c>
      <c r="G139" s="140">
        <f t="shared" si="56"/>
        <v>0.2</v>
      </c>
      <c r="H139" s="140" t="str">
        <f t="shared" si="56"/>
        <v/>
      </c>
      <c r="I139" s="140" t="str">
        <f t="shared" si="56"/>
        <v/>
      </c>
      <c r="J139" s="140" t="str">
        <f t="shared" si="56"/>
        <v/>
      </c>
      <c r="K139" s="140" t="str">
        <f t="shared" si="56"/>
        <v/>
      </c>
      <c r="L139" s="140" t="str">
        <f t="shared" si="56"/>
        <v/>
      </c>
    </row>
    <row r="140" spans="1:14" x14ac:dyDescent="0.35">
      <c r="A140" t="s">
        <v>126</v>
      </c>
      <c r="C140" s="14">
        <f t="shared" ref="C140:L140" ca="1" si="57">IF(C$26&lt;&gt;"",C115+C139,"")</f>
        <v>7.4590000000000005</v>
      </c>
      <c r="D140" s="14">
        <f t="shared" ca="1" si="57"/>
        <v>7.0870000000000006</v>
      </c>
      <c r="E140" s="14">
        <f t="shared" ca="1" si="57"/>
        <v>6.6870000000000003</v>
      </c>
      <c r="F140" s="14">
        <f t="shared" ca="1" si="57"/>
        <v>6.6290000000000004</v>
      </c>
      <c r="G140" s="14">
        <f t="shared" ca="1" si="57"/>
        <v>6.6290000000000004</v>
      </c>
      <c r="H140" s="14" t="str">
        <f t="shared" si="57"/>
        <v/>
      </c>
      <c r="I140" s="14" t="str">
        <f t="shared" si="57"/>
        <v/>
      </c>
      <c r="J140" s="14" t="str">
        <f t="shared" si="57"/>
        <v/>
      </c>
      <c r="K140" s="14" t="str">
        <f t="shared" si="57"/>
        <v/>
      </c>
      <c r="L140" s="14" t="str">
        <f t="shared" si="57"/>
        <v/>
      </c>
    </row>
    <row r="142" spans="1:14" x14ac:dyDescent="0.35">
      <c r="D142" s="18"/>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H61">
    <cfRule type="cellIs" dxfId="181" priority="68" operator="greaterThan">
      <formula>$H$60</formula>
    </cfRule>
  </conditionalFormatting>
  <conditionalFormatting sqref="I61">
    <cfRule type="cellIs" dxfId="180" priority="67" operator="greaterThan">
      <formula>$I$60</formula>
    </cfRule>
  </conditionalFormatting>
  <conditionalFormatting sqref="J61">
    <cfRule type="cellIs" dxfId="179" priority="66" operator="greaterThan">
      <formula>$J$60</formula>
    </cfRule>
  </conditionalFormatting>
  <conditionalFormatting sqref="K61">
    <cfRule type="cellIs" dxfId="178" priority="65" operator="greaterThan">
      <formula>$K$60</formula>
    </cfRule>
  </conditionalFormatting>
  <conditionalFormatting sqref="L61">
    <cfRule type="cellIs" dxfId="177" priority="64" operator="greaterThan">
      <formula>$L$60</formula>
    </cfRule>
  </conditionalFormatting>
  <conditionalFormatting sqref="H69">
    <cfRule type="cellIs" dxfId="176" priority="51" operator="greaterThan">
      <formula>$H$68</formula>
    </cfRule>
  </conditionalFormatting>
  <conditionalFormatting sqref="I69">
    <cfRule type="cellIs" dxfId="175" priority="50" operator="greaterThan">
      <formula>$I$68</formula>
    </cfRule>
  </conditionalFormatting>
  <conditionalFormatting sqref="J69">
    <cfRule type="cellIs" dxfId="174" priority="49" operator="greaterThan">
      <formula>$J$68</formula>
    </cfRule>
  </conditionalFormatting>
  <conditionalFormatting sqref="K69">
    <cfRule type="cellIs" dxfId="173" priority="48" operator="greaterThan">
      <formula>$K$68</formula>
    </cfRule>
  </conditionalFormatting>
  <conditionalFormatting sqref="L69">
    <cfRule type="cellIs" dxfId="172" priority="47" operator="greaterThan">
      <formula>$L$68</formula>
    </cfRule>
  </conditionalFormatting>
  <conditionalFormatting sqref="C77:G77">
    <cfRule type="cellIs" dxfId="171" priority="46" operator="greaterThan">
      <formula>$C$76</formula>
    </cfRule>
  </conditionalFormatting>
  <conditionalFormatting sqref="H77">
    <cfRule type="cellIs" dxfId="170" priority="41" operator="greaterThan">
      <formula>$H$76</formula>
    </cfRule>
  </conditionalFormatting>
  <conditionalFormatting sqref="I77">
    <cfRule type="cellIs" dxfId="169" priority="40" operator="greaterThan">
      <formula>$I$76</formula>
    </cfRule>
  </conditionalFormatting>
  <conditionalFormatting sqref="J77">
    <cfRule type="cellIs" dxfId="168" priority="39" operator="greaterThan">
      <formula>$J$76</formula>
    </cfRule>
  </conditionalFormatting>
  <conditionalFormatting sqref="K77">
    <cfRule type="cellIs" dxfId="167" priority="38" operator="greaterThan">
      <formula>$K$76</formula>
    </cfRule>
  </conditionalFormatting>
  <conditionalFormatting sqref="L77">
    <cfRule type="cellIs" dxfId="166" priority="37" operator="greaterThan">
      <formula>$L$76</formula>
    </cfRule>
  </conditionalFormatting>
  <conditionalFormatting sqref="C85:L85">
    <cfRule type="cellIs" dxfId="165" priority="36" operator="greaterThan">
      <formula>$C$84</formula>
    </cfRule>
  </conditionalFormatting>
  <conditionalFormatting sqref="C93">
    <cfRule type="cellIs" dxfId="164" priority="35" operator="greaterThan">
      <formula>$C$92</formula>
    </cfRule>
  </conditionalFormatting>
  <conditionalFormatting sqref="D93">
    <cfRule type="cellIs" dxfId="163" priority="34" operator="greaterThan">
      <formula>$D$92</formula>
    </cfRule>
  </conditionalFormatting>
  <conditionalFormatting sqref="E93">
    <cfRule type="cellIs" dxfId="162" priority="33" operator="greaterThan">
      <formula>$E$92</formula>
    </cfRule>
  </conditionalFormatting>
  <conditionalFormatting sqref="F93">
    <cfRule type="cellIs" dxfId="161" priority="32" operator="greaterThan">
      <formula>$F$92</formula>
    </cfRule>
  </conditionalFormatting>
  <conditionalFormatting sqref="G93">
    <cfRule type="cellIs" dxfId="160" priority="31" operator="greaterThan">
      <formula>$G$92</formula>
    </cfRule>
  </conditionalFormatting>
  <conditionalFormatting sqref="H93">
    <cfRule type="cellIs" dxfId="159" priority="30" operator="greaterThan">
      <formula>$H$92</formula>
    </cfRule>
  </conditionalFormatting>
  <conditionalFormatting sqref="I93">
    <cfRule type="cellIs" dxfId="158" priority="29" operator="greaterThan">
      <formula>$I$92</formula>
    </cfRule>
  </conditionalFormatting>
  <conditionalFormatting sqref="J93">
    <cfRule type="cellIs" dxfId="157" priority="28" operator="greaterThan">
      <formula>$J$92</formula>
    </cfRule>
  </conditionalFormatting>
  <conditionalFormatting sqref="K93">
    <cfRule type="cellIs" dxfId="156" priority="27" operator="greaterThan">
      <formula>$K$92</formula>
    </cfRule>
  </conditionalFormatting>
  <conditionalFormatting sqref="L93">
    <cfRule type="cellIs" dxfId="155" priority="26" operator="greaterThan">
      <formula>$L$92</formula>
    </cfRule>
  </conditionalFormatting>
  <conditionalFormatting sqref="C101">
    <cfRule type="cellIs" dxfId="154" priority="25" operator="greaterThan">
      <formula>$C$100</formula>
    </cfRule>
  </conditionalFormatting>
  <conditionalFormatting sqref="D101">
    <cfRule type="cellIs" dxfId="153" priority="24" operator="greaterThan">
      <formula>$D$100</formula>
    </cfRule>
  </conditionalFormatting>
  <conditionalFormatting sqref="E101">
    <cfRule type="cellIs" dxfId="152" priority="23" operator="greaterThan">
      <formula>$E$100</formula>
    </cfRule>
  </conditionalFormatting>
  <conditionalFormatting sqref="F101">
    <cfRule type="cellIs" dxfId="151" priority="22" operator="greaterThan">
      <formula>$F$100</formula>
    </cfRule>
  </conditionalFormatting>
  <conditionalFormatting sqref="G101">
    <cfRule type="cellIs" dxfId="150" priority="21" operator="greaterThan">
      <formula>$G$100</formula>
    </cfRule>
  </conditionalFormatting>
  <conditionalFormatting sqref="H101">
    <cfRule type="cellIs" dxfId="149" priority="20" operator="greaterThan">
      <formula>$H$100</formula>
    </cfRule>
  </conditionalFormatting>
  <conditionalFormatting sqref="I101">
    <cfRule type="cellIs" dxfId="148" priority="19" operator="greaterThan">
      <formula>$I$100</formula>
    </cfRule>
  </conditionalFormatting>
  <conditionalFormatting sqref="J101">
    <cfRule type="cellIs" dxfId="147" priority="18" operator="greaterThan">
      <formula>$J$100</formula>
    </cfRule>
  </conditionalFormatting>
  <conditionalFormatting sqref="K101">
    <cfRule type="cellIs" dxfId="146" priority="17" operator="greaterThan">
      <formula>$K$100</formula>
    </cfRule>
  </conditionalFormatting>
  <conditionalFormatting sqref="L101">
    <cfRule type="cellIs" dxfId="145" priority="16" operator="greaterThan">
      <formula>$L$100</formula>
    </cfRule>
  </conditionalFormatting>
  <conditionalFormatting sqref="C61:G61">
    <cfRule type="cellIs" dxfId="144" priority="3" operator="greaterThan">
      <formula>$C$60</formula>
    </cfRule>
  </conditionalFormatting>
  <conditionalFormatting sqref="C69:G69">
    <cfRule type="cellIs" dxfId="14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0" id="{7DFB3B33-F09C-4326-AAE0-02E002636590}">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9" id="{DD734D11-C54A-4667-8B72-BD185DD9879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8" id="{B7DD54B1-21FF-4A67-90EC-0A7F3EBF19ED}">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7" id="{FE5AA2CD-6C45-435E-8CE6-1B1A09F268FD}">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5" id="{27A39E32-B6CB-45CD-94CA-98C427B89FE5}">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11" operator="equal" id="{79B988C8-929F-4BF5-B845-846665916511}">
            <xm:f>PowellReleaseTemperature!$B$10</xm:f>
            <x14:dxf>
              <font>
                <color auto="1"/>
              </font>
              <fill>
                <patternFill>
                  <bgColor theme="4"/>
                </patternFill>
              </fill>
            </x14:dxf>
          </x14:cfRule>
          <x14:cfRule type="cellIs" priority="12" operator="equal" id="{49FD7463-C00D-4457-AA50-7BC1D6244BFB}">
            <xm:f>PowellReleaseTemperature!$B$9</xm:f>
            <x14:dxf>
              <font>
                <color theme="4" tint="-0.24994659260841701"/>
              </font>
              <fill>
                <patternFill>
                  <bgColor theme="8" tint="0.59996337778862885"/>
                </patternFill>
              </fill>
            </x14:dxf>
          </x14:cfRule>
          <x14:cfRule type="cellIs" priority="13" operator="equal" id="{59A30C37-C9BD-4AC1-B714-9F73CE8EF149}">
            <xm:f>PowellReleaseTemperature!$B$8</xm:f>
            <x14:dxf>
              <font>
                <color rgb="FF9C0006"/>
              </font>
              <fill>
                <patternFill>
                  <bgColor rgb="FFFFC7CE"/>
                </patternFill>
              </fill>
            </x14:dxf>
          </x14:cfRule>
          <x14:cfRule type="cellIs" priority="14" operator="equal" id="{B709AA91-3718-46E0-B9B9-20513CAABBA9}">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4C7A953-D429-4741-BFC1-A642109190D7}">
            <xm:f>PowellReleaseTemperature!$E$5</xm:f>
            <x14:dxf>
              <font>
                <color auto="1"/>
              </font>
              <fill>
                <patternFill>
                  <bgColor rgb="FFFF0000"/>
                </patternFill>
              </fill>
            </x14:dxf>
          </x14:cfRule>
          <x14:cfRule type="cellIs" priority="8" operator="equal" id="{C258EB03-05B0-4D8D-BCD6-BEEA299FD416}">
            <xm:f>PowellReleaseTemperature!$E$8</xm:f>
            <x14:dxf>
              <font>
                <color rgb="FF9C0006"/>
              </font>
              <fill>
                <patternFill>
                  <bgColor rgb="FFFFC7CE"/>
                </patternFill>
              </fill>
            </x14:dxf>
          </x14:cfRule>
          <x14:cfRule type="cellIs" priority="9" operator="equal" id="{A891A51A-59BB-49D9-82C1-B6B9490A21CB}">
            <xm:f>PowellReleaseTemperature!$E$9</xm:f>
            <x14:dxf>
              <font>
                <color theme="4" tint="-0.24994659260841701"/>
              </font>
              <fill>
                <patternFill>
                  <bgColor theme="8" tint="0.59996337778862885"/>
                </patternFill>
              </fill>
            </x14:dxf>
          </x14:cfRule>
          <x14:cfRule type="cellIs" priority="10" operator="equal" id="{73F663DC-99E3-40B7-993E-DC4A376C79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4DB72272-F1AE-4752-BC9A-2E2F4F1B5B27}">
            <xm:f>PowellReleaseTemperature!$F$10</xm:f>
            <x14:dxf>
              <font>
                <color auto="1"/>
              </font>
              <fill>
                <patternFill>
                  <bgColor theme="4"/>
                </patternFill>
              </fill>
            </x14:dxf>
          </x14:cfRule>
          <x14:cfRule type="cellIs" priority="5" operator="equal" id="{58B9B8C2-161B-4EF0-9756-72A259955787}">
            <xm:f>PowellReleaseTemperature!$F$9</xm:f>
            <x14:dxf>
              <font>
                <color theme="4" tint="-0.24994659260841701"/>
              </font>
              <fill>
                <patternFill>
                  <bgColor theme="8" tint="0.59996337778862885"/>
                </patternFill>
              </fill>
            </x14:dxf>
          </x14:cfRule>
          <x14:cfRule type="cellIs" priority="6" operator="equal" id="{00604EC6-EA18-4A63-86B9-9C3DF0557729}">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E7AB9E4-02D7-4E98-9BF7-D162E72A3DF2}">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95F07-ABFE-4054-9DA4-E9E994146561}">
  <dimension ref="G1:X1"/>
  <sheetViews>
    <sheetView topLeftCell="A2" workbookViewId="0">
      <selection activeCell="I39" sqref="I39"/>
    </sheetView>
  </sheetViews>
  <sheetFormatPr defaultRowHeight="14.5" x14ac:dyDescent="0.35"/>
  <sheetData>
    <row r="1" spans="7:24" ht="36" x14ac:dyDescent="0.8">
      <c r="G1" s="47" t="s">
        <v>39</v>
      </c>
      <c r="P1" s="47" t="s">
        <v>40</v>
      </c>
      <c r="X1" s="47" t="s">
        <v>210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AAC2C-517F-4FFE-A9AE-05C05642D3D7}">
  <dimension ref="A1:N142"/>
  <sheetViews>
    <sheetView zoomScale="150" zoomScaleNormal="150" workbookViewId="0">
      <selection activeCell="B13" sqref="B13:F13"/>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8.90625" customWidth="1"/>
    <col min="8" max="8" width="7.36328125" customWidth="1"/>
    <col min="9" max="9" width="7.7265625" customWidth="1"/>
    <col min="10" max="10" width="10.7265625" customWidth="1"/>
    <col min="11" max="11" width="10.54296875" customWidth="1"/>
    <col min="12" max="12" width="10.90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73" t="s">
        <v>151</v>
      </c>
      <c r="B3" s="173"/>
      <c r="C3" s="173"/>
      <c r="D3" s="173"/>
      <c r="E3" s="173"/>
      <c r="F3" s="173"/>
      <c r="G3" s="173"/>
      <c r="H3" s="118"/>
      <c r="I3" s="118"/>
      <c r="J3" s="118"/>
      <c r="K3" s="118"/>
    </row>
    <row r="4" spans="1:13" x14ac:dyDescent="0.35">
      <c r="A4" s="53" t="s">
        <v>38</v>
      </c>
      <c r="B4" s="53" t="s">
        <v>42</v>
      </c>
      <c r="C4" s="174" t="s">
        <v>43</v>
      </c>
      <c r="D4" s="175"/>
      <c r="E4" s="175"/>
      <c r="F4" s="175"/>
      <c r="G4" s="176"/>
      <c r="M4" s="1" t="s">
        <v>321</v>
      </c>
    </row>
    <row r="5" spans="1:13" x14ac:dyDescent="0.35">
      <c r="A5" s="133" t="s">
        <v>39</v>
      </c>
      <c r="B5" s="133"/>
      <c r="C5" s="177" t="s">
        <v>152</v>
      </c>
      <c r="D5" s="178"/>
      <c r="E5" s="178"/>
      <c r="F5" s="178"/>
      <c r="G5" s="178"/>
      <c r="M5" t="s">
        <v>322</v>
      </c>
    </row>
    <row r="6" spans="1:13" x14ac:dyDescent="0.35">
      <c r="A6" s="133" t="s">
        <v>40</v>
      </c>
      <c r="B6" s="133"/>
      <c r="C6" s="177" t="s">
        <v>152</v>
      </c>
      <c r="D6" s="178"/>
      <c r="E6" s="178"/>
      <c r="F6" s="178"/>
      <c r="G6" s="178"/>
      <c r="M6" t="s">
        <v>327</v>
      </c>
    </row>
    <row r="7" spans="1:13" x14ac:dyDescent="0.35">
      <c r="A7" s="133" t="s">
        <v>41</v>
      </c>
      <c r="B7" s="133"/>
      <c r="C7" s="177" t="s">
        <v>152</v>
      </c>
      <c r="D7" s="178"/>
      <c r="E7" s="178"/>
      <c r="F7" s="178"/>
      <c r="G7" s="178"/>
      <c r="M7" t="s">
        <v>328</v>
      </c>
    </row>
    <row r="8" spans="1:13" x14ac:dyDescent="0.35">
      <c r="A8" s="117" t="s">
        <v>157</v>
      </c>
      <c r="B8" s="117"/>
      <c r="C8" s="179" t="s">
        <v>332</v>
      </c>
      <c r="D8" s="179"/>
      <c r="E8" s="179"/>
      <c r="F8" s="179"/>
      <c r="G8" s="179"/>
    </row>
    <row r="9" spans="1:13" x14ac:dyDescent="0.35">
      <c r="A9" s="133"/>
      <c r="B9" s="133"/>
      <c r="C9" s="167"/>
      <c r="D9" s="167"/>
      <c r="E9" s="167"/>
      <c r="F9" s="167"/>
      <c r="G9" s="167"/>
    </row>
    <row r="10" spans="1:13" x14ac:dyDescent="0.35">
      <c r="A10" s="133"/>
      <c r="B10" s="133"/>
      <c r="C10" s="167"/>
      <c r="D10" s="167"/>
      <c r="E10" s="167"/>
      <c r="F10" s="167"/>
      <c r="G10" s="167"/>
    </row>
    <row r="11" spans="1:13" x14ac:dyDescent="0.35">
      <c r="A11" s="16"/>
      <c r="B11" s="2"/>
      <c r="C11"/>
    </row>
    <row r="12" spans="1:13" x14ac:dyDescent="0.35">
      <c r="A12" s="19" t="s">
        <v>45</v>
      </c>
      <c r="B12" s="166" t="s">
        <v>198</v>
      </c>
      <c r="C12" s="166"/>
      <c r="D12" s="166"/>
      <c r="E12" s="166"/>
      <c r="F12" s="166"/>
    </row>
    <row r="13" spans="1:13" x14ac:dyDescent="0.35">
      <c r="B13" s="168" t="s">
        <v>351</v>
      </c>
      <c r="C13" s="169"/>
      <c r="D13" s="169"/>
      <c r="E13" s="169"/>
      <c r="F13" s="169"/>
    </row>
    <row r="14" spans="1:13" x14ac:dyDescent="0.35">
      <c r="B14" s="170" t="s">
        <v>330</v>
      </c>
      <c r="C14" s="171"/>
      <c r="D14" s="171"/>
      <c r="E14" s="171"/>
      <c r="F14" s="171"/>
    </row>
    <row r="15" spans="1:13" x14ac:dyDescent="0.35">
      <c r="B15" s="172" t="s">
        <v>46</v>
      </c>
      <c r="C15" s="172"/>
      <c r="D15" s="172"/>
      <c r="E15" s="172"/>
      <c r="F15" s="172"/>
    </row>
    <row r="17" spans="1:14" x14ac:dyDescent="0.35">
      <c r="A17" s="1" t="s">
        <v>53</v>
      </c>
      <c r="D17" s="166" t="s">
        <v>154</v>
      </c>
      <c r="E17" s="166"/>
      <c r="F17" s="166"/>
      <c r="G17" s="166"/>
    </row>
    <row r="19" spans="1:14" x14ac:dyDescent="0.35">
      <c r="A19" s="1" t="s">
        <v>32</v>
      </c>
      <c r="B19" s="1" t="s">
        <v>110</v>
      </c>
      <c r="C19" s="13" t="s">
        <v>111</v>
      </c>
    </row>
    <row r="20" spans="1:14" x14ac:dyDescent="0.35">
      <c r="A20" t="s">
        <v>109</v>
      </c>
      <c r="B20" s="140">
        <v>5.73</v>
      </c>
      <c r="C20" s="140">
        <v>6</v>
      </c>
      <c r="D20" s="23" t="s">
        <v>112</v>
      </c>
    </row>
    <row r="21" spans="1:14" x14ac:dyDescent="0.35">
      <c r="A21" t="s">
        <v>141</v>
      </c>
      <c r="B21" s="140">
        <v>11</v>
      </c>
      <c r="C21" s="140">
        <v>10.1</v>
      </c>
      <c r="D21" s="11" t="s">
        <v>34</v>
      </c>
    </row>
    <row r="22" spans="1:14" x14ac:dyDescent="0.35">
      <c r="A22" t="s">
        <v>189</v>
      </c>
      <c r="B22" s="62">
        <v>3525</v>
      </c>
      <c r="C22" s="62">
        <v>1020</v>
      </c>
      <c r="D22" s="11"/>
    </row>
    <row r="23" spans="1:14" x14ac:dyDescent="0.35">
      <c r="A23" t="s">
        <v>175</v>
      </c>
      <c r="B23" s="140">
        <f>VLOOKUP(B22,'Powell-Elevation-Area'!$A$5:$B$689,2)/1000000</f>
        <v>5.9265762500000001</v>
      </c>
      <c r="C23" s="140">
        <f>VLOOKUP(C22,'Mead-Elevation-Area'!$A$5:$B$689,2)/1000000</f>
        <v>5.664593</v>
      </c>
      <c r="D23" s="11"/>
      <c r="E23" s="45"/>
    </row>
    <row r="25" spans="1:14" s="1" customFormat="1" x14ac:dyDescent="0.35">
      <c r="A25" s="146" t="s">
        <v>35</v>
      </c>
      <c r="B25" s="147" t="s">
        <v>48</v>
      </c>
      <c r="C25" s="147" t="s">
        <v>5</v>
      </c>
      <c r="D25" s="147" t="s">
        <v>6</v>
      </c>
      <c r="E25" s="147" t="s">
        <v>7</v>
      </c>
      <c r="F25" s="147" t="s">
        <v>8</v>
      </c>
      <c r="G25" s="147" t="s">
        <v>9</v>
      </c>
      <c r="H25" s="147" t="s">
        <v>10</v>
      </c>
      <c r="I25" s="147" t="s">
        <v>11</v>
      </c>
      <c r="J25" s="147" t="s">
        <v>12</v>
      </c>
      <c r="K25" s="147" t="s">
        <v>36</v>
      </c>
      <c r="L25" s="147" t="s">
        <v>37</v>
      </c>
      <c r="M25" s="147" t="s">
        <v>107</v>
      </c>
      <c r="N25" s="147" t="s">
        <v>172</v>
      </c>
    </row>
    <row r="26" spans="1:14" x14ac:dyDescent="0.35">
      <c r="A26" s="1" t="s">
        <v>44</v>
      </c>
      <c r="B26" s="1"/>
      <c r="C26" s="141">
        <v>12.4</v>
      </c>
      <c r="D26" s="141">
        <v>12.4</v>
      </c>
      <c r="E26" s="141">
        <v>12.4</v>
      </c>
      <c r="F26" s="141">
        <v>12.4</v>
      </c>
      <c r="G26" s="141">
        <v>12.4</v>
      </c>
      <c r="H26" s="141">
        <v>12.4</v>
      </c>
      <c r="I26" s="141">
        <v>14.4</v>
      </c>
      <c r="J26" s="141">
        <v>14.4</v>
      </c>
      <c r="K26" s="141">
        <v>14.4</v>
      </c>
      <c r="L26" s="141">
        <v>14.4</v>
      </c>
    </row>
    <row r="27" spans="1:14" x14ac:dyDescent="0.35">
      <c r="A27" s="1" t="s">
        <v>121</v>
      </c>
      <c r="B27" s="1"/>
      <c r="C27" s="140">
        <f>IF(C$26&lt;&gt;"",0.8,"")</f>
        <v>0.8</v>
      </c>
      <c r="D27" s="140">
        <f t="shared" ref="D27:L27" si="0">IF(D$26&lt;&gt;"",0.8,"")</f>
        <v>0.8</v>
      </c>
      <c r="E27" s="140">
        <f t="shared" si="0"/>
        <v>0.8</v>
      </c>
      <c r="F27" s="140">
        <f t="shared" si="0"/>
        <v>0.8</v>
      </c>
      <c r="G27" s="140">
        <f t="shared" si="0"/>
        <v>0.8</v>
      </c>
      <c r="H27" s="140">
        <f t="shared" si="0"/>
        <v>0.8</v>
      </c>
      <c r="I27" s="140">
        <f t="shared" si="0"/>
        <v>0.8</v>
      </c>
      <c r="J27" s="140">
        <f t="shared" si="0"/>
        <v>0.8</v>
      </c>
      <c r="K27" s="140">
        <f t="shared" si="0"/>
        <v>0.8</v>
      </c>
      <c r="L27" s="140">
        <f t="shared" si="0"/>
        <v>0.8</v>
      </c>
    </row>
    <row r="28" spans="1:14" x14ac:dyDescent="0.35">
      <c r="A28" s="1" t="s">
        <v>305</v>
      </c>
      <c r="B28" s="1"/>
      <c r="C28" s="140">
        <f>IF(C$26&lt;&gt;"",0.6,"")</f>
        <v>0.6</v>
      </c>
      <c r="D28" s="140">
        <f t="shared" ref="D28:L28" si="1">IF(D$26&lt;&gt;"",0.6,"")</f>
        <v>0.6</v>
      </c>
      <c r="E28" s="140">
        <f t="shared" si="1"/>
        <v>0.6</v>
      </c>
      <c r="F28" s="140">
        <f t="shared" si="1"/>
        <v>0.6</v>
      </c>
      <c r="G28" s="140">
        <f t="shared" si="1"/>
        <v>0.6</v>
      </c>
      <c r="H28" s="140">
        <f t="shared" si="1"/>
        <v>0.6</v>
      </c>
      <c r="I28" s="140">
        <f t="shared" si="1"/>
        <v>0.6</v>
      </c>
      <c r="J28" s="140">
        <f t="shared" si="1"/>
        <v>0.6</v>
      </c>
      <c r="K28" s="140">
        <f t="shared" si="1"/>
        <v>0.6</v>
      </c>
      <c r="L28" s="140">
        <f t="shared" si="1"/>
        <v>0.6</v>
      </c>
    </row>
    <row r="29" spans="1:14" x14ac:dyDescent="0.35">
      <c r="A29" s="1" t="s">
        <v>124</v>
      </c>
      <c r="B29" s="114">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17.162921521073159</v>
      </c>
      <c r="K29" s="14">
        <f t="shared" ca="1" si="2"/>
        <v>18.865595442887294</v>
      </c>
      <c r="L29" s="14">
        <f t="shared" ca="1" si="2"/>
        <v>20.49333624534794</v>
      </c>
    </row>
    <row r="30" spans="1:14" x14ac:dyDescent="0.35">
      <c r="A30" t="str">
        <f t="shared" ref="A30:A35" si="3">IF(A5="","","    "&amp;A5&amp;" Balance")</f>
        <v xml:space="preserve">    Upper Basin Balance</v>
      </c>
      <c r="B30" s="115">
        <f>B21-B23</f>
        <v>5.0734237499999999</v>
      </c>
      <c r="C30" s="112">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5.4519284043853409</v>
      </c>
      <c r="K30" s="14">
        <f t="shared" ca="1" si="4"/>
        <v>7.1609068947687797</v>
      </c>
      <c r="L30" s="14">
        <f t="shared" ca="1" si="4"/>
        <v>8.7943918761707423</v>
      </c>
      <c r="N30" t="s">
        <v>177</v>
      </c>
    </row>
    <row r="31" spans="1:14" x14ac:dyDescent="0.35">
      <c r="A31" t="str">
        <f t="shared" si="3"/>
        <v xml:space="preserve">    Lower Basin Balance</v>
      </c>
      <c r="B31" s="115">
        <f>C21-C23-B32</f>
        <v>4.2614069999999993</v>
      </c>
      <c r="C31" s="112">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0</v>
      </c>
      <c r="K31" s="14">
        <f t="shared" ca="1" si="6"/>
        <v>0</v>
      </c>
      <c r="L31" s="14">
        <f t="shared" ca="1" si="6"/>
        <v>0</v>
      </c>
      <c r="N31" t="s">
        <v>174</v>
      </c>
    </row>
    <row r="32" spans="1:14" x14ac:dyDescent="0.35">
      <c r="A32" t="str">
        <f t="shared" si="3"/>
        <v xml:space="preserve">    Mexico Balance</v>
      </c>
      <c r="B32" s="116">
        <v>0.17399999999999999</v>
      </c>
      <c r="C32" s="113">
        <f t="shared" si="5"/>
        <v>0.17399999999999999</v>
      </c>
      <c r="D32" s="52">
        <f t="shared" ca="1" si="6"/>
        <v>0.16557297647772518</v>
      </c>
      <c r="E32" s="52">
        <f t="shared" ca="1" si="6"/>
        <v>0.15735694647678922</v>
      </c>
      <c r="F32" s="52">
        <f t="shared" ca="1" si="6"/>
        <v>0.14931228563432986</v>
      </c>
      <c r="G32" s="52">
        <f t="shared" ca="1" si="6"/>
        <v>0.14154478800417558</v>
      </c>
      <c r="H32" s="14">
        <f t="shared" ca="1" si="6"/>
        <v>0.13404274739387745</v>
      </c>
      <c r="I32" s="14">
        <f t="shared" ca="1" si="6"/>
        <v>0.1267980923965879</v>
      </c>
      <c r="J32" s="14">
        <f t="shared" ca="1" si="6"/>
        <v>0.11982386668781775</v>
      </c>
      <c r="K32" s="14">
        <f t="shared" ca="1" si="6"/>
        <v>0.1135192981185138</v>
      </c>
      <c r="L32" s="14">
        <f t="shared" ca="1" si="6"/>
        <v>0.10777511917719851</v>
      </c>
      <c r="N32" t="s">
        <v>173</v>
      </c>
    </row>
    <row r="33" spans="1:14" x14ac:dyDescent="0.35">
      <c r="A33" t="str">
        <f t="shared" si="3"/>
        <v xml:space="preserve">    Shared, Reserve Balance</v>
      </c>
      <c r="B33" s="115">
        <f>SUM(B23:C23)</f>
        <v>11.59116925</v>
      </c>
      <c r="C33" s="112">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c>
      <c r="B34" s="115"/>
      <c r="C34" s="112"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176</v>
      </c>
    </row>
    <row r="35" spans="1:14" x14ac:dyDescent="0.35">
      <c r="A35" t="str">
        <f t="shared" si="3"/>
        <v/>
      </c>
      <c r="B35" s="117"/>
      <c r="C35" s="112"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196</v>
      </c>
      <c r="C36"/>
    </row>
    <row r="37" spans="1:14" x14ac:dyDescent="0.35">
      <c r="A37" t="s">
        <v>113</v>
      </c>
      <c r="C37" s="14">
        <f>IF(C$26&lt;&gt;"",B21,"")</f>
        <v>11</v>
      </c>
      <c r="D37" s="14">
        <f ca="1">IF(D$26&lt;&gt;"",C129,"")</f>
        <v>9.8858844933333465</v>
      </c>
      <c r="E37" s="14">
        <f t="shared" ref="E37:G38" ca="1" si="7">IF(E$26&lt;&gt;"",D129,"")</f>
        <v>9.2421623911669659</v>
      </c>
      <c r="F37" s="14">
        <f t="shared" ca="1" si="7"/>
        <v>8.8220026852505988</v>
      </c>
      <c r="G37" s="14">
        <f t="shared" ca="1" si="7"/>
        <v>8.415399336583647</v>
      </c>
      <c r="H37" s="14">
        <f t="shared" ref="H37:H38" ca="1" si="8">IF(H$26&lt;&gt;"",G129,"")</f>
        <v>8.0217065854166947</v>
      </c>
      <c r="I37" s="14">
        <f t="shared" ref="I37:I38" ca="1" si="9">IF(I$26&lt;&gt;"",H129,"")</f>
        <v>7.6812612237148183</v>
      </c>
      <c r="J37" s="14">
        <f t="shared" ref="J37:J38" ca="1" si="10">IF(J$26&lt;&gt;"",I129,"")</f>
        <v>8.5814607605365794</v>
      </c>
      <c r="K37" s="14">
        <f t="shared" ref="K37:K38" ca="1" si="11">IF(K$26&lt;&gt;"",J129,"")</f>
        <v>9.4327977214436469</v>
      </c>
      <c r="L37" s="14">
        <f t="shared" ref="L37:L38" ca="1" si="12">IF(L$26&lt;&gt;"",K129,"")</f>
        <v>10.24666812267397</v>
      </c>
    </row>
    <row r="38" spans="1:14" x14ac:dyDescent="0.35">
      <c r="A38" t="s">
        <v>114</v>
      </c>
      <c r="C38" s="14">
        <f>IF(C$26&lt;&gt;"",C21,"")</f>
        <v>10.1</v>
      </c>
      <c r="D38" s="14">
        <f ca="1">IF(D$26&lt;&gt;"",C130,"")</f>
        <v>9.8858844933333465</v>
      </c>
      <c r="E38" s="14">
        <f t="shared" ca="1" si="7"/>
        <v>9.2421623911669659</v>
      </c>
      <c r="F38" s="14">
        <f t="shared" ca="1" si="7"/>
        <v>8.8220026852505988</v>
      </c>
      <c r="G38" s="14">
        <f t="shared" ca="1" si="7"/>
        <v>8.415399336583647</v>
      </c>
      <c r="H38" s="14">
        <f t="shared" ca="1" si="8"/>
        <v>8.0217065854166947</v>
      </c>
      <c r="I38" s="14">
        <f t="shared" ca="1" si="9"/>
        <v>7.6812612237148183</v>
      </c>
      <c r="J38" s="14">
        <f t="shared" ca="1" si="10"/>
        <v>8.5814607605365794</v>
      </c>
      <c r="K38" s="14">
        <f t="shared" ca="1" si="11"/>
        <v>9.4327977214436469</v>
      </c>
      <c r="L38" s="14">
        <f t="shared" ca="1" si="12"/>
        <v>10.24666812267397</v>
      </c>
    </row>
    <row r="39" spans="1:14" x14ac:dyDescent="0.35">
      <c r="A39" s="1" t="s">
        <v>119</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0.903032246998827</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35">
      <c r="A40" t="str">
        <f t="shared" ref="A40:A45" si="13">IF(A5="","","    "&amp;A5&amp;" Share")</f>
        <v xml:space="preserve">    Upper Basin Share</v>
      </c>
      <c r="B40" s="1"/>
      <c r="C40" s="14">
        <f t="shared" ref="C40:L45" si="14">IF(OR(C$26="",$A40=""),"",C$39*C30/C$29)</f>
        <v>0.24571184643515467</v>
      </c>
      <c r="D40" s="14">
        <f t="shared" ca="1" si="14"/>
        <v>0.23838539737502931</v>
      </c>
      <c r="E40" s="14">
        <f t="shared" ca="1" si="14"/>
        <v>0.23220325154050594</v>
      </c>
      <c r="F40" s="14">
        <f t="shared" ca="1" si="14"/>
        <v>0.22398638052283681</v>
      </c>
      <c r="G40" s="14">
        <f t="shared" ca="1" si="14"/>
        <v>0.21611072731792424</v>
      </c>
      <c r="H40" s="14">
        <f t="shared" ca="1" si="14"/>
        <v>0.20847104177550577</v>
      </c>
      <c r="I40" s="14">
        <f t="shared" ca="1" si="14"/>
        <v>0.20046003398104176</v>
      </c>
      <c r="J40" s="14">
        <f t="shared" ca="1" si="14"/>
        <v>0.28685484294989555</v>
      </c>
      <c r="K40" s="14">
        <f t="shared" ca="1" si="14"/>
        <v>0.36234835193137271</v>
      </c>
      <c r="L40" s="14">
        <f t="shared" ca="1" si="14"/>
        <v>0.43019831893105437</v>
      </c>
    </row>
    <row r="41" spans="1:14" x14ac:dyDescent="0.35">
      <c r="A41" t="str">
        <f t="shared" si="13"/>
        <v xml:space="preserve">    Lower Basin Share</v>
      </c>
      <c r="B41" s="1"/>
      <c r="C41" s="14">
        <f t="shared" si="14"/>
        <v>0.20638492544244763</v>
      </c>
      <c r="D41" s="14">
        <f t="shared" ca="1" si="14"/>
        <v>0.15933469995544408</v>
      </c>
      <c r="E41" s="14">
        <f t="shared" ca="1" si="14"/>
        <v>0.11215533153819036</v>
      </c>
      <c r="F41" s="14">
        <f t="shared" ca="1" si="14"/>
        <v>8.3125704742465487E-2</v>
      </c>
      <c r="G41" s="14">
        <f t="shared" ca="1" si="14"/>
        <v>5.4093767718670333E-2</v>
      </c>
      <c r="H41" s="14">
        <f t="shared" ca="1" si="14"/>
        <v>2.4916279200049612E-2</v>
      </c>
      <c r="I41" s="14">
        <f t="shared" ca="1" si="14"/>
        <v>0</v>
      </c>
      <c r="J41" s="14">
        <f t="shared" ca="1" si="14"/>
        <v>0</v>
      </c>
      <c r="K41" s="14">
        <f t="shared" ca="1" si="14"/>
        <v>0</v>
      </c>
      <c r="L41" s="14">
        <f t="shared" ca="1" si="14"/>
        <v>0</v>
      </c>
    </row>
    <row r="42" spans="1:14" x14ac:dyDescent="0.35">
      <c r="A42" t="str">
        <f t="shared" si="13"/>
        <v xml:space="preserve">    Mexico Share</v>
      </c>
      <c r="B42" s="1"/>
      <c r="C42" s="14">
        <f t="shared" si="14"/>
        <v>8.4270235222746598E-3</v>
      </c>
      <c r="D42" s="14">
        <f t="shared" ca="1" si="14"/>
        <v>8.2160300009359519E-3</v>
      </c>
      <c r="E42" s="14">
        <f t="shared" ca="1" si="14"/>
        <v>8.0446608424592572E-3</v>
      </c>
      <c r="F42" s="14">
        <f t="shared" ca="1" si="14"/>
        <v>7.767497630154243E-3</v>
      </c>
      <c r="G42" s="14">
        <f t="shared" ca="1" si="14"/>
        <v>7.5020406102980219E-3</v>
      </c>
      <c r="H42" s="14">
        <f t="shared" ca="1" si="14"/>
        <v>7.244654997289551E-3</v>
      </c>
      <c r="I42" s="14">
        <f t="shared" ca="1" si="14"/>
        <v>6.9742257087702306E-3</v>
      </c>
      <c r="J42" s="14">
        <f t="shared" ca="1" si="14"/>
        <v>6.3045685693039373E-3</v>
      </c>
      <c r="K42" s="14">
        <f t="shared" ca="1" si="14"/>
        <v>5.7441789413152002E-3</v>
      </c>
      <c r="L42" s="14">
        <f t="shared" ca="1" si="14"/>
        <v>5.2720729011694854E-3</v>
      </c>
    </row>
    <row r="43" spans="1:14" x14ac:dyDescent="0.35">
      <c r="A43" t="str">
        <f t="shared" si="13"/>
        <v xml:space="preserve">    Shared, Reserve Share</v>
      </c>
      <c r="B43" s="1"/>
      <c r="C43" s="14">
        <f t="shared" si="14"/>
        <v>0.56137388460009618</v>
      </c>
      <c r="D43" s="14">
        <f t="shared" ca="1" si="14"/>
        <v>0.57517474366801757</v>
      </c>
      <c r="E43" s="14">
        <f t="shared" ca="1" si="14"/>
        <v>0.59258283457824434</v>
      </c>
      <c r="F43" s="14">
        <f t="shared" ca="1" si="14"/>
        <v>0.60299378110511659</v>
      </c>
      <c r="G43" s="14">
        <f t="shared" ca="1" si="14"/>
        <v>0.61434563335368053</v>
      </c>
      <c r="H43" s="14">
        <f t="shared" ca="1" si="14"/>
        <v>0.62647195662655508</v>
      </c>
      <c r="I43" s="14">
        <f t="shared" ca="1" si="14"/>
        <v>0.63754453280901513</v>
      </c>
      <c r="J43" s="14">
        <f t="shared" ca="1" si="14"/>
        <v>0.60987283547962756</v>
      </c>
      <c r="K43" s="14">
        <f t="shared" ca="1" si="14"/>
        <v>0.58652362562671212</v>
      </c>
      <c r="L43" s="14">
        <f t="shared" ca="1" si="14"/>
        <v>0.56700924816720311</v>
      </c>
    </row>
    <row r="44" spans="1:14" x14ac:dyDescent="0.3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259</v>
      </c>
      <c r="B46" s="75"/>
      <c r="C46" s="49">
        <f>IF(C$26&lt;&gt;"",1.5-0.21/9/2-VLOOKUP(C38,LowerBasinCuts!$C$5:$P$13,13),"")</f>
        <v>1.4473333333333334</v>
      </c>
      <c r="D46" s="49">
        <f ca="1">IF(D$26&lt;&gt;"",1.5-0.21/9/2-VLOOKUP(D38,LowerBasinCuts!$C$5:$P$13,13),"")</f>
        <v>1.4473333333333334</v>
      </c>
      <c r="E46" s="49">
        <f ca="1">IF(E$26&lt;&gt;"",1.5-0.21/9/2-VLOOKUP(E38,LowerBasinCuts!$C$5:$P$13,13),"")</f>
        <v>1.4083333333333332</v>
      </c>
      <c r="F46" s="49">
        <f ca="1">IF(F$26&lt;&gt;"",1.5-0.21/9/2-VLOOKUP(F38,LowerBasinCuts!$C$5:$P$13,13),"")</f>
        <v>1.4083333333333332</v>
      </c>
      <c r="G46" s="49">
        <f ca="1">IF(G$26&lt;&gt;"",1.5-0.21/9/2-VLOOKUP(G38,LowerBasinCuts!$C$5:$P$13,13),"")</f>
        <v>1.4083333333333332</v>
      </c>
      <c r="H46" s="49">
        <f ca="1">IF(H$26&lt;&gt;"",1.5-0.21/9/2-VLOOKUP(H38,LowerBasinCuts!$C$5:$P$13,13),"")</f>
        <v>1.4083333333333332</v>
      </c>
      <c r="I46" s="49">
        <f ca="1">IF(I$26&lt;&gt;"",1.5-0.21/9/2-VLOOKUP(I38,LowerBasinCuts!$C$5:$P$13,13),"")</f>
        <v>1.3843333333333332</v>
      </c>
      <c r="J46" s="49">
        <f ca="1">IF(J$26&lt;&gt;"",1.5-0.21/9/2-VLOOKUP(J38,LowerBasinCuts!$C$5:$P$13,13),"")</f>
        <v>1.4083333333333332</v>
      </c>
      <c r="K46" s="49">
        <f ca="1">IF(K$26&lt;&gt;"",1.5-0.21/9/2-VLOOKUP(K38,LowerBasinCuts!$C$5:$P$13,13),"")</f>
        <v>1.4083333333333332</v>
      </c>
      <c r="L46" s="49">
        <f ca="1">IF(L$26&lt;&gt;"",1.5-0.21/9/2-VLOOKUP(L38,LowerBasinCuts!$C$5:$P$13,13),"")</f>
        <v>1.4473333333333334</v>
      </c>
    </row>
    <row r="47" spans="1:14" x14ac:dyDescent="0.35">
      <c r="A47" s="1" t="s">
        <v>306</v>
      </c>
      <c r="B47" s="1"/>
      <c r="C47" s="51">
        <f>IF(C26="","",SUM(C26:C27)-C28)</f>
        <v>12.600000000000001</v>
      </c>
      <c r="D47" s="51">
        <f t="shared" ref="D47:L47" si="15">IF(D26="","",SUM(D26:D27)-D28)</f>
        <v>12.600000000000001</v>
      </c>
      <c r="E47" s="14">
        <f t="shared" si="15"/>
        <v>12.600000000000001</v>
      </c>
      <c r="F47" s="51">
        <f t="shared" si="15"/>
        <v>12.600000000000001</v>
      </c>
      <c r="G47" s="51">
        <f t="shared" si="15"/>
        <v>12.600000000000001</v>
      </c>
      <c r="H47" s="51">
        <f t="shared" si="15"/>
        <v>12.600000000000001</v>
      </c>
      <c r="I47" s="51">
        <f t="shared" si="15"/>
        <v>14.600000000000001</v>
      </c>
      <c r="J47" s="51">
        <f t="shared" si="15"/>
        <v>14.600000000000001</v>
      </c>
      <c r="K47" s="51">
        <f t="shared" si="15"/>
        <v>14.600000000000001</v>
      </c>
      <c r="L47" s="51">
        <f t="shared" si="15"/>
        <v>14.600000000000001</v>
      </c>
      <c r="M47" s="45"/>
      <c r="N47" s="45"/>
    </row>
    <row r="48" spans="1:14" x14ac:dyDescent="0.35">
      <c r="A48" t="str">
        <f t="shared" ref="A48:A53" si="16">IF(A5="","","    To "&amp;A5)</f>
        <v xml:space="preserve">    To Upper Basin</v>
      </c>
      <c r="B48" s="138" t="s">
        <v>147</v>
      </c>
      <c r="C48" s="112">
        <f>IF(OR(C$26="",$A48=""),"",IF(C$26&gt;SUM(MIN($B49,C26-C50/2)+C50/2),C$26-SUM(MIN($B49,C26-C50/2)+C50/2),0))</f>
        <v>4.1763333333333339</v>
      </c>
      <c r="D48" s="112">
        <f t="shared" ref="D48:L48" ca="1" si="17">IF(OR(D$26="",$A48=""),"",IF(D$26&gt;SUM(MIN($B49,D26-D50/2)+D50/2),D$26-SUM(MIN($B49,D26-D50/2)+D50/2),0))</f>
        <v>4.1763333333333339</v>
      </c>
      <c r="E48" s="112">
        <f t="shared" ca="1" si="17"/>
        <v>4.1958333333333346</v>
      </c>
      <c r="F48" s="112">
        <f t="shared" ca="1" si="17"/>
        <v>4.1958333333333346</v>
      </c>
      <c r="G48" s="112">
        <f t="shared" ca="1" si="17"/>
        <v>4.1958333333333346</v>
      </c>
      <c r="H48" s="112">
        <f t="shared" ca="1" si="17"/>
        <v>4.1958333333333346</v>
      </c>
      <c r="I48" s="112">
        <f t="shared" ca="1" si="17"/>
        <v>6.2078333333333333</v>
      </c>
      <c r="J48" s="112">
        <f t="shared" ca="1" si="17"/>
        <v>6.1958333333333346</v>
      </c>
      <c r="K48" s="112">
        <f t="shared" ca="1" si="17"/>
        <v>6.1958333333333346</v>
      </c>
      <c r="L48" s="112">
        <f t="shared" ca="1" si="17"/>
        <v>6.1763333333333339</v>
      </c>
      <c r="M48" s="29"/>
      <c r="N48" s="29"/>
    </row>
    <row r="49" spans="1:14" x14ac:dyDescent="0.35">
      <c r="A49" t="str">
        <f t="shared" si="16"/>
        <v xml:space="preserve">    To Lower Basin</v>
      </c>
      <c r="B49" s="139">
        <f>7.5</f>
        <v>7.5</v>
      </c>
      <c r="C49" s="112">
        <f>IF(OR(C$26="",$A49=""),"",C27-C28-C51-C50/2+MIN($B49,C26-C50/2))</f>
        <v>6.4149594487332369</v>
      </c>
      <c r="D49" s="112">
        <f t="shared" ref="D49:L49" ca="1" si="18">IF(OR(D$26="",$A49=""),"",D27-D28-D51-D50/2+MIN($B49,D26-D50/2))</f>
        <v>6.4011585896653163</v>
      </c>
      <c r="E49" s="112">
        <f t="shared" ca="1" si="18"/>
        <v>6.4032504987550887</v>
      </c>
      <c r="F49" s="112">
        <f t="shared" ca="1" si="18"/>
        <v>6.3928395522282173</v>
      </c>
      <c r="G49" s="112">
        <f t="shared" ca="1" si="18"/>
        <v>6.3814876999796528</v>
      </c>
      <c r="H49" s="112">
        <f t="shared" ca="1" si="18"/>
        <v>6.3693613767067783</v>
      </c>
      <c r="I49" s="112">
        <f t="shared" ca="1" si="18"/>
        <v>6.3702888005243183</v>
      </c>
      <c r="J49" s="112">
        <f t="shared" ca="1" si="18"/>
        <v>6.3859604978537057</v>
      </c>
      <c r="K49" s="112">
        <f t="shared" ca="1" si="18"/>
        <v>6.4093097077066208</v>
      </c>
      <c r="L49" s="112">
        <f t="shared" ca="1" si="18"/>
        <v>6.4093240851661299</v>
      </c>
      <c r="M49" s="29"/>
      <c r="N49" s="29"/>
    </row>
    <row r="50" spans="1:14" x14ac:dyDescent="0.35">
      <c r="A50" t="str">
        <f t="shared" si="16"/>
        <v xml:space="preserve">    To Mexico</v>
      </c>
      <c r="B50" s="139" t="s">
        <v>185</v>
      </c>
      <c r="C50" s="112">
        <f>IF(OR(C$26="",$A50=""),"",IF(C$47&gt;SUM(C51:C52,C46),C46,C$47-SUM(C51:C52)))</f>
        <v>1.4473333333333334</v>
      </c>
      <c r="D50" s="112">
        <f t="shared" ref="D50:L50" ca="1" si="19">IF(OR(D$26="",$A50=""),"",IF(D$47&gt;SUM(D51:D52,D46),D46,D$47-SUM(D51:D52)))</f>
        <v>1.4473333333333334</v>
      </c>
      <c r="E50" s="112">
        <f t="shared" ca="1" si="19"/>
        <v>1.4083333333333332</v>
      </c>
      <c r="F50" s="112">
        <f t="shared" ca="1" si="19"/>
        <v>1.4083333333333332</v>
      </c>
      <c r="G50" s="112">
        <f t="shared" ca="1" si="19"/>
        <v>1.4083333333333332</v>
      </c>
      <c r="H50" s="112">
        <f t="shared" ca="1" si="19"/>
        <v>1.4083333333333332</v>
      </c>
      <c r="I50" s="112">
        <f t="shared" ca="1" si="19"/>
        <v>1.3843333333333332</v>
      </c>
      <c r="J50" s="112">
        <f t="shared" ca="1" si="19"/>
        <v>1.4083333333333332</v>
      </c>
      <c r="K50" s="112">
        <f t="shared" ca="1" si="19"/>
        <v>1.4083333333333332</v>
      </c>
      <c r="L50" s="112">
        <f t="shared" ca="1" si="19"/>
        <v>1.4473333333333334</v>
      </c>
      <c r="M50" s="29"/>
      <c r="N50" s="29"/>
    </row>
    <row r="51" spans="1:14" x14ac:dyDescent="0.35">
      <c r="A51" t="str">
        <f t="shared" si="16"/>
        <v xml:space="preserve">    To Shared, Reserve</v>
      </c>
      <c r="B51" s="139" t="s">
        <v>184</v>
      </c>
      <c r="C51" s="112">
        <f>IF(OR(C$26="",$A51=""),"",IF(C$47&gt;C43,C43,C47))</f>
        <v>0.56137388460009618</v>
      </c>
      <c r="D51" s="112">
        <f t="shared" ref="D51:L51" ca="1" si="20">IF(OR(D$26="",$A51=""),"",IF(D$47&gt;D43,D43,D47))</f>
        <v>0.57517474366801757</v>
      </c>
      <c r="E51" s="112">
        <f t="shared" ca="1" si="20"/>
        <v>0.59258283457824434</v>
      </c>
      <c r="F51" s="112">
        <f t="shared" ca="1" si="20"/>
        <v>0.60299378110511659</v>
      </c>
      <c r="G51" s="112">
        <f t="shared" ca="1" si="20"/>
        <v>0.61434563335368053</v>
      </c>
      <c r="H51" s="112">
        <f t="shared" ca="1" si="20"/>
        <v>0.62647195662655508</v>
      </c>
      <c r="I51" s="112">
        <f t="shared" ca="1" si="20"/>
        <v>0.63754453280901513</v>
      </c>
      <c r="J51" s="112">
        <f t="shared" ca="1" si="20"/>
        <v>0.60987283547962756</v>
      </c>
      <c r="K51" s="112">
        <f t="shared" ca="1" si="20"/>
        <v>0.58652362562671212</v>
      </c>
      <c r="L51" s="112">
        <f t="shared" ca="1" si="20"/>
        <v>0.56700924816720311</v>
      </c>
      <c r="M51" s="29"/>
      <c r="N51" s="29"/>
    </row>
    <row r="52" spans="1:14" x14ac:dyDescent="0.35">
      <c r="A52" t="str">
        <f t="shared" si="16"/>
        <v/>
      </c>
      <c r="B52" s="139"/>
      <c r="C52" s="112"/>
      <c r="D52" s="112"/>
      <c r="E52" s="112"/>
      <c r="F52" s="112"/>
      <c r="G52" s="112"/>
      <c r="H52" s="112"/>
      <c r="I52" s="112"/>
      <c r="J52" s="112"/>
      <c r="K52" s="112"/>
      <c r="L52" s="112"/>
      <c r="M52" s="29"/>
      <c r="N52" s="29"/>
    </row>
    <row r="53" spans="1:14" x14ac:dyDescent="0.35">
      <c r="A53" t="str">
        <f t="shared" si="16"/>
        <v/>
      </c>
      <c r="B53" s="139"/>
      <c r="C53" s="113"/>
      <c r="D53" s="113"/>
      <c r="E53" s="113"/>
      <c r="F53" s="113"/>
      <c r="G53" s="113"/>
      <c r="H53" s="113"/>
      <c r="I53" s="113"/>
      <c r="J53" s="113"/>
      <c r="K53" s="113"/>
      <c r="L53" s="113"/>
      <c r="M53" s="29"/>
      <c r="N53" s="29"/>
    </row>
    <row r="54" spans="1:14" x14ac:dyDescent="0.35">
      <c r="C54" s="45"/>
      <c r="D54" s="45"/>
      <c r="E54" s="45"/>
      <c r="F54" s="45"/>
      <c r="G54" s="45"/>
    </row>
    <row r="55" spans="1:14" x14ac:dyDescent="0.35">
      <c r="A55" s="142" t="s">
        <v>181</v>
      </c>
      <c r="B55" s="142"/>
      <c r="C55" s="142"/>
      <c r="D55" s="142"/>
      <c r="E55" s="142"/>
      <c r="F55" s="142"/>
      <c r="G55" s="142"/>
      <c r="H55" s="142"/>
      <c r="I55" s="142"/>
      <c r="J55" s="142"/>
      <c r="K55" s="142"/>
      <c r="L55" s="142"/>
      <c r="M55" s="142"/>
      <c r="N55" s="142"/>
    </row>
    <row r="56" spans="1:14" x14ac:dyDescent="0.35">
      <c r="A56" s="143" t="str">
        <f>IF(A$5="[Unused]","",A5)</f>
        <v>Upper Basin</v>
      </c>
      <c r="B56" s="143"/>
      <c r="C56" s="143"/>
      <c r="D56" s="143"/>
      <c r="E56" s="143"/>
      <c r="F56" s="143"/>
      <c r="G56" s="143"/>
      <c r="H56" s="143"/>
      <c r="I56" s="143"/>
      <c r="J56" s="143"/>
      <c r="K56" s="143"/>
      <c r="L56" s="143"/>
      <c r="M56" s="144" t="s">
        <v>107</v>
      </c>
      <c r="N56" s="143" t="s">
        <v>172</v>
      </c>
    </row>
    <row r="57" spans="1:14" x14ac:dyDescent="0.35">
      <c r="A57" s="32" t="str">
        <f>IF(A56="[Unused]","","   Volume of Sales(+) and Purchases(-) [maf]")</f>
        <v xml:space="preserve">   Volume of Sales(+) and Purchases(-) [maf]</v>
      </c>
      <c r="C57" s="134"/>
      <c r="D57" s="134"/>
      <c r="E57" s="134"/>
      <c r="F57" s="134"/>
      <c r="G57" s="134"/>
      <c r="H57" s="134"/>
      <c r="I57" s="134"/>
      <c r="J57" s="134"/>
      <c r="K57" s="134"/>
      <c r="L57" s="134"/>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35"/>
      <c r="D58" s="135"/>
      <c r="E58" s="135"/>
      <c r="F58" s="134"/>
      <c r="G58" s="135"/>
      <c r="H58" s="135"/>
      <c r="I58" s="135"/>
      <c r="J58" s="135"/>
      <c r="K58" s="135"/>
      <c r="L58" s="135"/>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21">IF(OR(C$26="",$A59=""),"",C$112)</f>
        <v>0</v>
      </c>
      <c r="D59" s="67">
        <f t="shared" ca="1" si="21"/>
        <v>0</v>
      </c>
      <c r="E59" s="67">
        <f t="shared" ca="1" si="21"/>
        <v>0</v>
      </c>
      <c r="F59" s="67">
        <f t="shared" ca="1" si="21"/>
        <v>0</v>
      </c>
      <c r="G59" s="67">
        <f t="shared" ca="1" si="21"/>
        <v>0</v>
      </c>
      <c r="H59" s="67">
        <f t="shared" ca="1" si="21"/>
        <v>0</v>
      </c>
      <c r="I59" s="67">
        <f t="shared" ca="1" si="21"/>
        <v>0</v>
      </c>
      <c r="J59" s="67">
        <f t="shared" ca="1" si="21"/>
        <v>0</v>
      </c>
      <c r="K59" s="67">
        <f t="shared" ca="1" si="21"/>
        <v>0</v>
      </c>
      <c r="L59" s="67">
        <f t="shared" ca="1" si="21"/>
        <v>0</v>
      </c>
      <c r="M59" t="str">
        <f t="shared" si="21"/>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22">IF(OR(D$26="",$A60=""),"",D30+D48-D40-D57)</f>
        <v>8.7419931728564819</v>
      </c>
      <c r="E60" s="14">
        <f t="shared" ca="1" si="22"/>
        <v>8.5056232546493096</v>
      </c>
      <c r="F60" s="14">
        <f t="shared" ca="1" si="22"/>
        <v>8.2774702074598085</v>
      </c>
      <c r="G60" s="14">
        <f t="shared" ca="1" si="22"/>
        <v>8.0571928134752202</v>
      </c>
      <c r="H60" s="14">
        <f t="shared" ca="1" si="22"/>
        <v>7.8445551050330495</v>
      </c>
      <c r="I60" s="14">
        <f t="shared" ca="1" si="22"/>
        <v>9.6519284043853411</v>
      </c>
      <c r="J60" s="14">
        <f t="shared" ca="1" si="22"/>
        <v>11.36090689476878</v>
      </c>
      <c r="K60" s="14">
        <f t="shared" ca="1" si="22"/>
        <v>12.994391876170743</v>
      </c>
      <c r="L60" s="14">
        <f t="shared" ca="1" si="22"/>
        <v>14.540526890573021</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36">
        <f>IF(C60&gt;4.2,4.2,MAX(C60,0))</f>
        <v>4.2</v>
      </c>
      <c r="D61" s="136">
        <f t="shared" ref="D61:L61" ca="1" si="23">IF(D60&gt;4.2,4.2,MAX(D60,0))</f>
        <v>4.2</v>
      </c>
      <c r="E61" s="136">
        <f t="shared" ca="1" si="23"/>
        <v>4.2</v>
      </c>
      <c r="F61" s="136">
        <f t="shared" ca="1" si="23"/>
        <v>4.2</v>
      </c>
      <c r="G61" s="136">
        <f t="shared" ca="1" si="23"/>
        <v>4.2</v>
      </c>
      <c r="H61" s="136">
        <f t="shared" ca="1" si="23"/>
        <v>4.2</v>
      </c>
      <c r="I61" s="136">
        <f t="shared" ca="1" si="23"/>
        <v>4.2</v>
      </c>
      <c r="J61" s="136">
        <f t="shared" ca="1" si="23"/>
        <v>4.2</v>
      </c>
      <c r="K61" s="136">
        <f t="shared" ca="1" si="23"/>
        <v>4.2</v>
      </c>
      <c r="L61" s="136">
        <f t="shared" ca="1" si="23"/>
        <v>4.2</v>
      </c>
      <c r="N61" t="str">
        <f>IF(A61="","","Must be less than Available water")</f>
        <v>Must be less than Available water</v>
      </c>
    </row>
    <row r="62" spans="1:14" x14ac:dyDescent="0.35">
      <c r="A62" s="32" t="str">
        <f>IF(A61="","","   End of Year Balance [maf]")</f>
        <v xml:space="preserve">   End of Year Balance [maf]</v>
      </c>
      <c r="C62" s="66">
        <f>IF(OR(C$26="",$A62=""),"",C60-C61)</f>
        <v>4.8040452368981788</v>
      </c>
      <c r="D62" s="66">
        <f t="shared" ref="D62:L62" ca="1" si="24">IF(OR(D$26="",$A62=""),"",D60-D61)</f>
        <v>4.5419931728564817</v>
      </c>
      <c r="E62" s="66">
        <f t="shared" ca="1" si="24"/>
        <v>4.3056232546493094</v>
      </c>
      <c r="F62" s="66">
        <f t="shared" ca="1" si="24"/>
        <v>4.0774702074598084</v>
      </c>
      <c r="G62" s="66">
        <f t="shared" ca="1" si="24"/>
        <v>3.85719281347522</v>
      </c>
      <c r="H62" s="66">
        <f t="shared" ca="1" si="24"/>
        <v>3.6445551050330494</v>
      </c>
      <c r="I62" s="66">
        <f t="shared" ca="1" si="24"/>
        <v>5.4519284043853409</v>
      </c>
      <c r="J62" s="66">
        <f t="shared" ca="1" si="24"/>
        <v>7.1609068947687797</v>
      </c>
      <c r="K62" s="66">
        <f t="shared" ca="1" si="24"/>
        <v>8.7943918761707423</v>
      </c>
      <c r="L62" s="66">
        <f t="shared" ca="1" si="24"/>
        <v>10.34052689057302</v>
      </c>
      <c r="N62" t="str">
        <f>IF(A62="","","Available water - Account Withdraw")</f>
        <v>Available water - Account Withdraw</v>
      </c>
    </row>
    <row r="63" spans="1:14" x14ac:dyDescent="0.35">
      <c r="C63"/>
    </row>
    <row r="64" spans="1:14" x14ac:dyDescent="0.35">
      <c r="A64" s="143" t="str">
        <f>IF(A$6="","[Unused]",A6)</f>
        <v>Lower Basin</v>
      </c>
      <c r="B64" s="143"/>
      <c r="C64" s="143"/>
      <c r="D64" s="143"/>
      <c r="E64" s="143"/>
      <c r="F64" s="143"/>
      <c r="G64" s="143"/>
      <c r="H64" s="143"/>
      <c r="I64" s="143"/>
      <c r="J64" s="143"/>
      <c r="K64" s="143"/>
      <c r="L64" s="143"/>
      <c r="M64" s="144" t="s">
        <v>107</v>
      </c>
      <c r="N64" s="143" t="s">
        <v>172</v>
      </c>
    </row>
    <row r="65" spans="1:14" x14ac:dyDescent="0.35">
      <c r="A65" s="32" t="str">
        <f>IF(A64="[Unused]","","   Volume of Sales(+) and Purchases(-) [maf]")</f>
        <v xml:space="preserve">   Volume of Sales(+) and Purchases(-) [maf]</v>
      </c>
      <c r="C65" s="134"/>
      <c r="D65" s="134"/>
      <c r="E65" s="134"/>
      <c r="F65" s="134"/>
      <c r="G65" s="134"/>
      <c r="H65" s="134"/>
      <c r="I65" s="134"/>
      <c r="J65" s="134"/>
      <c r="K65" s="134"/>
      <c r="L65" s="134"/>
      <c r="M65" s="67">
        <f>SUM(C65:L65)</f>
        <v>0</v>
      </c>
      <c r="N65" t="str">
        <f>IF(A65="","",N57)</f>
        <v>Add if multiple transactions, e.g.: 0.5 + 0.25</v>
      </c>
    </row>
    <row r="66" spans="1:14" x14ac:dyDescent="0.35">
      <c r="A66" s="32" t="str">
        <f>IF(A65="","","   Cash Intake(+) and Payments(-) [$ Mill]")</f>
        <v xml:space="preserve">   Cash Intake(+) and Payments(-) [$ Mill]</v>
      </c>
      <c r="C66" s="135"/>
      <c r="D66" s="135"/>
      <c r="E66" s="135"/>
      <c r="F66" s="135"/>
      <c r="G66" s="135"/>
      <c r="H66" s="135"/>
      <c r="I66" s="135"/>
      <c r="J66" s="135"/>
      <c r="K66" s="135"/>
      <c r="L66" s="135"/>
      <c r="M66" s="65">
        <f>SUM(C66:L66)</f>
        <v>0</v>
      </c>
      <c r="N66" t="str">
        <f t="shared" ref="N66:N70" si="25">IF(A66="","",N58)</f>
        <v>Add if multiple transactions, e.g.: $350*0.5 + $450*0.25</v>
      </c>
    </row>
    <row r="67" spans="1:14" x14ac:dyDescent="0.35">
      <c r="A67" s="32" t="str">
        <f>IF(A66="","","   Volume all players (should be zero)")</f>
        <v xml:space="preserve">   Volume all players (should be zero)</v>
      </c>
      <c r="C67" s="67">
        <f t="shared" ref="C67:M67" ca="1" si="26">IF(OR(C$26="",$A67=""),"",C$112)</f>
        <v>0</v>
      </c>
      <c r="D67" s="67">
        <f t="shared" ca="1" si="26"/>
        <v>0</v>
      </c>
      <c r="E67" s="67">
        <f t="shared" ca="1" si="26"/>
        <v>0</v>
      </c>
      <c r="F67" s="67">
        <f t="shared" ca="1" si="26"/>
        <v>0</v>
      </c>
      <c r="G67" s="67">
        <f t="shared" ca="1" si="26"/>
        <v>0</v>
      </c>
      <c r="H67" s="67">
        <f t="shared" ca="1" si="26"/>
        <v>0</v>
      </c>
      <c r="I67" s="67">
        <f t="shared" ca="1" si="26"/>
        <v>0</v>
      </c>
      <c r="J67" s="67">
        <f t="shared" ca="1" si="26"/>
        <v>0</v>
      </c>
      <c r="K67" s="67">
        <f t="shared" ca="1" si="26"/>
        <v>0</v>
      </c>
      <c r="L67" s="67">
        <f t="shared" ca="1" si="26"/>
        <v>0</v>
      </c>
      <c r="M67" t="str">
        <f t="shared" si="26"/>
        <v/>
      </c>
      <c r="N67" t="str">
        <f t="shared" si="25"/>
        <v>If non-zero, players need to change amount(s)</v>
      </c>
    </row>
    <row r="68" spans="1:14" x14ac:dyDescent="0.35">
      <c r="A68" s="1" t="str">
        <f>IF(A66="","","   Available Water [maf]")</f>
        <v xml:space="preserve">   Available Water [maf]</v>
      </c>
      <c r="C68" s="14">
        <f t="shared" ref="C68:L68" si="27">IF(OR(C$26="",$A68=""),"",C31+C49-C41-C65)</f>
        <v>10.469981523290789</v>
      </c>
      <c r="D68" s="14">
        <f t="shared" ca="1" si="27"/>
        <v>9.4528054130006609</v>
      </c>
      <c r="E68" s="14">
        <f t="shared" ca="1" si="27"/>
        <v>8.484900580217559</v>
      </c>
      <c r="F68" s="14">
        <f t="shared" ca="1" si="27"/>
        <v>7.9076144277033107</v>
      </c>
      <c r="G68" s="14">
        <f t="shared" ca="1" si="27"/>
        <v>7.3480083599642931</v>
      </c>
      <c r="H68" s="14">
        <f t="shared" ca="1" si="27"/>
        <v>6.805453457471021</v>
      </c>
      <c r="I68" s="14">
        <f t="shared" ca="1" si="27"/>
        <v>6.3702888005243183</v>
      </c>
      <c r="J68" s="14">
        <f t="shared" ca="1" si="27"/>
        <v>6.3859604978537057</v>
      </c>
      <c r="K68" s="14">
        <f t="shared" ca="1" si="27"/>
        <v>6.4093097077066208</v>
      </c>
      <c r="L68" s="14">
        <f t="shared" ca="1" si="27"/>
        <v>6.4093240851661299</v>
      </c>
      <c r="N68" t="str">
        <f t="shared" si="25"/>
        <v>Available water = Account Balance + Available Inflow - Evaporation + Sales - Purchases</v>
      </c>
    </row>
    <row r="69" spans="1:14" x14ac:dyDescent="0.35">
      <c r="A69" s="1" t="str">
        <f>IF(A68="","","   Account Withdraw [maf]")</f>
        <v xml:space="preserve">   Account Withdraw [maf]</v>
      </c>
      <c r="C69" s="136">
        <f>IF(C27&lt;&gt;"",MIN(7.5-VLOOKUP(C38,LowerBasinCuts!$C$5:$P$13,14),C68),"")</f>
        <v>7.2590000000000003</v>
      </c>
      <c r="D69" s="136">
        <f ca="1">IF(D27&lt;&gt;"",MIN(7.5-VLOOKUP(D38,LowerBasinCuts!$C$5:$P$13,14),D68),"")</f>
        <v>7.2590000000000003</v>
      </c>
      <c r="E69" s="136">
        <f ca="1">IF(E27&lt;&gt;"",MIN(7.5-VLOOKUP(E38,LowerBasinCuts!$C$5:$P$13,14),E68),"")</f>
        <v>6.8870000000000005</v>
      </c>
      <c r="F69" s="136">
        <f ca="1">IF(F27&lt;&gt;"",MIN(7.5-VLOOKUP(F38,LowerBasinCuts!$C$5:$P$13,14),F68),"")</f>
        <v>6.8870000000000005</v>
      </c>
      <c r="G69" s="136">
        <f ca="1">IF(G27&lt;&gt;"",MIN(7.5-VLOOKUP(G38,LowerBasinCuts!$C$5:$P$13,14),G68),"")</f>
        <v>6.8870000000000005</v>
      </c>
      <c r="H69" s="136">
        <f ca="1">IF(H27&lt;&gt;"",MIN(7.5-VLOOKUP(H38,LowerBasinCuts!$C$5:$P$13,14),H68),"")</f>
        <v>6.805453457471021</v>
      </c>
      <c r="I69" s="136">
        <f ca="1">IF(I27&lt;&gt;"",MIN(7.5-VLOOKUP(I38,LowerBasinCuts!$C$5:$P$13,14),I68),"")</f>
        <v>6.3702888005243183</v>
      </c>
      <c r="J69" s="136">
        <f ca="1">IF(J27&lt;&gt;"",MIN(7.5-VLOOKUP(J38,LowerBasinCuts!$C$5:$P$13,14),J68),"")</f>
        <v>6.3859604978537057</v>
      </c>
      <c r="K69" s="136">
        <f ca="1">IF(K27&lt;&gt;"",MIN(7.5-VLOOKUP(K38,LowerBasinCuts!$C$5:$P$13,14),K68),"")</f>
        <v>6.4093097077066208</v>
      </c>
      <c r="L69" s="136">
        <f ca="1">IF(L27&lt;&gt;"",MIN(7.5-VLOOKUP(L38,LowerBasinCuts!$C$5:$P$13,14),L68),"")</f>
        <v>6.4093240851661299</v>
      </c>
      <c r="N69" t="str">
        <f t="shared" si="25"/>
        <v>Must be less than Available water</v>
      </c>
    </row>
    <row r="70" spans="1:14" x14ac:dyDescent="0.35">
      <c r="A70" s="32" t="str">
        <f>IF(A69="","","   End of Year Balance [maf]")</f>
        <v xml:space="preserve">   End of Year Balance [maf]</v>
      </c>
      <c r="C70" s="66">
        <f>IF(OR(C$26="",$A70=""),"",C68-C69)</f>
        <v>3.2109815232907888</v>
      </c>
      <c r="D70" s="66">
        <f t="shared" ref="D70:L70" ca="1" si="28">IF(OR(D$26="",$A70=""),"",D68-D69)</f>
        <v>2.1938054130006606</v>
      </c>
      <c r="E70" s="66">
        <f t="shared" ca="1" si="28"/>
        <v>1.5979005802175585</v>
      </c>
      <c r="F70" s="66">
        <f t="shared" ca="1" si="28"/>
        <v>1.0206144277033102</v>
      </c>
      <c r="G70" s="66">
        <f t="shared" ca="1" si="28"/>
        <v>0.46100835996429268</v>
      </c>
      <c r="H70" s="66">
        <f t="shared" ca="1" si="28"/>
        <v>0</v>
      </c>
      <c r="I70" s="66">
        <f t="shared" ca="1" si="28"/>
        <v>0</v>
      </c>
      <c r="J70" s="66">
        <f t="shared" ca="1" si="28"/>
        <v>0</v>
      </c>
      <c r="K70" s="66">
        <f t="shared" ca="1" si="28"/>
        <v>0</v>
      </c>
      <c r="L70" s="66">
        <f t="shared" ca="1" si="28"/>
        <v>0</v>
      </c>
      <c r="N70" t="str">
        <f t="shared" si="25"/>
        <v>Available water - Account Withdraw</v>
      </c>
    </row>
    <row r="71" spans="1:14" x14ac:dyDescent="0.35">
      <c r="C71"/>
    </row>
    <row r="72" spans="1:14" x14ac:dyDescent="0.35">
      <c r="A72" s="143" t="str">
        <f>IF(A$7="","[Unused]",A7)</f>
        <v>Mexico</v>
      </c>
      <c r="B72" s="143"/>
      <c r="C72" s="143"/>
      <c r="D72" s="143"/>
      <c r="E72" s="143"/>
      <c r="F72" s="143"/>
      <c r="G72" s="143"/>
      <c r="H72" s="143"/>
      <c r="I72" s="143"/>
      <c r="J72" s="143"/>
      <c r="K72" s="143"/>
      <c r="L72" s="143"/>
      <c r="M72" s="144" t="s">
        <v>107</v>
      </c>
      <c r="N72" s="143" t="s">
        <v>172</v>
      </c>
    </row>
    <row r="73" spans="1:14" x14ac:dyDescent="0.35">
      <c r="A73" s="32" t="str">
        <f>IF(A72="[Unused]","","   Volume of Sales(+) and Purchases(-) [maf]")</f>
        <v xml:space="preserve">   Volume of Sales(+) and Purchases(-) [maf]</v>
      </c>
      <c r="C73" s="134"/>
      <c r="D73" s="134"/>
      <c r="E73" s="134"/>
      <c r="F73" s="134"/>
      <c r="G73" s="134"/>
      <c r="H73" s="134"/>
      <c r="I73" s="134"/>
      <c r="J73" s="134"/>
      <c r="K73" s="134"/>
      <c r="L73" s="134"/>
      <c r="M73" s="67">
        <f>SUM(C73:L73)</f>
        <v>0</v>
      </c>
      <c r="N73" t="str">
        <f>IF(A73="","",N65)</f>
        <v>Add if multiple transactions, e.g.: 0.5 + 0.25</v>
      </c>
    </row>
    <row r="74" spans="1:14" x14ac:dyDescent="0.35">
      <c r="A74" s="32" t="str">
        <f>IF(A73="","","   Cash Intake(+) and Payments(-) [$ Mill]")</f>
        <v xml:space="preserve">   Cash Intake(+) and Payments(-) [$ Mill]</v>
      </c>
      <c r="C74" s="135"/>
      <c r="D74" s="135"/>
      <c r="E74" s="135"/>
      <c r="F74" s="135"/>
      <c r="G74" s="135"/>
      <c r="H74" s="135"/>
      <c r="I74" s="135"/>
      <c r="J74" s="135"/>
      <c r="K74" s="135"/>
      <c r="L74" s="135"/>
      <c r="M74" s="65">
        <f>SUM(C74:L74)</f>
        <v>0</v>
      </c>
      <c r="N74" t="str">
        <f t="shared" ref="N74:N78" si="29">IF(A74="","",N66)</f>
        <v>Add if multiple transactions, e.g.: $350*0.5 + $450*0.25</v>
      </c>
    </row>
    <row r="75" spans="1:14" x14ac:dyDescent="0.35">
      <c r="A75" s="32" t="str">
        <f>IF(A74="","","   Volume all players (should be zero)")</f>
        <v xml:space="preserve">   Volume all players (should be zero)</v>
      </c>
      <c r="C75" s="67">
        <f t="shared" ref="C75:M75" ca="1" si="30">IF(OR(C$26="",$A75=""),"",C$112)</f>
        <v>0</v>
      </c>
      <c r="D75" s="67">
        <f t="shared" ca="1" si="30"/>
        <v>0</v>
      </c>
      <c r="E75" s="67">
        <f t="shared" ca="1" si="30"/>
        <v>0</v>
      </c>
      <c r="F75" s="67">
        <f t="shared" ca="1" si="30"/>
        <v>0</v>
      </c>
      <c r="G75" s="67">
        <f t="shared" ca="1" si="30"/>
        <v>0</v>
      </c>
      <c r="H75" s="67">
        <f t="shared" ca="1" si="30"/>
        <v>0</v>
      </c>
      <c r="I75" s="67">
        <f t="shared" ca="1" si="30"/>
        <v>0</v>
      </c>
      <c r="J75" s="67">
        <f t="shared" ca="1" si="30"/>
        <v>0</v>
      </c>
      <c r="K75" s="67">
        <f t="shared" ca="1" si="30"/>
        <v>0</v>
      </c>
      <c r="L75" s="67">
        <f t="shared" ca="1" si="30"/>
        <v>0</v>
      </c>
      <c r="M75" t="str">
        <f t="shared" si="30"/>
        <v/>
      </c>
      <c r="N75" t="str">
        <f t="shared" si="29"/>
        <v>If non-zero, players need to change amount(s)</v>
      </c>
    </row>
    <row r="76" spans="1:14" x14ac:dyDescent="0.35">
      <c r="A76" s="1" t="str">
        <f>IF(A74="","","   Available Water [maf]")</f>
        <v xml:space="preserve">   Available Water [maf]</v>
      </c>
      <c r="C76" s="14">
        <f t="shared" ref="C76:L76" si="31">IF(OR(C$26="",$A76=""),"",C32+C50-C42-C73)</f>
        <v>1.6129063098110585</v>
      </c>
      <c r="D76" s="14">
        <f t="shared" ca="1" si="31"/>
        <v>1.6046902798101226</v>
      </c>
      <c r="E76" s="14">
        <f t="shared" ca="1" si="31"/>
        <v>1.5576456189676631</v>
      </c>
      <c r="F76" s="14">
        <f ca="1">IF(OR(F$26="",$A76=""),"",F32+F50-F42-F73)</f>
        <v>1.5498781213375088</v>
      </c>
      <c r="G76" s="14">
        <f t="shared" ca="1" si="31"/>
        <v>1.5423760807272107</v>
      </c>
      <c r="H76" s="14">
        <f t="shared" ca="1" si="31"/>
        <v>1.5351314257299211</v>
      </c>
      <c r="I76" s="14">
        <f t="shared" ca="1" si="31"/>
        <v>1.5041572000211509</v>
      </c>
      <c r="J76" s="14">
        <f t="shared" ca="1" si="31"/>
        <v>1.521852631451847</v>
      </c>
      <c r="K76" s="14">
        <f t="shared" ca="1" si="31"/>
        <v>1.5161084525105317</v>
      </c>
      <c r="L76" s="14">
        <f t="shared" ca="1" si="31"/>
        <v>1.5498363796093624</v>
      </c>
      <c r="N76" t="str">
        <f t="shared" si="29"/>
        <v>Available water = Account Balance + Available Inflow - Evaporation + Sales - Purchases</v>
      </c>
    </row>
    <row r="77" spans="1:14" x14ac:dyDescent="0.35">
      <c r="A77" s="1" t="str">
        <f>IF(A76="","","   Account Withdraw [maf]")</f>
        <v xml:space="preserve">   Account Withdraw [maf]</v>
      </c>
      <c r="C77" s="136">
        <f>MIN(C46,C76)</f>
        <v>1.4473333333333334</v>
      </c>
      <c r="D77" s="136">
        <f t="shared" ref="D77:L77" ca="1" si="32">MIN(D46,D76)</f>
        <v>1.4473333333333334</v>
      </c>
      <c r="E77" s="136">
        <f t="shared" ca="1" si="32"/>
        <v>1.4083333333333332</v>
      </c>
      <c r="F77" s="136">
        <f t="shared" ca="1" si="32"/>
        <v>1.4083333333333332</v>
      </c>
      <c r="G77" s="136">
        <f t="shared" ca="1" si="32"/>
        <v>1.4083333333333332</v>
      </c>
      <c r="H77" s="136">
        <f t="shared" ca="1" si="32"/>
        <v>1.4083333333333332</v>
      </c>
      <c r="I77" s="136">
        <f t="shared" ca="1" si="32"/>
        <v>1.3843333333333332</v>
      </c>
      <c r="J77" s="136">
        <f t="shared" ca="1" si="32"/>
        <v>1.4083333333333332</v>
      </c>
      <c r="K77" s="136">
        <f t="shared" ca="1" si="32"/>
        <v>1.4083333333333332</v>
      </c>
      <c r="L77" s="136">
        <f t="shared" ca="1" si="32"/>
        <v>1.4473333333333334</v>
      </c>
      <c r="N77" t="str">
        <f t="shared" si="29"/>
        <v>Must be less than Available water</v>
      </c>
    </row>
    <row r="78" spans="1:14" x14ac:dyDescent="0.35">
      <c r="A78" s="32" t="str">
        <f>IF(A77="","","   End of Year Balance [maf]")</f>
        <v xml:space="preserve">   End of Year Balance [maf]</v>
      </c>
      <c r="C78" s="66">
        <f>IF(OR(C$26="",$A78=""),"",C76-C77)</f>
        <v>0.16557297647772518</v>
      </c>
      <c r="D78" s="66">
        <f t="shared" ref="D78:L78" ca="1" si="33">IF(OR(D$26="",$A78=""),"",D76-D77)</f>
        <v>0.15735694647678922</v>
      </c>
      <c r="E78" s="66">
        <f t="shared" ca="1" si="33"/>
        <v>0.14931228563432986</v>
      </c>
      <c r="F78" s="66">
        <f t="shared" ca="1" si="33"/>
        <v>0.14154478800417558</v>
      </c>
      <c r="G78" s="66">
        <f t="shared" ca="1" si="33"/>
        <v>0.13404274739387745</v>
      </c>
      <c r="H78" s="66">
        <f t="shared" ca="1" si="33"/>
        <v>0.1267980923965879</v>
      </c>
      <c r="I78" s="66">
        <f t="shared" ca="1" si="33"/>
        <v>0.11982386668781775</v>
      </c>
      <c r="J78" s="66">
        <f t="shared" ca="1" si="33"/>
        <v>0.1135192981185138</v>
      </c>
      <c r="K78" s="66">
        <f t="shared" ca="1" si="33"/>
        <v>0.10777511917719851</v>
      </c>
      <c r="L78" s="66">
        <f t="shared" ca="1" si="33"/>
        <v>0.10250304627602902</v>
      </c>
      <c r="N78" t="str">
        <f t="shared" si="29"/>
        <v>Available water - Account Withdraw</v>
      </c>
    </row>
    <row r="79" spans="1:14" x14ac:dyDescent="0.35">
      <c r="C79"/>
    </row>
    <row r="80" spans="1:14" x14ac:dyDescent="0.35">
      <c r="A80" s="143" t="str">
        <f>IF(A$8="","[Unused]",A8)</f>
        <v>Shared, Reserve</v>
      </c>
      <c r="B80" s="143"/>
      <c r="C80" s="143"/>
      <c r="D80" s="143"/>
      <c r="E80" s="143"/>
      <c r="F80" s="143"/>
      <c r="G80" s="143"/>
      <c r="H80" s="143"/>
      <c r="I80" s="143"/>
      <c r="J80" s="143"/>
      <c r="K80" s="143"/>
      <c r="L80" s="143"/>
      <c r="M80" s="144" t="s">
        <v>107</v>
      </c>
      <c r="N80" s="143" t="s">
        <v>172</v>
      </c>
    </row>
    <row r="81" spans="1:14" x14ac:dyDescent="0.35">
      <c r="A81" s="32" t="str">
        <f>IF(A80="[Unused]","","   Volume of Sales(+) and Purchases(-) [maf]")</f>
        <v xml:space="preserve">   Volume of Sales(+) and Purchases(-) [maf]</v>
      </c>
      <c r="C81" s="134"/>
      <c r="D81" s="134"/>
      <c r="E81" s="134"/>
      <c r="F81" s="134"/>
      <c r="G81" s="134"/>
      <c r="H81" s="134"/>
      <c r="I81" s="134"/>
      <c r="J81" s="134"/>
      <c r="K81" s="134"/>
      <c r="L81" s="134"/>
      <c r="M81" s="67">
        <f>SUM(C81:L81)</f>
        <v>0</v>
      </c>
      <c r="N81" t="str">
        <f>IF(A81="","",N73)</f>
        <v>Add if multiple transactions, e.g.: 0.5 + 0.25</v>
      </c>
    </row>
    <row r="82" spans="1:14" x14ac:dyDescent="0.35">
      <c r="A82" s="32" t="str">
        <f>IF(A81="","","   Cash Intake(+) and Payments(-) [$ Mill]")</f>
        <v xml:space="preserve">   Cash Intake(+) and Payments(-) [$ Mill]</v>
      </c>
      <c r="C82" s="135"/>
      <c r="D82" s="135"/>
      <c r="E82" s="135"/>
      <c r="F82" s="135"/>
      <c r="G82" s="135"/>
      <c r="H82" s="135"/>
      <c r="I82" s="135"/>
      <c r="J82" s="135"/>
      <c r="K82" s="135"/>
      <c r="L82" s="135"/>
      <c r="M82" s="65">
        <f>SUM(C82:L82)</f>
        <v>0</v>
      </c>
      <c r="N82" t="str">
        <f t="shared" ref="N82:N86" si="34">IF(A82="","",N74)</f>
        <v>Add if multiple transactions, e.g.: $350*0.5 + $450*0.25</v>
      </c>
    </row>
    <row r="83" spans="1:14" x14ac:dyDescent="0.35">
      <c r="A83" s="32" t="str">
        <f>IF(A82="","","   Volume all players (should be zero)")</f>
        <v xml:space="preserve">   Volume all players (should be zero)</v>
      </c>
      <c r="C83" s="67">
        <f t="shared" ref="C83:M83" ca="1" si="35">IF(OR(C$26="",$A83=""),"",C$112)</f>
        <v>0</v>
      </c>
      <c r="D83" s="67">
        <f t="shared" ca="1" si="35"/>
        <v>0</v>
      </c>
      <c r="E83" s="67">
        <f t="shared" ca="1" si="35"/>
        <v>0</v>
      </c>
      <c r="F83" s="67">
        <f t="shared" ca="1" si="35"/>
        <v>0</v>
      </c>
      <c r="G83" s="67">
        <f t="shared" ca="1" si="35"/>
        <v>0</v>
      </c>
      <c r="H83" s="67">
        <f t="shared" ca="1" si="35"/>
        <v>0</v>
      </c>
      <c r="I83" s="67">
        <f t="shared" ca="1" si="35"/>
        <v>0</v>
      </c>
      <c r="J83" s="67">
        <f t="shared" ca="1" si="35"/>
        <v>0</v>
      </c>
      <c r="K83" s="67">
        <f t="shared" ca="1" si="35"/>
        <v>0</v>
      </c>
      <c r="L83" s="67">
        <f t="shared" ca="1" si="35"/>
        <v>0</v>
      </c>
      <c r="M83" t="str">
        <f t="shared" si="35"/>
        <v/>
      </c>
      <c r="N83" t="str">
        <f t="shared" si="34"/>
        <v>If non-zero, players need to change amount(s)</v>
      </c>
    </row>
    <row r="84" spans="1:14" x14ac:dyDescent="0.35">
      <c r="A84" s="1" t="str">
        <f>IF(A82="","","   Available Water [maf]")</f>
        <v xml:space="preserve">   Available Water [maf]</v>
      </c>
      <c r="C84" s="14">
        <f t="shared" ref="C84:L84" si="36">IF(OR(C$26="",$A84=""),"",C33+C51-C43-C81)</f>
        <v>11.59116925</v>
      </c>
      <c r="D84" s="14">
        <f t="shared" ca="1" si="36"/>
        <v>11.59116925</v>
      </c>
      <c r="E84" s="14">
        <f t="shared" ca="1" si="36"/>
        <v>11.59116925</v>
      </c>
      <c r="F84" s="14">
        <f t="shared" ca="1" si="36"/>
        <v>11.59116925</v>
      </c>
      <c r="G84" s="14">
        <f t="shared" ca="1" si="36"/>
        <v>11.59116925</v>
      </c>
      <c r="H84" s="14">
        <f t="shared" ca="1" si="36"/>
        <v>11.59116925</v>
      </c>
      <c r="I84" s="14">
        <f t="shared" ca="1" si="36"/>
        <v>11.59116925</v>
      </c>
      <c r="J84" s="14">
        <f t="shared" ca="1" si="36"/>
        <v>11.59116925</v>
      </c>
      <c r="K84" s="14">
        <f t="shared" ca="1" si="36"/>
        <v>11.59116925</v>
      </c>
      <c r="L84" s="14">
        <f t="shared" ca="1" si="36"/>
        <v>11.59116925</v>
      </c>
      <c r="N84" t="str">
        <f t="shared" si="34"/>
        <v>Available water = Account Balance + Available Inflow - Evaporation + Sales - Purchases</v>
      </c>
    </row>
    <row r="85" spans="1:14" x14ac:dyDescent="0.35">
      <c r="A85" s="1" t="str">
        <f>IF(A84="","","   Account Withdraw [maf]")</f>
        <v xml:space="preserve">   Account Withdraw [maf]</v>
      </c>
      <c r="C85" s="136"/>
      <c r="D85" s="136"/>
      <c r="E85" s="136"/>
      <c r="F85" s="136"/>
      <c r="G85" s="136"/>
      <c r="H85" s="136"/>
      <c r="I85" s="136"/>
      <c r="J85" s="136"/>
      <c r="K85" s="136"/>
      <c r="L85" s="136"/>
      <c r="N85" t="str">
        <f t="shared" si="34"/>
        <v>Must be less than Available water</v>
      </c>
    </row>
    <row r="86" spans="1:14" x14ac:dyDescent="0.35">
      <c r="A86" s="32" t="str">
        <f>IF(A85="","","   End of Year Balance [maf]")</f>
        <v xml:space="preserve">   End of Year Balance [maf]</v>
      </c>
      <c r="C86" s="66">
        <f>IF(OR(C$26="",$A86=""),"",C84-C85)</f>
        <v>11.59116925</v>
      </c>
      <c r="D86" s="66">
        <f t="shared" ref="D86:L86" ca="1" si="37">IF(OR(D$26="",$A86=""),"",D84-D85)</f>
        <v>11.59116925</v>
      </c>
      <c r="E86" s="66">
        <f t="shared" ca="1" si="37"/>
        <v>11.59116925</v>
      </c>
      <c r="F86" s="66">
        <f t="shared" ca="1" si="37"/>
        <v>11.59116925</v>
      </c>
      <c r="G86" s="66">
        <f t="shared" ca="1" si="37"/>
        <v>11.59116925</v>
      </c>
      <c r="H86" s="66">
        <f t="shared" ca="1" si="37"/>
        <v>11.59116925</v>
      </c>
      <c r="I86" s="66">
        <f t="shared" ca="1" si="37"/>
        <v>11.59116925</v>
      </c>
      <c r="J86" s="66">
        <f t="shared" ca="1" si="37"/>
        <v>11.59116925</v>
      </c>
      <c r="K86" s="66">
        <f t="shared" ca="1" si="37"/>
        <v>11.59116925</v>
      </c>
      <c r="L86" s="66">
        <f t="shared" ca="1" si="37"/>
        <v>11.59116925</v>
      </c>
      <c r="N86" t="str">
        <f t="shared" si="34"/>
        <v>Available water - Account Withdraw</v>
      </c>
    </row>
    <row r="87" spans="1:14" x14ac:dyDescent="0.35">
      <c r="C87"/>
    </row>
    <row r="88" spans="1:14" x14ac:dyDescent="0.35">
      <c r="A88" s="143" t="str">
        <f>IF(A$9="","[Unused]",A9)</f>
        <v>[Unused]</v>
      </c>
      <c r="B88" s="143"/>
      <c r="C88" s="143"/>
      <c r="D88" s="143"/>
      <c r="E88" s="143"/>
      <c r="F88" s="143"/>
      <c r="G88" s="143"/>
      <c r="H88" s="143"/>
      <c r="I88" s="143"/>
      <c r="J88" s="143"/>
      <c r="K88" s="143"/>
      <c r="L88" s="143"/>
      <c r="M88" s="144" t="s">
        <v>107</v>
      </c>
      <c r="N88" s="143" t="s">
        <v>172</v>
      </c>
    </row>
    <row r="89" spans="1:14" x14ac:dyDescent="0.35">
      <c r="A89" s="32" t="str">
        <f>IF(A88="[Unused]","","   Volume of Sales(+) and Purchases(-) [maf]")</f>
        <v/>
      </c>
      <c r="C89" s="134"/>
      <c r="D89" s="134"/>
      <c r="E89" s="134"/>
      <c r="F89" s="134"/>
      <c r="G89" s="134"/>
      <c r="H89" s="134"/>
      <c r="I89" s="134"/>
      <c r="J89" s="134"/>
      <c r="K89" s="134"/>
      <c r="L89" s="134"/>
      <c r="M89" s="67">
        <f>SUM(C89:L89)</f>
        <v>0</v>
      </c>
      <c r="N89" t="str">
        <f>IF(A89="","",N81)</f>
        <v/>
      </c>
    </row>
    <row r="90" spans="1:14" x14ac:dyDescent="0.35">
      <c r="A90" s="32" t="str">
        <f>IF(A89="","","   Cash Intake(+) and Payments(-) [$ Mill]")</f>
        <v/>
      </c>
      <c r="C90" s="135"/>
      <c r="D90" s="135"/>
      <c r="E90" s="135"/>
      <c r="F90" s="135"/>
      <c r="G90" s="135"/>
      <c r="H90" s="135"/>
      <c r="I90" s="135"/>
      <c r="J90" s="135"/>
      <c r="K90" s="135"/>
      <c r="L90" s="135"/>
      <c r="M90" s="65">
        <f>SUM(C90:L90)</f>
        <v>0</v>
      </c>
      <c r="N90" t="str">
        <f t="shared" ref="N90:N94" si="38">IF(A90="","",N82)</f>
        <v/>
      </c>
    </row>
    <row r="91" spans="1:14" x14ac:dyDescent="0.35">
      <c r="A91" s="32" t="str">
        <f>IF(A90="","","   Volume all players (should be zero)")</f>
        <v/>
      </c>
      <c r="C91" s="67" t="str">
        <f t="shared" ref="C91:M91" si="39">IF(OR(C$26="",$A91=""),"",C$112)</f>
        <v/>
      </c>
      <c r="D91" s="67" t="str">
        <f t="shared" si="39"/>
        <v/>
      </c>
      <c r="E91" s="67" t="str">
        <f t="shared" si="39"/>
        <v/>
      </c>
      <c r="F91" s="67" t="str">
        <f t="shared" si="39"/>
        <v/>
      </c>
      <c r="G91" s="67" t="str">
        <f t="shared" si="39"/>
        <v/>
      </c>
      <c r="H91" s="67" t="str">
        <f t="shared" si="39"/>
        <v/>
      </c>
      <c r="I91" s="67" t="str">
        <f t="shared" si="39"/>
        <v/>
      </c>
      <c r="J91" s="67" t="str">
        <f t="shared" si="39"/>
        <v/>
      </c>
      <c r="K91" s="67" t="str">
        <f t="shared" si="39"/>
        <v/>
      </c>
      <c r="L91" s="67" t="str">
        <f t="shared" si="39"/>
        <v/>
      </c>
      <c r="M91" t="str">
        <f t="shared" si="39"/>
        <v/>
      </c>
      <c r="N91" t="str">
        <f t="shared" si="38"/>
        <v/>
      </c>
    </row>
    <row r="92" spans="1:14" x14ac:dyDescent="0.35">
      <c r="A92" s="1" t="str">
        <f>IF(A90="","","   Available Water [maf]")</f>
        <v/>
      </c>
      <c r="C92" s="14" t="str">
        <f t="shared" ref="C92:L92" si="40">IF(OR(C$26="",$A92=""),"",C34+C52-C44-C89)</f>
        <v/>
      </c>
      <c r="D92" s="14" t="str">
        <f t="shared" si="40"/>
        <v/>
      </c>
      <c r="E92" s="14" t="str">
        <f t="shared" si="40"/>
        <v/>
      </c>
      <c r="F92" s="14" t="str">
        <f t="shared" si="40"/>
        <v/>
      </c>
      <c r="G92" s="14" t="str">
        <f t="shared" si="40"/>
        <v/>
      </c>
      <c r="H92" s="14" t="str">
        <f t="shared" si="40"/>
        <v/>
      </c>
      <c r="I92" s="14" t="str">
        <f t="shared" si="40"/>
        <v/>
      </c>
      <c r="J92" s="14" t="str">
        <f t="shared" si="40"/>
        <v/>
      </c>
      <c r="K92" s="14" t="str">
        <f t="shared" si="40"/>
        <v/>
      </c>
      <c r="L92" s="14" t="str">
        <f t="shared" si="40"/>
        <v/>
      </c>
      <c r="N92" t="str">
        <f t="shared" si="38"/>
        <v/>
      </c>
    </row>
    <row r="93" spans="1:14" x14ac:dyDescent="0.35">
      <c r="A93" s="1" t="str">
        <f>IF(A92="","","   Account Withdraw [maf]")</f>
        <v/>
      </c>
      <c r="C93" s="136"/>
      <c r="D93" s="136"/>
      <c r="E93" s="136"/>
      <c r="F93" s="136"/>
      <c r="G93" s="136"/>
      <c r="H93" s="136"/>
      <c r="I93" s="136"/>
      <c r="J93" s="136"/>
      <c r="K93" s="136"/>
      <c r="L93" s="136"/>
      <c r="N93" t="str">
        <f t="shared" si="38"/>
        <v/>
      </c>
    </row>
    <row r="94" spans="1:14" x14ac:dyDescent="0.35">
      <c r="A94" s="32" t="str">
        <f>IF(A93="","","   End of Year Balance [maf]")</f>
        <v/>
      </c>
      <c r="C94" s="66" t="str">
        <f>IF(OR(C$26="",$A94=""),"",C92-C93)</f>
        <v/>
      </c>
      <c r="D94" s="66" t="str">
        <f t="shared" ref="D94:L94" si="41">IF(OR(D$26="",$A94=""),"",D92-D93)</f>
        <v/>
      </c>
      <c r="E94" s="66" t="str">
        <f t="shared" si="41"/>
        <v/>
      </c>
      <c r="F94" s="66" t="str">
        <f t="shared" si="41"/>
        <v/>
      </c>
      <c r="G94" s="66" t="str">
        <f t="shared" si="41"/>
        <v/>
      </c>
      <c r="H94" s="66" t="str">
        <f t="shared" si="41"/>
        <v/>
      </c>
      <c r="I94" s="66" t="str">
        <f t="shared" si="41"/>
        <v/>
      </c>
      <c r="J94" s="66" t="str">
        <f t="shared" si="41"/>
        <v/>
      </c>
      <c r="K94" s="66" t="str">
        <f t="shared" si="41"/>
        <v/>
      </c>
      <c r="L94" s="66" t="str">
        <f t="shared" si="41"/>
        <v/>
      </c>
      <c r="N94" t="str">
        <f t="shared" si="38"/>
        <v/>
      </c>
    </row>
    <row r="95" spans="1:14" x14ac:dyDescent="0.35">
      <c r="C95"/>
    </row>
    <row r="96" spans="1:14" x14ac:dyDescent="0.35">
      <c r="A96" s="143" t="str">
        <f>IF(A$10="","[Unused]",A10)</f>
        <v>[Unused]</v>
      </c>
      <c r="B96" s="143"/>
      <c r="C96" s="143"/>
      <c r="D96" s="143"/>
      <c r="E96" s="143"/>
      <c r="F96" s="143"/>
      <c r="G96" s="143"/>
      <c r="H96" s="143"/>
      <c r="I96" s="143"/>
      <c r="J96" s="143"/>
      <c r="K96" s="143"/>
      <c r="L96" s="143"/>
      <c r="M96" s="144" t="s">
        <v>107</v>
      </c>
      <c r="N96" s="143" t="s">
        <v>172</v>
      </c>
    </row>
    <row r="97" spans="1:14" x14ac:dyDescent="0.35">
      <c r="A97" s="32" t="str">
        <f>IF(A96="[Unused]","","   Volume of Sales(+) and Purchases(-) [maf]")</f>
        <v/>
      </c>
      <c r="C97" s="134"/>
      <c r="D97" s="134"/>
      <c r="E97" s="134"/>
      <c r="F97" s="134"/>
      <c r="G97" s="134"/>
      <c r="H97" s="134"/>
      <c r="I97" s="134"/>
      <c r="J97" s="134"/>
      <c r="K97" s="134"/>
      <c r="L97" s="134"/>
      <c r="M97" s="67">
        <f>SUM(C97:L97)</f>
        <v>0</v>
      </c>
      <c r="N97" t="str">
        <f>IF(A97="","",N89)</f>
        <v/>
      </c>
    </row>
    <row r="98" spans="1:14" x14ac:dyDescent="0.35">
      <c r="A98" s="32" t="str">
        <f>IF(A97="","","   Cash Intake(+) and Payments(-) [$ Mill]")</f>
        <v/>
      </c>
      <c r="C98" s="135"/>
      <c r="D98" s="135"/>
      <c r="E98" s="135"/>
      <c r="F98" s="135"/>
      <c r="G98" s="135"/>
      <c r="H98" s="135"/>
      <c r="I98" s="135"/>
      <c r="J98" s="135"/>
      <c r="K98" s="135"/>
      <c r="L98" s="135"/>
      <c r="M98" s="65">
        <f>SUM(C98:L98)</f>
        <v>0</v>
      </c>
      <c r="N98" t="str">
        <f t="shared" ref="N98:N102" si="42">IF(A98="","",N90)</f>
        <v/>
      </c>
    </row>
    <row r="99" spans="1:14" x14ac:dyDescent="0.35">
      <c r="A99" s="32" t="str">
        <f>IF(A98="","","   Volume all players (should be zero)")</f>
        <v/>
      </c>
      <c r="C99" s="67" t="str">
        <f t="shared" ref="C99:M99" si="43">IF(OR(C$26="",$A99=""),"",C$112)</f>
        <v/>
      </c>
      <c r="D99" s="67" t="str">
        <f t="shared" si="43"/>
        <v/>
      </c>
      <c r="E99" s="67" t="str">
        <f t="shared" si="43"/>
        <v/>
      </c>
      <c r="F99" s="67" t="str">
        <f t="shared" si="43"/>
        <v/>
      </c>
      <c r="G99" s="67" t="str">
        <f t="shared" si="43"/>
        <v/>
      </c>
      <c r="H99" s="67" t="str">
        <f t="shared" si="43"/>
        <v/>
      </c>
      <c r="I99" s="67" t="str">
        <f t="shared" si="43"/>
        <v/>
      </c>
      <c r="J99" s="67" t="str">
        <f t="shared" si="43"/>
        <v/>
      </c>
      <c r="K99" s="67" t="str">
        <f t="shared" si="43"/>
        <v/>
      </c>
      <c r="L99" s="67" t="str">
        <f t="shared" si="43"/>
        <v/>
      </c>
      <c r="M99" t="str">
        <f t="shared" si="43"/>
        <v/>
      </c>
      <c r="N99" t="str">
        <f t="shared" si="42"/>
        <v/>
      </c>
    </row>
    <row r="100" spans="1:14" x14ac:dyDescent="0.35">
      <c r="A100" s="1" t="str">
        <f>IF(A98="","","   Available Water [maf]")</f>
        <v/>
      </c>
      <c r="C100" s="14" t="str">
        <f t="shared" ref="C100:L100" si="44">IF(OR(C$26="",$A100=""),"",C35+C53-C45-C97)</f>
        <v/>
      </c>
      <c r="D100" s="14" t="str">
        <f t="shared" si="44"/>
        <v/>
      </c>
      <c r="E100" s="14" t="str">
        <f t="shared" si="44"/>
        <v/>
      </c>
      <c r="F100" s="14" t="str">
        <f t="shared" si="44"/>
        <v/>
      </c>
      <c r="G100" s="14" t="str">
        <f t="shared" si="44"/>
        <v/>
      </c>
      <c r="H100" s="14" t="str">
        <f t="shared" si="44"/>
        <v/>
      </c>
      <c r="I100" s="14" t="str">
        <f t="shared" si="44"/>
        <v/>
      </c>
      <c r="J100" s="14" t="str">
        <f t="shared" si="44"/>
        <v/>
      </c>
      <c r="K100" s="14" t="str">
        <f t="shared" si="44"/>
        <v/>
      </c>
      <c r="L100" s="14" t="str">
        <f t="shared" si="44"/>
        <v/>
      </c>
      <c r="N100" t="str">
        <f t="shared" si="42"/>
        <v/>
      </c>
    </row>
    <row r="101" spans="1:14" x14ac:dyDescent="0.35">
      <c r="A101" s="1" t="str">
        <f>IF(A100="","","   Account Withdraw [maf]")</f>
        <v/>
      </c>
      <c r="C101" s="136"/>
      <c r="D101" s="136"/>
      <c r="E101" s="136"/>
      <c r="F101" s="136"/>
      <c r="G101" s="136"/>
      <c r="H101" s="136"/>
      <c r="I101" s="136"/>
      <c r="J101" s="136"/>
      <c r="K101" s="136"/>
      <c r="L101" s="136"/>
      <c r="N101" t="str">
        <f t="shared" si="42"/>
        <v/>
      </c>
    </row>
    <row r="102" spans="1:14" x14ac:dyDescent="0.35">
      <c r="A102" s="32" t="str">
        <f>IF(A101="","","   End of Year Balance [maf]")</f>
        <v/>
      </c>
      <c r="C102" s="66" t="str">
        <f>IF(OR(C$26="",$A102=""),"",C100-C101)</f>
        <v/>
      </c>
      <c r="D102" s="66" t="str">
        <f t="shared" ref="D102:L102" si="45">IF(OR(D$26="",$A102=""),"",D100-D101)</f>
        <v/>
      </c>
      <c r="E102" s="66" t="str">
        <f t="shared" si="45"/>
        <v/>
      </c>
      <c r="F102" s="66" t="str">
        <f t="shared" si="45"/>
        <v/>
      </c>
      <c r="G102" s="66" t="str">
        <f t="shared" si="45"/>
        <v/>
      </c>
      <c r="H102" s="66" t="str">
        <f t="shared" si="45"/>
        <v/>
      </c>
      <c r="I102" s="66" t="str">
        <f t="shared" si="45"/>
        <v/>
      </c>
      <c r="J102" s="66" t="str">
        <f t="shared" si="45"/>
        <v/>
      </c>
      <c r="K102" s="66" t="str">
        <f t="shared" si="45"/>
        <v/>
      </c>
      <c r="L102" s="66" t="str">
        <f t="shared" si="45"/>
        <v/>
      </c>
      <c r="N102" t="str">
        <f t="shared" si="42"/>
        <v/>
      </c>
    </row>
    <row r="103" spans="1:14" x14ac:dyDescent="0.35">
      <c r="C103"/>
    </row>
    <row r="104" spans="1:14" x14ac:dyDescent="0.35">
      <c r="A104" s="145" t="s">
        <v>183</v>
      </c>
      <c r="B104" s="145"/>
      <c r="C104" s="145"/>
      <c r="D104" s="145"/>
      <c r="E104" s="145"/>
      <c r="F104" s="145"/>
      <c r="G104" s="145"/>
      <c r="H104" s="145"/>
      <c r="I104" s="145"/>
      <c r="J104" s="145"/>
      <c r="K104" s="145"/>
      <c r="L104" s="145"/>
      <c r="M104" s="145"/>
      <c r="N104" s="145"/>
    </row>
    <row r="105" spans="1:14" x14ac:dyDescent="0.35">
      <c r="A105" s="1" t="s">
        <v>149</v>
      </c>
      <c r="C105"/>
      <c r="M105" t="s">
        <v>182</v>
      </c>
      <c r="N105" t="s">
        <v>150</v>
      </c>
    </row>
    <row r="106" spans="1:14" x14ac:dyDescent="0.35">
      <c r="A106" t="str">
        <f t="shared" ref="A106:A111" si="46">IF(A5="","","    "&amp;A5)</f>
        <v xml:space="preserve">    Upper Basin</v>
      </c>
      <c r="B106" s="1"/>
      <c r="C106" s="67">
        <f t="shared" ref="C106:L111" ca="1" si="47">IF(OR(C$26="",$A106=""),"",OFFSET(C$57,8*(ROW(B106)-ROW(B$106)),0))</f>
        <v>0</v>
      </c>
      <c r="D106" s="67">
        <f t="shared" ca="1" si="47"/>
        <v>0</v>
      </c>
      <c r="E106" s="67">
        <f t="shared" ca="1" si="47"/>
        <v>0</v>
      </c>
      <c r="F106" s="67">
        <f t="shared" ca="1" si="47"/>
        <v>0</v>
      </c>
      <c r="G106" s="67">
        <f t="shared" ca="1" si="47"/>
        <v>0</v>
      </c>
      <c r="H106" s="67">
        <f t="shared" ca="1" si="47"/>
        <v>0</v>
      </c>
      <c r="I106" s="67">
        <f t="shared" ca="1" si="47"/>
        <v>0</v>
      </c>
      <c r="J106" s="67">
        <f t="shared" ca="1" si="47"/>
        <v>0</v>
      </c>
      <c r="K106" s="67">
        <f t="shared" ca="1" si="47"/>
        <v>0</v>
      </c>
      <c r="L106" s="67">
        <f t="shared" ca="1" si="47"/>
        <v>0</v>
      </c>
      <c r="M106" s="67">
        <f ca="1">IF(OR($A106=""),"",SUM(C106:L106))</f>
        <v>0</v>
      </c>
      <c r="N106" s="65">
        <f>IF(OR($A106=""),"",M58)</f>
        <v>0</v>
      </c>
    </row>
    <row r="107" spans="1:14" x14ac:dyDescent="0.35">
      <c r="A107" t="str">
        <f t="shared" si="46"/>
        <v xml:space="preserve">    Lower Basin</v>
      </c>
      <c r="B107" s="1"/>
      <c r="C107" s="67">
        <f t="shared" ca="1" si="47"/>
        <v>0</v>
      </c>
      <c r="D107" s="67">
        <f t="shared" ca="1" si="47"/>
        <v>0</v>
      </c>
      <c r="E107" s="67">
        <f t="shared" ca="1" si="47"/>
        <v>0</v>
      </c>
      <c r="F107" s="67">
        <f t="shared" ca="1" si="47"/>
        <v>0</v>
      </c>
      <c r="G107" s="67">
        <f t="shared" ca="1" si="47"/>
        <v>0</v>
      </c>
      <c r="H107" s="67">
        <f t="shared" ca="1" si="47"/>
        <v>0</v>
      </c>
      <c r="I107" s="67">
        <f t="shared" ca="1" si="47"/>
        <v>0</v>
      </c>
      <c r="J107" s="67">
        <f t="shared" ca="1" si="47"/>
        <v>0</v>
      </c>
      <c r="K107" s="67">
        <f t="shared" ca="1" si="47"/>
        <v>0</v>
      </c>
      <c r="L107" s="67">
        <f t="shared" ca="1" si="47"/>
        <v>0</v>
      </c>
      <c r="M107" s="67">
        <f t="shared" ref="M107:M111" ca="1" si="48">IF(OR($A107=""),"",SUM(C107:L107))</f>
        <v>0</v>
      </c>
      <c r="N107" s="65">
        <f>IF(OR($A107=""),"",M66)</f>
        <v>0</v>
      </c>
    </row>
    <row r="108" spans="1:14" x14ac:dyDescent="0.35">
      <c r="A108" t="str">
        <f t="shared" si="46"/>
        <v xml:space="preserve">    Mexico</v>
      </c>
      <c r="B108" s="1"/>
      <c r="C108" s="67">
        <f t="shared" ca="1" si="47"/>
        <v>0</v>
      </c>
      <c r="D108" s="67">
        <f t="shared" ca="1" si="47"/>
        <v>0</v>
      </c>
      <c r="E108" s="67">
        <f t="shared" ca="1" si="47"/>
        <v>0</v>
      </c>
      <c r="F108" s="67">
        <f t="shared" ca="1" si="47"/>
        <v>0</v>
      </c>
      <c r="G108" s="67">
        <f t="shared" ca="1" si="47"/>
        <v>0</v>
      </c>
      <c r="H108" s="67">
        <f t="shared" ca="1" si="47"/>
        <v>0</v>
      </c>
      <c r="I108" s="67">
        <f t="shared" ca="1" si="47"/>
        <v>0</v>
      </c>
      <c r="J108" s="67">
        <f t="shared" ca="1" si="47"/>
        <v>0</v>
      </c>
      <c r="K108" s="67">
        <f t="shared" ca="1" si="47"/>
        <v>0</v>
      </c>
      <c r="L108" s="67">
        <f t="shared" ca="1" si="47"/>
        <v>0</v>
      </c>
      <c r="M108" s="67">
        <f t="shared" ca="1" si="48"/>
        <v>0</v>
      </c>
      <c r="N108" s="65">
        <f>IF(OR($A108=""),"",M74)</f>
        <v>0</v>
      </c>
    </row>
    <row r="109" spans="1:14" x14ac:dyDescent="0.35">
      <c r="A109" t="str">
        <f t="shared" si="46"/>
        <v xml:space="preserve">    Shared, Reserve</v>
      </c>
      <c r="B109" s="1"/>
      <c r="C109" s="67">
        <f t="shared" ca="1" si="47"/>
        <v>0</v>
      </c>
      <c r="D109" s="67">
        <f t="shared" ca="1" si="47"/>
        <v>0</v>
      </c>
      <c r="E109" s="67">
        <f t="shared" ca="1" si="47"/>
        <v>0</v>
      </c>
      <c r="F109" s="67">
        <f t="shared" ca="1" si="47"/>
        <v>0</v>
      </c>
      <c r="G109" s="67">
        <f t="shared" ca="1" si="47"/>
        <v>0</v>
      </c>
      <c r="H109" s="67">
        <f t="shared" ca="1" si="47"/>
        <v>0</v>
      </c>
      <c r="I109" s="67">
        <f t="shared" ca="1" si="47"/>
        <v>0</v>
      </c>
      <c r="J109" s="67">
        <f t="shared" ca="1" si="47"/>
        <v>0</v>
      </c>
      <c r="K109" s="67">
        <f t="shared" ca="1" si="47"/>
        <v>0</v>
      </c>
      <c r="L109" s="67">
        <f t="shared" ca="1" si="47"/>
        <v>0</v>
      </c>
      <c r="M109" s="67">
        <f t="shared" ca="1" si="48"/>
        <v>0</v>
      </c>
      <c r="N109" s="65">
        <f>IF(OR($A109=""),"",M82)</f>
        <v>0</v>
      </c>
    </row>
    <row r="110" spans="1:14" x14ac:dyDescent="0.35">
      <c r="A110" t="str">
        <f t="shared" si="46"/>
        <v/>
      </c>
      <c r="B110" s="1"/>
      <c r="C110" s="67" t="str">
        <f t="shared" ca="1" si="47"/>
        <v/>
      </c>
      <c r="D110" s="67" t="str">
        <f t="shared" ca="1" si="47"/>
        <v/>
      </c>
      <c r="E110" s="67" t="str">
        <f t="shared" ca="1" si="47"/>
        <v/>
      </c>
      <c r="F110" s="67" t="str">
        <f t="shared" ca="1" si="47"/>
        <v/>
      </c>
      <c r="G110" s="67" t="str">
        <f t="shared" ca="1" si="47"/>
        <v/>
      </c>
      <c r="H110" s="67" t="str">
        <f t="shared" ca="1" si="47"/>
        <v/>
      </c>
      <c r="I110" s="67" t="str">
        <f t="shared" ca="1" si="47"/>
        <v/>
      </c>
      <c r="J110" s="67" t="str">
        <f t="shared" ca="1" si="47"/>
        <v/>
      </c>
      <c r="K110" s="67" t="str">
        <f t="shared" ca="1" si="47"/>
        <v/>
      </c>
      <c r="L110" s="67" t="str">
        <f t="shared" ca="1" si="47"/>
        <v/>
      </c>
      <c r="M110" s="67" t="str">
        <f t="shared" si="48"/>
        <v/>
      </c>
      <c r="N110" s="65" t="str">
        <f>IF(OR($A110=""),"",M90)</f>
        <v/>
      </c>
    </row>
    <row r="111" spans="1:14" x14ac:dyDescent="0.35">
      <c r="A111" t="str">
        <f t="shared" si="46"/>
        <v/>
      </c>
      <c r="B111" s="1"/>
      <c r="C111" s="67" t="str">
        <f t="shared" ca="1" si="47"/>
        <v/>
      </c>
      <c r="D111" s="67" t="str">
        <f t="shared" ca="1" si="47"/>
        <v/>
      </c>
      <c r="E111" s="67" t="str">
        <f t="shared" ca="1" si="47"/>
        <v/>
      </c>
      <c r="F111" s="67" t="str">
        <f t="shared" ca="1" si="47"/>
        <v/>
      </c>
      <c r="G111" s="67" t="str">
        <f t="shared" ca="1" si="47"/>
        <v/>
      </c>
      <c r="H111" s="67" t="str">
        <f t="shared" ca="1" si="47"/>
        <v/>
      </c>
      <c r="I111" s="67" t="str">
        <f t="shared" ca="1" si="47"/>
        <v/>
      </c>
      <c r="J111" s="67" t="str">
        <f t="shared" ca="1" si="47"/>
        <v/>
      </c>
      <c r="K111" s="67" t="str">
        <f t="shared" ca="1" si="47"/>
        <v/>
      </c>
      <c r="L111" s="67" t="str">
        <f t="shared" ca="1" si="47"/>
        <v/>
      </c>
      <c r="M111" s="67" t="str">
        <f t="shared" si="48"/>
        <v/>
      </c>
      <c r="N111" s="65" t="str">
        <f>IF(OR($A111=""),"",M98)</f>
        <v/>
      </c>
    </row>
    <row r="112" spans="1:14" x14ac:dyDescent="0.35">
      <c r="A112" t="s">
        <v>146</v>
      </c>
      <c r="B112" s="1"/>
      <c r="C112" s="51">
        <f ca="1">IF(C$26&lt;&gt;"",SUM(C106:C111),"")</f>
        <v>0</v>
      </c>
      <c r="D112" s="51">
        <f t="shared" ref="D112:L112" ca="1" si="49">IF(D$26&lt;&gt;"",SUM(D106:D111),"")</f>
        <v>0</v>
      </c>
      <c r="E112" s="119">
        <f t="shared" ca="1" si="49"/>
        <v>0</v>
      </c>
      <c r="F112" s="51">
        <f t="shared" ca="1" si="49"/>
        <v>0</v>
      </c>
      <c r="G112" s="51">
        <f t="shared" ca="1" si="49"/>
        <v>0</v>
      </c>
      <c r="H112" s="51">
        <f t="shared" ca="1" si="49"/>
        <v>0</v>
      </c>
      <c r="I112" s="51">
        <f t="shared" ca="1" si="49"/>
        <v>0</v>
      </c>
      <c r="J112" s="51">
        <f t="shared" ca="1" si="49"/>
        <v>0</v>
      </c>
      <c r="K112" s="51">
        <f t="shared" ca="1" si="49"/>
        <v>0</v>
      </c>
      <c r="L112" s="51">
        <f t="shared" ca="1" si="49"/>
        <v>0</v>
      </c>
      <c r="M112" s="34"/>
    </row>
    <row r="113" spans="1:12" x14ac:dyDescent="0.35">
      <c r="A113" s="1" t="s">
        <v>134</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50">IF(OR(C$26="",$A114=""),"",OFFSET(C$61,8*(ROW(B114)-ROW(B$114)),0))</f>
        <v>4.2</v>
      </c>
      <c r="D114" s="67">
        <f t="shared" ca="1" si="50"/>
        <v>4.2</v>
      </c>
      <c r="E114" s="67">
        <f t="shared" ca="1" si="50"/>
        <v>4.2</v>
      </c>
      <c r="F114" s="67">
        <f t="shared" ca="1" si="50"/>
        <v>4.2</v>
      </c>
      <c r="G114" s="67">
        <f t="shared" ca="1" si="50"/>
        <v>4.2</v>
      </c>
      <c r="H114" s="67">
        <f t="shared" ca="1" si="50"/>
        <v>4.2</v>
      </c>
      <c r="I114" s="67">
        <f t="shared" ca="1" si="50"/>
        <v>4.2</v>
      </c>
      <c r="J114" s="67">
        <f t="shared" ca="1" si="50"/>
        <v>4.2</v>
      </c>
      <c r="K114" s="67">
        <f t="shared" ca="1" si="50"/>
        <v>4.2</v>
      </c>
      <c r="L114" s="67">
        <f t="shared" ca="1" si="50"/>
        <v>4.2</v>
      </c>
    </row>
    <row r="115" spans="1:12" x14ac:dyDescent="0.35">
      <c r="A115" t="str">
        <f>IF(A6="","","    "&amp;A6&amp;" - Release from Mead")</f>
        <v xml:space="preserve">    Lower Basin - Release from Mead</v>
      </c>
      <c r="C115" s="67">
        <f t="shared" ca="1" si="50"/>
        <v>7.2590000000000003</v>
      </c>
      <c r="D115" s="67">
        <f t="shared" ca="1" si="50"/>
        <v>7.2590000000000003</v>
      </c>
      <c r="E115" s="67">
        <f t="shared" ca="1" si="50"/>
        <v>6.8870000000000005</v>
      </c>
      <c r="F115" s="67">
        <f t="shared" ca="1" si="50"/>
        <v>6.8870000000000005</v>
      </c>
      <c r="G115" s="67">
        <f t="shared" ca="1" si="50"/>
        <v>6.8870000000000005</v>
      </c>
      <c r="H115" s="67">
        <f t="shared" ca="1" si="50"/>
        <v>6.805453457471021</v>
      </c>
      <c r="I115" s="67">
        <f t="shared" ca="1" si="50"/>
        <v>6.3702888005243183</v>
      </c>
      <c r="J115" s="67">
        <f t="shared" ca="1" si="50"/>
        <v>6.3859604978537057</v>
      </c>
      <c r="K115" s="67">
        <f t="shared" ca="1" si="50"/>
        <v>6.4093097077066208</v>
      </c>
      <c r="L115" s="67">
        <f t="shared" ca="1" si="50"/>
        <v>6.4093240851661299</v>
      </c>
    </row>
    <row r="116" spans="1:12" x14ac:dyDescent="0.35">
      <c r="A116" t="str">
        <f>IF(A7="","","    "&amp;A7&amp;" - Release from Mead")</f>
        <v xml:space="preserve">    Mexico - Release from Mead</v>
      </c>
      <c r="C116" s="67">
        <f t="shared" ca="1" si="50"/>
        <v>1.4473333333333334</v>
      </c>
      <c r="D116" s="67">
        <f t="shared" ca="1" si="50"/>
        <v>1.4473333333333334</v>
      </c>
      <c r="E116" s="67">
        <f t="shared" ca="1" si="50"/>
        <v>1.4083333333333332</v>
      </c>
      <c r="F116" s="67">
        <f t="shared" ca="1" si="50"/>
        <v>1.4083333333333332</v>
      </c>
      <c r="G116" s="67">
        <f t="shared" ca="1" si="50"/>
        <v>1.4083333333333332</v>
      </c>
      <c r="H116" s="67">
        <f t="shared" ca="1" si="50"/>
        <v>1.4083333333333332</v>
      </c>
      <c r="I116" s="67">
        <f t="shared" ca="1" si="50"/>
        <v>1.3843333333333332</v>
      </c>
      <c r="J116" s="67">
        <f t="shared" ca="1" si="50"/>
        <v>1.4083333333333332</v>
      </c>
      <c r="K116" s="67">
        <f t="shared" ca="1" si="50"/>
        <v>1.4083333333333332</v>
      </c>
      <c r="L116" s="67">
        <f t="shared" ca="1" si="50"/>
        <v>1.4473333333333334</v>
      </c>
    </row>
    <row r="117" spans="1:12" x14ac:dyDescent="0.35">
      <c r="A117" t="str">
        <f>IF(A8="","","    "&amp;A8&amp;" - Release from Mead")</f>
        <v xml:space="preserve">    Shared, Reserve - Release from Mead</v>
      </c>
      <c r="C117" s="67">
        <f t="shared" ca="1" si="50"/>
        <v>0</v>
      </c>
      <c r="D117" s="67">
        <f t="shared" ca="1" si="50"/>
        <v>0</v>
      </c>
      <c r="E117" s="67">
        <f t="shared" ca="1" si="50"/>
        <v>0</v>
      </c>
      <c r="F117" s="67">
        <f t="shared" ca="1" si="50"/>
        <v>0</v>
      </c>
      <c r="G117" s="67">
        <f t="shared" ca="1" si="50"/>
        <v>0</v>
      </c>
      <c r="H117" s="67">
        <f t="shared" ca="1" si="50"/>
        <v>0</v>
      </c>
      <c r="I117" s="67">
        <f t="shared" ca="1" si="50"/>
        <v>0</v>
      </c>
      <c r="J117" s="67">
        <f t="shared" ca="1" si="50"/>
        <v>0</v>
      </c>
      <c r="K117" s="67">
        <f t="shared" ca="1" si="50"/>
        <v>0</v>
      </c>
      <c r="L117" s="67">
        <f t="shared" ca="1" si="50"/>
        <v>0</v>
      </c>
    </row>
    <row r="118" spans="1:12" x14ac:dyDescent="0.35">
      <c r="A118" t="str">
        <f>IF(A9="","","    "&amp;A9&amp;" - Release from Mead")</f>
        <v/>
      </c>
      <c r="C118" s="67" t="str">
        <f t="shared" ca="1" si="50"/>
        <v/>
      </c>
      <c r="D118" s="67" t="str">
        <f t="shared" ca="1" si="50"/>
        <v/>
      </c>
      <c r="E118" s="67" t="str">
        <f t="shared" ca="1" si="50"/>
        <v/>
      </c>
      <c r="F118" s="67" t="str">
        <f t="shared" ca="1" si="50"/>
        <v/>
      </c>
      <c r="G118" s="67" t="str">
        <f t="shared" ca="1" si="50"/>
        <v/>
      </c>
      <c r="H118" s="67" t="str">
        <f t="shared" ca="1" si="50"/>
        <v/>
      </c>
      <c r="I118" s="67" t="str">
        <f t="shared" ca="1" si="50"/>
        <v/>
      </c>
      <c r="J118" s="67" t="str">
        <f t="shared" ca="1" si="50"/>
        <v/>
      </c>
      <c r="K118" s="67" t="str">
        <f t="shared" ca="1" si="50"/>
        <v/>
      </c>
      <c r="L118" s="67" t="str">
        <f t="shared" ca="1" si="50"/>
        <v/>
      </c>
    </row>
    <row r="119" spans="1:12" x14ac:dyDescent="0.35">
      <c r="A119" t="str">
        <f>IF(A10="","","    "&amp;A10&amp;" - Release from Mead")</f>
        <v/>
      </c>
      <c r="C119" s="67" t="str">
        <f t="shared" ca="1" si="50"/>
        <v/>
      </c>
      <c r="D119" s="67" t="str">
        <f t="shared" ca="1" si="50"/>
        <v/>
      </c>
      <c r="E119" s="67" t="str">
        <f t="shared" ca="1" si="50"/>
        <v/>
      </c>
      <c r="F119" s="67" t="str">
        <f t="shared" ca="1" si="50"/>
        <v/>
      </c>
      <c r="G119" s="67" t="str">
        <f t="shared" ca="1" si="50"/>
        <v/>
      </c>
      <c r="H119" s="67" t="str">
        <f t="shared" ca="1" si="50"/>
        <v/>
      </c>
      <c r="I119" s="67" t="str">
        <f t="shared" ca="1" si="50"/>
        <v/>
      </c>
      <c r="J119" s="67" t="str">
        <f t="shared" ca="1" si="50"/>
        <v/>
      </c>
      <c r="K119" s="67" t="str">
        <f t="shared" ca="1" si="50"/>
        <v/>
      </c>
      <c r="L119" s="67" t="str">
        <f t="shared" ca="1" si="50"/>
        <v/>
      </c>
    </row>
    <row r="120" spans="1:12" x14ac:dyDescent="0.35">
      <c r="A120" s="1" t="s">
        <v>139</v>
      </c>
      <c r="B120" s="1"/>
      <c r="D120" s="2"/>
      <c r="E120" s="2"/>
      <c r="F120" s="2"/>
      <c r="G120" s="2"/>
      <c r="H120" s="2"/>
      <c r="I120" s="2"/>
      <c r="J120" s="2"/>
      <c r="K120" s="2"/>
      <c r="L120" s="2"/>
    </row>
    <row r="121" spans="1:12" x14ac:dyDescent="0.35">
      <c r="A121" t="str">
        <f t="shared" ref="A121:A126" si="51">IF(A5="","","    "&amp;A5)</f>
        <v xml:space="preserve">    Upper Basin</v>
      </c>
      <c r="C121" s="67">
        <f t="shared" ref="C121:L126" ca="1" si="52">IF(OR(C$26="",$A121=""),"",OFFSET(C$62,8*(ROW(B121)-ROW(B$121)),0))</f>
        <v>4.8040452368981788</v>
      </c>
      <c r="D121" s="67">
        <f t="shared" ca="1" si="52"/>
        <v>4.5419931728564817</v>
      </c>
      <c r="E121" s="67">
        <f t="shared" ca="1" si="52"/>
        <v>4.3056232546493094</v>
      </c>
      <c r="F121" s="67">
        <f t="shared" ca="1" si="52"/>
        <v>4.0774702074598084</v>
      </c>
      <c r="G121" s="67">
        <f t="shared" ca="1" si="52"/>
        <v>3.85719281347522</v>
      </c>
      <c r="H121" s="67">
        <f t="shared" ca="1" si="52"/>
        <v>3.6445551050330494</v>
      </c>
      <c r="I121" s="67">
        <f t="shared" ca="1" si="52"/>
        <v>5.4519284043853409</v>
      </c>
      <c r="J121" s="67">
        <f t="shared" ca="1" si="52"/>
        <v>7.1609068947687797</v>
      </c>
      <c r="K121" s="67">
        <f t="shared" ca="1" si="52"/>
        <v>8.7943918761707423</v>
      </c>
      <c r="L121" s="67">
        <f t="shared" ca="1" si="52"/>
        <v>10.34052689057302</v>
      </c>
    </row>
    <row r="122" spans="1:12" x14ac:dyDescent="0.35">
      <c r="A122" t="str">
        <f t="shared" si="51"/>
        <v xml:space="preserve">    Lower Basin</v>
      </c>
      <c r="C122" s="67">
        <f t="shared" ca="1" si="52"/>
        <v>3.2109815232907888</v>
      </c>
      <c r="D122" s="67">
        <f t="shared" ca="1" si="52"/>
        <v>2.1938054130006606</v>
      </c>
      <c r="E122" s="67">
        <f t="shared" ca="1" si="52"/>
        <v>1.5979005802175585</v>
      </c>
      <c r="F122" s="67">
        <f t="shared" ca="1" si="52"/>
        <v>1.0206144277033102</v>
      </c>
      <c r="G122" s="67">
        <f t="shared" ca="1" si="52"/>
        <v>0.46100835996429268</v>
      </c>
      <c r="H122" s="67">
        <f t="shared" ca="1" si="52"/>
        <v>0</v>
      </c>
      <c r="I122" s="67">
        <f t="shared" ca="1" si="52"/>
        <v>0</v>
      </c>
      <c r="J122" s="67">
        <f t="shared" ca="1" si="52"/>
        <v>0</v>
      </c>
      <c r="K122" s="67">
        <f t="shared" ca="1" si="52"/>
        <v>0</v>
      </c>
      <c r="L122" s="67">
        <f t="shared" ca="1" si="52"/>
        <v>0</v>
      </c>
    </row>
    <row r="123" spans="1:12" x14ac:dyDescent="0.35">
      <c r="A123" t="str">
        <f t="shared" si="51"/>
        <v xml:space="preserve">    Mexico</v>
      </c>
      <c r="C123" s="67">
        <f t="shared" ca="1" si="52"/>
        <v>0.16557297647772518</v>
      </c>
      <c r="D123" s="67">
        <f t="shared" ca="1" si="52"/>
        <v>0.15735694647678922</v>
      </c>
      <c r="E123" s="67">
        <f t="shared" ca="1" si="52"/>
        <v>0.14931228563432986</v>
      </c>
      <c r="F123" s="67">
        <f t="shared" ca="1" si="52"/>
        <v>0.14154478800417558</v>
      </c>
      <c r="G123" s="67">
        <f t="shared" ca="1" si="52"/>
        <v>0.13404274739387745</v>
      </c>
      <c r="H123" s="67">
        <f t="shared" ca="1" si="52"/>
        <v>0.1267980923965879</v>
      </c>
      <c r="I123" s="67">
        <f t="shared" ca="1" si="52"/>
        <v>0.11982386668781775</v>
      </c>
      <c r="J123" s="67">
        <f t="shared" ca="1" si="52"/>
        <v>0.1135192981185138</v>
      </c>
      <c r="K123" s="67">
        <f t="shared" ca="1" si="52"/>
        <v>0.10777511917719851</v>
      </c>
      <c r="L123" s="67">
        <f t="shared" ca="1" si="52"/>
        <v>0.10250304627602902</v>
      </c>
    </row>
    <row r="124" spans="1:12" x14ac:dyDescent="0.35">
      <c r="A124" t="str">
        <f t="shared" si="51"/>
        <v xml:space="preserve">    Shared, Reserve</v>
      </c>
      <c r="C124" s="67">
        <f t="shared" ca="1" si="52"/>
        <v>11.59116925</v>
      </c>
      <c r="D124" s="67">
        <f t="shared" ca="1" si="52"/>
        <v>11.59116925</v>
      </c>
      <c r="E124" s="67">
        <f t="shared" ca="1" si="52"/>
        <v>11.59116925</v>
      </c>
      <c r="F124" s="67">
        <f t="shared" ca="1" si="52"/>
        <v>11.59116925</v>
      </c>
      <c r="G124" s="67">
        <f t="shared" ca="1" si="52"/>
        <v>11.59116925</v>
      </c>
      <c r="H124" s="67">
        <f t="shared" ca="1" si="52"/>
        <v>11.59116925</v>
      </c>
      <c r="I124" s="67">
        <f t="shared" ca="1" si="52"/>
        <v>11.59116925</v>
      </c>
      <c r="J124" s="67">
        <f t="shared" ca="1" si="52"/>
        <v>11.59116925</v>
      </c>
      <c r="K124" s="67">
        <f t="shared" ca="1" si="52"/>
        <v>11.59116925</v>
      </c>
      <c r="L124" s="67">
        <f t="shared" ca="1" si="52"/>
        <v>11.59116925</v>
      </c>
    </row>
    <row r="125" spans="1:12" x14ac:dyDescent="0.35">
      <c r="A125" t="str">
        <f t="shared" si="51"/>
        <v/>
      </c>
      <c r="C125" s="67" t="str">
        <f t="shared" ca="1" si="52"/>
        <v/>
      </c>
      <c r="D125" s="67" t="str">
        <f t="shared" ca="1" si="52"/>
        <v/>
      </c>
      <c r="E125" s="67" t="str">
        <f t="shared" ca="1" si="52"/>
        <v/>
      </c>
      <c r="F125" s="67" t="str">
        <f t="shared" ca="1" si="52"/>
        <v/>
      </c>
      <c r="G125" s="67" t="str">
        <f t="shared" ca="1" si="52"/>
        <v/>
      </c>
      <c r="H125" s="67" t="str">
        <f t="shared" ca="1" si="52"/>
        <v/>
      </c>
      <c r="I125" s="67" t="str">
        <f t="shared" ca="1" si="52"/>
        <v/>
      </c>
      <c r="J125" s="67" t="str">
        <f t="shared" ca="1" si="52"/>
        <v/>
      </c>
      <c r="K125" s="67" t="str">
        <f t="shared" ca="1" si="52"/>
        <v/>
      </c>
      <c r="L125" s="67" t="str">
        <f t="shared" ca="1" si="52"/>
        <v/>
      </c>
    </row>
    <row r="126" spans="1:12" x14ac:dyDescent="0.35">
      <c r="A126" t="str">
        <f t="shared" si="51"/>
        <v/>
      </c>
      <c r="C126" s="67" t="str">
        <f t="shared" ca="1" si="52"/>
        <v/>
      </c>
      <c r="D126" s="67" t="str">
        <f t="shared" ca="1" si="52"/>
        <v/>
      </c>
      <c r="E126" s="67" t="str">
        <f t="shared" ca="1" si="52"/>
        <v/>
      </c>
      <c r="F126" s="67" t="str">
        <f t="shared" ca="1" si="52"/>
        <v/>
      </c>
      <c r="G126" s="67" t="str">
        <f t="shared" ca="1" si="52"/>
        <v/>
      </c>
      <c r="H126" s="67" t="str">
        <f t="shared" ca="1" si="52"/>
        <v/>
      </c>
      <c r="I126" s="67" t="str">
        <f t="shared" ca="1" si="52"/>
        <v/>
      </c>
      <c r="J126" s="67" t="str">
        <f t="shared" ca="1" si="52"/>
        <v/>
      </c>
      <c r="K126" s="67" t="str">
        <f t="shared" ca="1" si="52"/>
        <v/>
      </c>
      <c r="L126" s="67" t="str">
        <f t="shared" ca="1" si="52"/>
        <v/>
      </c>
    </row>
    <row r="127" spans="1:12" x14ac:dyDescent="0.35">
      <c r="A127" s="1" t="s">
        <v>123</v>
      </c>
      <c r="B127" s="1"/>
      <c r="C127" s="14">
        <f ca="1">IF(C$26&lt;&gt;"",SUM(C121:C126),"")</f>
        <v>19.771768986666693</v>
      </c>
      <c r="D127" s="14">
        <f t="shared" ref="D127:L127" ca="1" si="53">IF(D$26&lt;&gt;"",SUM(D121:D126),"")</f>
        <v>18.484324782333932</v>
      </c>
      <c r="E127" s="14">
        <f t="shared" ca="1" si="53"/>
        <v>17.644005370501198</v>
      </c>
      <c r="F127" s="14">
        <f t="shared" ca="1" si="53"/>
        <v>16.830798673167294</v>
      </c>
      <c r="G127" s="14">
        <f t="shared" ca="1" si="53"/>
        <v>16.043413170833389</v>
      </c>
      <c r="H127" s="14">
        <f t="shared" ca="1" si="53"/>
        <v>15.362522447429637</v>
      </c>
      <c r="I127" s="14">
        <f t="shared" ca="1" si="53"/>
        <v>17.162921521073159</v>
      </c>
      <c r="J127" s="14">
        <f t="shared" ca="1" si="53"/>
        <v>18.865595442887294</v>
      </c>
      <c r="K127" s="14">
        <f t="shared" ca="1" si="53"/>
        <v>20.49333624534794</v>
      </c>
      <c r="L127" s="14">
        <f t="shared" ca="1" si="53"/>
        <v>22.034199186849051</v>
      </c>
    </row>
    <row r="128" spans="1:12" x14ac:dyDescent="0.35">
      <c r="A128" s="1" t="s">
        <v>197</v>
      </c>
      <c r="B128" s="1"/>
      <c r="C128" s="68">
        <v>0.5</v>
      </c>
      <c r="D128" s="68">
        <v>0.5</v>
      </c>
      <c r="E128" s="68">
        <v>0.5</v>
      </c>
      <c r="F128" s="68">
        <v>0.5</v>
      </c>
      <c r="G128" s="68">
        <v>0.5</v>
      </c>
      <c r="H128" s="68">
        <v>0.5</v>
      </c>
      <c r="I128" s="68">
        <v>0.5</v>
      </c>
      <c r="J128" s="68">
        <v>0.5</v>
      </c>
      <c r="K128" s="68">
        <v>0.5</v>
      </c>
      <c r="L128" s="68">
        <v>0.5</v>
      </c>
    </row>
    <row r="129" spans="1:14" x14ac:dyDescent="0.35">
      <c r="A129" s="1" t="s">
        <v>193</v>
      </c>
      <c r="B129" s="1"/>
      <c r="C129" s="14">
        <f ca="1">IF(C26="","",C$128*C$127)</f>
        <v>9.8858844933333465</v>
      </c>
      <c r="D129" s="14">
        <f t="shared" ref="D129:L129" ca="1" si="54">IF(D26="","",D$128*D$127)</f>
        <v>9.2421623911669659</v>
      </c>
      <c r="E129" s="14">
        <f t="shared" ca="1" si="54"/>
        <v>8.8220026852505988</v>
      </c>
      <c r="F129" s="14">
        <f t="shared" ca="1" si="54"/>
        <v>8.415399336583647</v>
      </c>
      <c r="G129" s="14">
        <f t="shared" ca="1" si="54"/>
        <v>8.0217065854166947</v>
      </c>
      <c r="H129" s="14">
        <f t="shared" ca="1" si="54"/>
        <v>7.6812612237148183</v>
      </c>
      <c r="I129" s="14">
        <f t="shared" ca="1" si="54"/>
        <v>8.5814607605365794</v>
      </c>
      <c r="J129" s="14">
        <f t="shared" ca="1" si="54"/>
        <v>9.4327977214436469</v>
      </c>
      <c r="K129" s="14">
        <f t="shared" ca="1" si="54"/>
        <v>10.24666812267397</v>
      </c>
      <c r="L129" s="14">
        <f t="shared" ca="1" si="54"/>
        <v>11.017099593424525</v>
      </c>
    </row>
    <row r="130" spans="1:14" x14ac:dyDescent="0.35">
      <c r="A130" s="1" t="s">
        <v>194</v>
      </c>
      <c r="B130" s="1"/>
      <c r="C130" s="14">
        <f ca="1">IF(C27="","",(1-C$128)*C$127)</f>
        <v>9.8858844933333465</v>
      </c>
      <c r="D130" s="14">
        <f t="shared" ref="D130:L130" ca="1" si="55">IF(D27="","",(1-D$128)*D$127)</f>
        <v>9.2421623911669659</v>
      </c>
      <c r="E130" s="14">
        <f t="shared" ca="1" si="55"/>
        <v>8.8220026852505988</v>
      </c>
      <c r="F130" s="14">
        <f t="shared" ca="1" si="55"/>
        <v>8.415399336583647</v>
      </c>
      <c r="G130" s="14">
        <f t="shared" ca="1" si="55"/>
        <v>8.0217065854166947</v>
      </c>
      <c r="H130" s="14">
        <f t="shared" ca="1" si="55"/>
        <v>7.6812612237148183</v>
      </c>
      <c r="I130" s="14">
        <f t="shared" ca="1" si="55"/>
        <v>8.5814607605365794</v>
      </c>
      <c r="J130" s="14">
        <f t="shared" ca="1" si="55"/>
        <v>9.4327977214436469</v>
      </c>
      <c r="K130" s="14">
        <f t="shared" ca="1" si="55"/>
        <v>10.24666812267397</v>
      </c>
      <c r="L130" s="14">
        <f t="shared" ca="1" si="55"/>
        <v>11.017099593424525</v>
      </c>
    </row>
    <row r="131" spans="1:14" x14ac:dyDescent="0.35">
      <c r="A131" s="32" t="s">
        <v>282</v>
      </c>
      <c r="B131" s="1"/>
      <c r="C131" s="87">
        <f ca="1">IF(C$26&lt;&gt;"",VLOOKUP(C129*1000000,'Powell-Elevation-Area'!$B$5:$H$689,7),"")</f>
        <v>3579</v>
      </c>
      <c r="D131" s="87">
        <f ca="1">IF(D$26&lt;&gt;"",VLOOKUP(D129*1000000,'Powell-Elevation-Area'!$B$5:$H$689,7),"")</f>
        <v>3571.5</v>
      </c>
      <c r="E131" s="87">
        <f ca="1">IF(E$26&lt;&gt;"",VLOOKUP(E129*1000000,'Powell-Elevation-Area'!$B$5:$H$689,7),"")</f>
        <v>3566</v>
      </c>
      <c r="F131" s="87">
        <f ca="1">IF(F$26&lt;&gt;"",VLOOKUP(F129*1000000,'Powell-Elevation-Area'!$B$5:$H$689,7),"")</f>
        <v>3561</v>
      </c>
      <c r="G131" s="87">
        <f ca="1">IF(G$26&lt;&gt;"",VLOOKUP(G129*1000000,'Powell-Elevation-Area'!$B$5:$H$689,7),"")</f>
        <v>3555.5</v>
      </c>
      <c r="H131" s="87">
        <f ca="1">IF(H$26&lt;&gt;"",VLOOKUP(H129*1000000,'Powell-Elevation-Area'!$B$5:$H$689,7),"")</f>
        <v>3551</v>
      </c>
      <c r="I131" s="87">
        <f ca="1">IF(I$26&lt;&gt;"",VLOOKUP(I129*1000000,'Powell-Elevation-Area'!$B$5:$H$689,7),"")</f>
        <v>3563</v>
      </c>
      <c r="J131" s="87">
        <f ca="1">IF(J$26&lt;&gt;"",VLOOKUP(J129*1000000,'Powell-Elevation-Area'!$B$5:$H$689,7),"")</f>
        <v>3573.5</v>
      </c>
      <c r="K131" s="87">
        <f ca="1">IF(K$26&lt;&gt;"",VLOOKUP(K129*1000000,'Powell-Elevation-Area'!$B$5:$H$689,7),"")</f>
        <v>3583.5</v>
      </c>
      <c r="L131" s="87">
        <f ca="1">IF(L$26&lt;&gt;"",VLOOKUP(L129*1000000,'Powell-Elevation-Area'!$B$5:$H$689,7),"")</f>
        <v>3592</v>
      </c>
    </row>
    <row r="132" spans="1:14" x14ac:dyDescent="0.35">
      <c r="A132" s="32" t="s">
        <v>283</v>
      </c>
      <c r="B132" s="1"/>
      <c r="C132" s="87">
        <f ca="1">IF(C$26&lt;&gt;"",VLOOKUP(C130*1000000,'Mead-Elevation-Area'!$B$5:$H$689,7),"")</f>
        <v>1078</v>
      </c>
      <c r="D132" s="87">
        <f ca="1">IF(D$26&lt;&gt;"",VLOOKUP(D130*1000000,'Mead-Elevation-Area'!$B$5:$H$689,7),"")</f>
        <v>1070.5</v>
      </c>
      <c r="E132" s="87">
        <f ca="1">IF(E$26&lt;&gt;"",VLOOKUP(E130*1000000,'Mead-Elevation-Area'!$B$5:$H$689,7),"")</f>
        <v>1065</v>
      </c>
      <c r="F132" s="87">
        <f ca="1">IF(F$26&lt;&gt;"",VLOOKUP(F130*1000000,'Mead-Elevation-Area'!$B$5:$H$689,7),"")</f>
        <v>1059.5</v>
      </c>
      <c r="G132" s="87">
        <f ca="1">IF(G$26&lt;&gt;"",VLOOKUP(G130*1000000,'Mead-Elevation-Area'!$B$5:$H$689,7),"")</f>
        <v>1054.5</v>
      </c>
      <c r="H132" s="87">
        <f ca="1">IF(H$26&lt;&gt;"",VLOOKUP(H130*1000000,'Mead-Elevation-Area'!$B$5:$H$689,7),"")</f>
        <v>1049.5</v>
      </c>
      <c r="I132" s="87">
        <f ca="1">IF(I$26&lt;&gt;"",VLOOKUP(I130*1000000,'Mead-Elevation-Area'!$B$5:$H$689,7),"")</f>
        <v>1062</v>
      </c>
      <c r="J132" s="87">
        <f ca="1">IF(J$26&lt;&gt;"",VLOOKUP(J130*1000000,'Mead-Elevation-Area'!$B$5:$H$689,7),"")</f>
        <v>1072.5</v>
      </c>
      <c r="K132" s="87">
        <f ca="1">IF(K$26&lt;&gt;"",VLOOKUP(K130*1000000,'Mead-Elevation-Area'!$B$5:$H$689,7),"")</f>
        <v>1082.5</v>
      </c>
      <c r="L132" s="87">
        <f ca="1">IF(L$26&lt;&gt;"",VLOOKUP(L130*1000000,'Mead-Elevation-Area'!$B$5:$H$689,7),"")</f>
        <v>1091.5</v>
      </c>
    </row>
    <row r="133" spans="1:14" x14ac:dyDescent="0.35">
      <c r="A133" s="1" t="s">
        <v>295</v>
      </c>
      <c r="B133" s="1"/>
    </row>
    <row r="134" spans="1:14" x14ac:dyDescent="0.35">
      <c r="A134" s="32" t="s">
        <v>296</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8.8870556706788122</v>
      </c>
      <c r="J134" s="14">
        <f ca="1">IF(J$26&lt;&gt;"",-J129+J37+J26-J61-VLOOKUP(J37*1000000,'Powell-Elevation-Area'!$B$5:$D$689,3)*$B$20/1000000,"")</f>
        <v>8.9049667920935072</v>
      </c>
      <c r="K134" s="14">
        <f ca="1">IF(K$26&lt;&gt;"",-K129+K37+K26-K61-VLOOKUP(K37*1000000,'Powell-Elevation-Area'!$B$5:$D$689,3)*$B$20/1000000,"")</f>
        <v>8.9132954422696784</v>
      </c>
      <c r="L134" s="14">
        <f ca="1">IF(L$26&lt;&gt;"",-L129+L37+L26-L61-VLOOKUP(L37*1000000,'Powell-Elevation-Area'!$B$5:$D$689,3)*$B$20/1000000,"")</f>
        <v>8.928949889250017</v>
      </c>
      <c r="N134" t="s">
        <v>195</v>
      </c>
    </row>
    <row r="135" spans="1:14" x14ac:dyDescent="0.35">
      <c r="A135" s="32" t="s">
        <v>310</v>
      </c>
      <c r="B135" s="1"/>
      <c r="C135" s="87" t="str">
        <f ca="1">IF(C$26&lt;&gt;"",VLOOKUP(C131,PowellReleaseTemperature!$A$5:$B$11,2),"")</f>
        <v>&lt; 18</v>
      </c>
      <c r="D135" s="87" t="str">
        <f ca="1">IF(D$26&lt;&gt;"",VLOOKUP(D131,PowellReleaseTemperature!$A$5:$B$11,2),"")</f>
        <v>&lt; 18</v>
      </c>
      <c r="E135" s="87" t="str">
        <f ca="1">IF(E$26&lt;&gt;"",VLOOKUP(E131,PowellReleaseTemperature!$A$5:$B$11,2),"")</f>
        <v>&lt; 18</v>
      </c>
      <c r="F135" s="87" t="str">
        <f ca="1">IF(F$26&lt;&gt;"",VLOOKUP(F131,PowellReleaseTemperature!$A$5:$B$11,2),"")</f>
        <v>&lt; 18</v>
      </c>
      <c r="G135" s="87" t="str">
        <f ca="1">IF(G$26&lt;&gt;"",VLOOKUP(G131,PowellReleaseTemperature!$A$5:$B$11,2),"")</f>
        <v>&lt; 18</v>
      </c>
      <c r="H135" s="87" t="str">
        <f ca="1">IF(H$26&lt;&gt;"",VLOOKUP(H131,PowellReleaseTemperature!$A$5:$B$11,2),"")</f>
        <v>&lt; 18</v>
      </c>
      <c r="I135" s="87" t="str">
        <f ca="1">IF(I$26&lt;&gt;"",VLOOKUP(I131,PowellReleaseTemperature!$A$5:$B$11,2),"")</f>
        <v>&lt; 18</v>
      </c>
      <c r="J135" s="87" t="str">
        <f ca="1">IF(J$26&lt;&gt;"",VLOOKUP(J131,PowellReleaseTemperature!$A$5:$B$11,2),"")</f>
        <v>&lt; 18</v>
      </c>
      <c r="K135" s="87" t="str">
        <f ca="1">IF(K$26&lt;&gt;"",VLOOKUP(K131,PowellReleaseTemperature!$A$5:$B$11,2),"")</f>
        <v>&lt; 18</v>
      </c>
      <c r="L135" s="87" t="str">
        <f ca="1">IF(L$26&lt;&gt;"",VLOOKUP(L131,PowellReleaseTemperature!$A$5:$B$11,2),"")</f>
        <v>&lt; 18</v>
      </c>
      <c r="N135" t="s">
        <v>301</v>
      </c>
    </row>
    <row r="136" spans="1:14" s="89" customFormat="1" ht="62.5" customHeight="1" x14ac:dyDescent="0.35">
      <c r="A136" s="121" t="s">
        <v>311</v>
      </c>
      <c r="B136" s="88"/>
      <c r="C136" s="120" t="str">
        <f ca="1">IF(C$26&lt;&gt;"",VLOOKUP(C$131,PowellReleaseTemperature!$A$5:$E$11,5),"")</f>
        <v>May benefit or face invasion</v>
      </c>
      <c r="D136" s="120" t="str">
        <f ca="1">IF(D$26&lt;&gt;"",VLOOKUP(D$131,PowellReleaseTemperature!$A$5:$E$11,5),"")</f>
        <v>May benefit or face invasion</v>
      </c>
      <c r="E136" s="120" t="str">
        <f ca="1">IF(E$26&lt;&gt;"",VLOOKUP(E$131,PowellReleaseTemperature!$A$5:$E$11,5),"")</f>
        <v>May benefit or face invasion</v>
      </c>
      <c r="F136" s="120" t="str">
        <f ca="1">IF(F$26&lt;&gt;"",VLOOKUP(F$131,PowellReleaseTemperature!$A$5:$E$11,5),"")</f>
        <v>May benefit or face invasion</v>
      </c>
      <c r="G136" s="120" t="str">
        <f ca="1">IF(G$26&lt;&gt;"",VLOOKUP(G$131,PowellReleaseTemperature!$A$5:$E$11,5),"")</f>
        <v>May benefit or face invasion</v>
      </c>
      <c r="H136" s="120" t="str">
        <f ca="1">IF(H$26&lt;&gt;"",VLOOKUP(H$131,PowellReleaseTemperature!$A$5:$E$11,5),"")</f>
        <v>May benefit or face invasion</v>
      </c>
      <c r="I136" s="120" t="str">
        <f ca="1">IF(I$26&lt;&gt;"",VLOOKUP(I$131,PowellReleaseTemperature!$A$5:$E$11,5),"")</f>
        <v>May benefit or face invasion</v>
      </c>
      <c r="J136" s="120" t="str">
        <f ca="1">IF(J$26&lt;&gt;"",VLOOKUP(J$131,PowellReleaseTemperature!$A$5:$E$11,5),"")</f>
        <v>May benefit or face invasion</v>
      </c>
      <c r="K136" s="120" t="str">
        <f ca="1">IF(K$26&lt;&gt;"",VLOOKUP(K$131,PowellReleaseTemperature!$A$5:$E$11,5),"")</f>
        <v>May benefit or face invasion</v>
      </c>
      <c r="L136" s="120" t="str">
        <f ca="1">IF(L$26&lt;&gt;"",VLOOKUP(L$131,PowellReleaseTemperature!$A$5:$E$11,5),"")</f>
        <v>May benefit or face invasion</v>
      </c>
    </row>
    <row r="137" spans="1:14" s="89" customFormat="1" ht="32" customHeight="1" x14ac:dyDescent="0.35">
      <c r="A137" s="121" t="s">
        <v>317</v>
      </c>
      <c r="B137" s="88"/>
      <c r="C137" s="120" t="str">
        <f ca="1">IF(C$26&lt;&gt;"",VLOOKUP(C$131,PowellReleaseTemperature!$A$5:$F$11,6),"")</f>
        <v>Help grow + incubate</v>
      </c>
      <c r="D137" s="120" t="str">
        <f ca="1">IF(D$26&lt;&gt;"",VLOOKUP(D$131,PowellReleaseTemperature!$A$5:$F$11,6),"")</f>
        <v>Help grow + incubate</v>
      </c>
      <c r="E137" s="120" t="str">
        <f ca="1">IF(E$26&lt;&gt;"",VLOOKUP(E$131,PowellReleaseTemperature!$A$5:$F$11,6),"")</f>
        <v>Help grow + incubate</v>
      </c>
      <c r="F137" s="120" t="str">
        <f ca="1">IF(F$26&lt;&gt;"",VLOOKUP(F$131,PowellReleaseTemperature!$A$5:$F$11,6),"")</f>
        <v>Help grow + incubate</v>
      </c>
      <c r="G137" s="120" t="str">
        <f ca="1">IF(G$26&lt;&gt;"",VLOOKUP(G$131,PowellReleaseTemperature!$A$5:$F$11,6),"")</f>
        <v>Help grow + incubate</v>
      </c>
      <c r="H137" s="120" t="str">
        <f ca="1">IF(H$26&lt;&gt;"",VLOOKUP(H$131,PowellReleaseTemperature!$A$5:$F$11,6),"")</f>
        <v>Help grow + incubate</v>
      </c>
      <c r="I137" s="120" t="str">
        <f ca="1">IF(I$26&lt;&gt;"",VLOOKUP(I$131,PowellReleaseTemperature!$A$5:$F$11,6),"")</f>
        <v>Help grow + incubate</v>
      </c>
      <c r="J137" s="120" t="str">
        <f ca="1">IF(J$26&lt;&gt;"",VLOOKUP(J$131,PowellReleaseTemperature!$A$5:$F$11,6),"")</f>
        <v>Help grow + incubate</v>
      </c>
      <c r="K137" s="120" t="str">
        <f ca="1">IF(K$26&lt;&gt;"",VLOOKUP(K$131,PowellReleaseTemperature!$A$5:$F$11,6),"")</f>
        <v>Help grow + incubate</v>
      </c>
      <c r="L137" s="120" t="str">
        <f ca="1">IF(L$26&lt;&gt;"",VLOOKUP(L$131,PowellReleaseTemperature!$A$5:$F$11,6),"")</f>
        <v>Help grow + incubate</v>
      </c>
    </row>
    <row r="138" spans="1:14" x14ac:dyDescent="0.35">
      <c r="C138" s="29"/>
    </row>
    <row r="139" spans="1:14" x14ac:dyDescent="0.35">
      <c r="A139" s="1" t="s">
        <v>125</v>
      </c>
      <c r="C139" s="140">
        <f>IF(C$26&lt;&gt;"",0.2,"")</f>
        <v>0.2</v>
      </c>
      <c r="D139" s="140">
        <f t="shared" ref="D139:L139" si="56">IF(D$26&lt;&gt;"",0.2,"")</f>
        <v>0.2</v>
      </c>
      <c r="E139" s="140">
        <f t="shared" si="56"/>
        <v>0.2</v>
      </c>
      <c r="F139" s="140">
        <f t="shared" si="56"/>
        <v>0.2</v>
      </c>
      <c r="G139" s="140">
        <f t="shared" si="56"/>
        <v>0.2</v>
      </c>
      <c r="H139" s="140">
        <f t="shared" si="56"/>
        <v>0.2</v>
      </c>
      <c r="I139" s="140">
        <f t="shared" si="56"/>
        <v>0.2</v>
      </c>
      <c r="J139" s="140">
        <f t="shared" si="56"/>
        <v>0.2</v>
      </c>
      <c r="K139" s="140">
        <f t="shared" si="56"/>
        <v>0.2</v>
      </c>
      <c r="L139" s="140">
        <f t="shared" si="56"/>
        <v>0.2</v>
      </c>
    </row>
    <row r="140" spans="1:14" x14ac:dyDescent="0.35">
      <c r="A140" t="s">
        <v>126</v>
      </c>
      <c r="C140" s="14">
        <f t="shared" ref="C140:L140" ca="1" si="57">IF(C$26&lt;&gt;"",C115+C139,"")</f>
        <v>7.4590000000000005</v>
      </c>
      <c r="D140" s="14">
        <f t="shared" ca="1" si="57"/>
        <v>7.4590000000000005</v>
      </c>
      <c r="E140" s="14">
        <f t="shared" ca="1" si="57"/>
        <v>7.0870000000000006</v>
      </c>
      <c r="F140" s="14">
        <f t="shared" ca="1" si="57"/>
        <v>7.0870000000000006</v>
      </c>
      <c r="G140" s="14">
        <f t="shared" ca="1" si="57"/>
        <v>7.0870000000000006</v>
      </c>
      <c r="H140" s="14">
        <f t="shared" ca="1" si="57"/>
        <v>7.0054534574710212</v>
      </c>
      <c r="I140" s="14">
        <f t="shared" ca="1" si="57"/>
        <v>6.5702888005243185</v>
      </c>
      <c r="J140" s="14">
        <f t="shared" ca="1" si="57"/>
        <v>6.5859604978537059</v>
      </c>
      <c r="K140" s="14">
        <f t="shared" ca="1" si="57"/>
        <v>6.609309707706621</v>
      </c>
      <c r="L140" s="14">
        <f t="shared" ca="1" si="57"/>
        <v>6.6093240851661301</v>
      </c>
    </row>
    <row r="142" spans="1:14" x14ac:dyDescent="0.35">
      <c r="D142" s="18"/>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C77:L77">
    <cfRule type="cellIs" dxfId="131" priority="46" operator="greaterThan">
      <formula>$C$76</formula>
    </cfRule>
  </conditionalFormatting>
  <conditionalFormatting sqref="C85:L85">
    <cfRule type="cellIs" dxfId="130" priority="36" operator="greaterThan">
      <formula>$C$84</formula>
    </cfRule>
  </conditionalFormatting>
  <conditionalFormatting sqref="C93">
    <cfRule type="cellIs" dxfId="129" priority="35" operator="greaterThan">
      <formula>$C$92</formula>
    </cfRule>
  </conditionalFormatting>
  <conditionalFormatting sqref="D93">
    <cfRule type="cellIs" dxfId="128" priority="34" operator="greaterThan">
      <formula>$D$92</formula>
    </cfRule>
  </conditionalFormatting>
  <conditionalFormatting sqref="E93">
    <cfRule type="cellIs" dxfId="127" priority="33" operator="greaterThan">
      <formula>$E$92</formula>
    </cfRule>
  </conditionalFormatting>
  <conditionalFormatting sqref="F93">
    <cfRule type="cellIs" dxfId="126" priority="32" operator="greaterThan">
      <formula>$F$92</formula>
    </cfRule>
  </conditionalFormatting>
  <conditionalFormatting sqref="G93">
    <cfRule type="cellIs" dxfId="125" priority="31" operator="greaterThan">
      <formula>$G$92</formula>
    </cfRule>
  </conditionalFormatting>
  <conditionalFormatting sqref="H93">
    <cfRule type="cellIs" dxfId="124" priority="30" operator="greaterThan">
      <formula>$H$92</formula>
    </cfRule>
  </conditionalFormatting>
  <conditionalFormatting sqref="I93">
    <cfRule type="cellIs" dxfId="123" priority="29" operator="greaterThan">
      <formula>$I$92</formula>
    </cfRule>
  </conditionalFormatting>
  <conditionalFormatting sqref="J93">
    <cfRule type="cellIs" dxfId="122" priority="28" operator="greaterThan">
      <formula>$J$92</formula>
    </cfRule>
  </conditionalFormatting>
  <conditionalFormatting sqref="K93">
    <cfRule type="cellIs" dxfId="121" priority="27" operator="greaterThan">
      <formula>$K$92</formula>
    </cfRule>
  </conditionalFormatting>
  <conditionalFormatting sqref="L93">
    <cfRule type="cellIs" dxfId="120" priority="26" operator="greaterThan">
      <formula>$L$92</formula>
    </cfRule>
  </conditionalFormatting>
  <conditionalFormatting sqref="C101">
    <cfRule type="cellIs" dxfId="119" priority="25" operator="greaterThan">
      <formula>$C$100</formula>
    </cfRule>
  </conditionalFormatting>
  <conditionalFormatting sqref="D101">
    <cfRule type="cellIs" dxfId="118" priority="24" operator="greaterThan">
      <formula>$D$100</formula>
    </cfRule>
  </conditionalFormatting>
  <conditionalFormatting sqref="E101">
    <cfRule type="cellIs" dxfId="117" priority="23" operator="greaterThan">
      <formula>$E$100</formula>
    </cfRule>
  </conditionalFormatting>
  <conditionalFormatting sqref="F101">
    <cfRule type="cellIs" dxfId="116" priority="22" operator="greaterThan">
      <formula>$F$100</formula>
    </cfRule>
  </conditionalFormatting>
  <conditionalFormatting sqref="G101">
    <cfRule type="cellIs" dxfId="115" priority="21" operator="greaterThan">
      <formula>$G$100</formula>
    </cfRule>
  </conditionalFormatting>
  <conditionalFormatting sqref="H101">
    <cfRule type="cellIs" dxfId="114" priority="20" operator="greaterThan">
      <formula>$H$100</formula>
    </cfRule>
  </conditionalFormatting>
  <conditionalFormatting sqref="I101">
    <cfRule type="cellIs" dxfId="113" priority="19" operator="greaterThan">
      <formula>$I$100</formula>
    </cfRule>
  </conditionalFormatting>
  <conditionalFormatting sqref="J101">
    <cfRule type="cellIs" dxfId="112" priority="18" operator="greaterThan">
      <formula>$J$100</formula>
    </cfRule>
  </conditionalFormatting>
  <conditionalFormatting sqref="K101">
    <cfRule type="cellIs" dxfId="111" priority="17" operator="greaterThan">
      <formula>$K$100</formula>
    </cfRule>
  </conditionalFormatting>
  <conditionalFormatting sqref="L101">
    <cfRule type="cellIs" dxfId="110" priority="16" operator="greaterThan">
      <formula>$L$100</formula>
    </cfRule>
  </conditionalFormatting>
  <conditionalFormatting sqref="C61:L61">
    <cfRule type="cellIs" dxfId="109" priority="3" operator="greaterThan">
      <formula>$C$60</formula>
    </cfRule>
  </conditionalFormatting>
  <conditionalFormatting sqref="C69:L69">
    <cfRule type="cellIs" dxfId="10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62DEC20E-96FD-4BA4-AE2D-68F5E6D1D0A6}">
            <xm:f>PowellReleaseTemperature!$B$10</xm:f>
            <x14:dxf>
              <font>
                <color auto="1"/>
              </font>
              <fill>
                <patternFill>
                  <bgColor theme="4"/>
                </patternFill>
              </fill>
            </x14:dxf>
          </x14:cfRule>
          <x14:cfRule type="cellIs" priority="12" operator="equal" id="{F3E684CE-25EF-4C8C-AF00-9B485C6317BF}">
            <xm:f>PowellReleaseTemperature!$B$9</xm:f>
            <x14:dxf>
              <font>
                <color theme="4" tint="-0.24994659260841701"/>
              </font>
              <fill>
                <patternFill>
                  <bgColor theme="8" tint="0.59996337778862885"/>
                </patternFill>
              </fill>
            </x14:dxf>
          </x14:cfRule>
          <x14:cfRule type="cellIs" priority="13" operator="equal" id="{D69E8474-738F-44FF-8800-47F6A5595AA8}">
            <xm:f>PowellReleaseTemperature!$B$8</xm:f>
            <x14:dxf>
              <font>
                <color rgb="FF9C0006"/>
              </font>
              <fill>
                <patternFill>
                  <bgColor rgb="FFFFC7CE"/>
                </patternFill>
              </fill>
            </x14:dxf>
          </x14:cfRule>
          <x14:cfRule type="cellIs" priority="14" operator="equal" id="{5D7D6D8A-236B-4B6D-87C2-866F9E8659C3}">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741D280-FC3B-40F0-9273-B5923AE55698}">
            <xm:f>PowellReleaseTemperature!$E$5</xm:f>
            <x14:dxf>
              <font>
                <color auto="1"/>
              </font>
              <fill>
                <patternFill>
                  <bgColor rgb="FFFF0000"/>
                </patternFill>
              </fill>
            </x14:dxf>
          </x14:cfRule>
          <x14:cfRule type="cellIs" priority="8" operator="equal" id="{BE97E504-5A7C-42DC-A213-7D8A0CD1AC03}">
            <xm:f>PowellReleaseTemperature!$E$8</xm:f>
            <x14:dxf>
              <font>
                <color rgb="FF9C0006"/>
              </font>
              <fill>
                <patternFill>
                  <bgColor rgb="FFFFC7CE"/>
                </patternFill>
              </fill>
            </x14:dxf>
          </x14:cfRule>
          <x14:cfRule type="cellIs" priority="9" operator="equal" id="{C9E4F4D8-9D7E-4339-A2ED-61C2C0223C2C}">
            <xm:f>PowellReleaseTemperature!$E$9</xm:f>
            <x14:dxf>
              <font>
                <color theme="4" tint="-0.24994659260841701"/>
              </font>
              <fill>
                <patternFill>
                  <bgColor theme="8" tint="0.59996337778862885"/>
                </patternFill>
              </fill>
            </x14:dxf>
          </x14:cfRule>
          <x14:cfRule type="cellIs" priority="10" operator="equal" id="{8D4AD9BD-F0CA-4E70-897D-631DA7F757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B1FAF250-4323-4C6A-9B50-6B3BDDF4FF67}">
            <xm:f>PowellReleaseTemperature!$F$10</xm:f>
            <x14:dxf>
              <font>
                <color auto="1"/>
              </font>
              <fill>
                <patternFill>
                  <bgColor theme="4"/>
                </patternFill>
              </fill>
            </x14:dxf>
          </x14:cfRule>
          <x14:cfRule type="cellIs" priority="5" operator="equal" id="{8EBA8303-F72F-41EC-961A-3ACD6518565D}">
            <xm:f>PowellReleaseTemperature!$F$9</xm:f>
            <x14:dxf>
              <font>
                <color theme="4" tint="-0.24994659260841701"/>
              </font>
              <fill>
                <patternFill>
                  <bgColor theme="8" tint="0.59996337778862885"/>
                </patternFill>
              </fill>
            </x14:dxf>
          </x14:cfRule>
          <x14:cfRule type="cellIs" priority="6" operator="equal" id="{491379CE-9AFF-4E47-8155-797D2278CC86}">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27F11AC5-CD86-41DC-861C-9EFB19F81447}">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48EB2-B7B4-455D-8E0E-3B2C8F7E8676}">
  <dimension ref="A1:N142"/>
  <sheetViews>
    <sheetView tabSelected="1" zoomScale="150" zoomScaleNormal="150" workbookViewId="0">
      <selection activeCell="B12" sqref="B12:F15"/>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8.90625" customWidth="1"/>
    <col min="8" max="8" width="7.36328125" customWidth="1"/>
    <col min="9" max="9" width="7.7265625" customWidth="1"/>
    <col min="10" max="10" width="10.7265625" customWidth="1"/>
    <col min="11" max="11" width="10.54296875" customWidth="1"/>
    <col min="12" max="12" width="10.90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73" t="s">
        <v>151</v>
      </c>
      <c r="B3" s="173"/>
      <c r="C3" s="173"/>
      <c r="D3" s="173"/>
      <c r="E3" s="173"/>
      <c r="F3" s="173"/>
      <c r="G3" s="173"/>
      <c r="H3" s="118"/>
      <c r="I3" s="118"/>
      <c r="J3" s="118"/>
      <c r="K3" s="118"/>
    </row>
    <row r="4" spans="1:13" x14ac:dyDescent="0.35">
      <c r="A4" s="53" t="s">
        <v>38</v>
      </c>
      <c r="B4" s="53" t="s">
        <v>42</v>
      </c>
      <c r="C4" s="174" t="s">
        <v>43</v>
      </c>
      <c r="D4" s="175"/>
      <c r="E4" s="175"/>
      <c r="F4" s="175"/>
      <c r="G4" s="176"/>
      <c r="M4" s="1" t="s">
        <v>321</v>
      </c>
    </row>
    <row r="5" spans="1:13" x14ac:dyDescent="0.35">
      <c r="A5" s="133" t="s">
        <v>39</v>
      </c>
      <c r="B5" s="133"/>
      <c r="C5" s="177" t="s">
        <v>217</v>
      </c>
      <c r="D5" s="178"/>
      <c r="E5" s="178"/>
      <c r="F5" s="178"/>
      <c r="G5" s="178"/>
      <c r="M5" t="s">
        <v>322</v>
      </c>
    </row>
    <row r="6" spans="1:13" x14ac:dyDescent="0.35">
      <c r="A6" s="133" t="s">
        <v>40</v>
      </c>
      <c r="B6" s="133"/>
      <c r="C6" s="177" t="s">
        <v>218</v>
      </c>
      <c r="D6" s="178"/>
      <c r="E6" s="178"/>
      <c r="F6" s="178"/>
      <c r="G6" s="178"/>
      <c r="M6" t="s">
        <v>327</v>
      </c>
    </row>
    <row r="7" spans="1:13" x14ac:dyDescent="0.35">
      <c r="A7" s="133" t="s">
        <v>41</v>
      </c>
      <c r="B7" s="133"/>
      <c r="C7" s="177" t="s">
        <v>152</v>
      </c>
      <c r="D7" s="178"/>
      <c r="E7" s="178"/>
      <c r="F7" s="178"/>
      <c r="G7" s="178"/>
      <c r="M7" t="s">
        <v>328</v>
      </c>
    </row>
    <row r="8" spans="1:13" x14ac:dyDescent="0.35">
      <c r="A8" s="117" t="s">
        <v>157</v>
      </c>
      <c r="B8" s="117"/>
      <c r="C8" s="179" t="s">
        <v>332</v>
      </c>
      <c r="D8" s="179"/>
      <c r="E8" s="179"/>
      <c r="F8" s="179"/>
      <c r="G8" s="179"/>
    </row>
    <row r="9" spans="1:13" x14ac:dyDescent="0.35">
      <c r="A9" s="133"/>
      <c r="B9" s="133"/>
      <c r="C9" s="167"/>
      <c r="D9" s="167"/>
      <c r="E9" s="167"/>
      <c r="F9" s="167"/>
      <c r="G9" s="167"/>
    </row>
    <row r="10" spans="1:13" x14ac:dyDescent="0.35">
      <c r="A10" s="133"/>
      <c r="B10" s="133"/>
      <c r="C10" s="167"/>
      <c r="D10" s="167"/>
      <c r="E10" s="167"/>
      <c r="F10" s="167"/>
      <c r="G10" s="167"/>
    </row>
    <row r="11" spans="1:13" x14ac:dyDescent="0.35">
      <c r="A11" s="16"/>
      <c r="B11" s="2"/>
      <c r="C11"/>
    </row>
    <row r="12" spans="1:13" x14ac:dyDescent="0.35">
      <c r="A12" s="19" t="s">
        <v>45</v>
      </c>
      <c r="B12" s="166" t="s">
        <v>198</v>
      </c>
      <c r="C12" s="166"/>
      <c r="D12" s="166"/>
      <c r="E12" s="166"/>
      <c r="F12" s="166"/>
    </row>
    <row r="13" spans="1:13" x14ac:dyDescent="0.35">
      <c r="B13" s="168" t="s">
        <v>351</v>
      </c>
      <c r="C13" s="169"/>
      <c r="D13" s="169"/>
      <c r="E13" s="169"/>
      <c r="F13" s="169"/>
    </row>
    <row r="14" spans="1:13" x14ac:dyDescent="0.35">
      <c r="B14" s="170" t="s">
        <v>330</v>
      </c>
      <c r="C14" s="171"/>
      <c r="D14" s="171"/>
      <c r="E14" s="171"/>
      <c r="F14" s="171"/>
    </row>
    <row r="15" spans="1:13" x14ac:dyDescent="0.35">
      <c r="B15" s="172" t="s">
        <v>46</v>
      </c>
      <c r="C15" s="172"/>
      <c r="D15" s="172"/>
      <c r="E15" s="172"/>
      <c r="F15" s="172"/>
    </row>
    <row r="17" spans="1:14" x14ac:dyDescent="0.35">
      <c r="A17" s="1" t="s">
        <v>53</v>
      </c>
      <c r="D17" s="166" t="s">
        <v>154</v>
      </c>
      <c r="E17" s="166"/>
      <c r="F17" s="166"/>
      <c r="G17" s="166"/>
    </row>
    <row r="19" spans="1:14" x14ac:dyDescent="0.35">
      <c r="A19" s="1" t="s">
        <v>32</v>
      </c>
      <c r="B19" s="1" t="s">
        <v>110</v>
      </c>
      <c r="C19" s="13" t="s">
        <v>111</v>
      </c>
    </row>
    <row r="20" spans="1:14" x14ac:dyDescent="0.35">
      <c r="A20" t="s">
        <v>109</v>
      </c>
      <c r="B20" s="140">
        <v>5.73</v>
      </c>
      <c r="C20" s="140">
        <v>6</v>
      </c>
      <c r="D20" s="23" t="s">
        <v>112</v>
      </c>
    </row>
    <row r="21" spans="1:14" x14ac:dyDescent="0.35">
      <c r="A21" t="s">
        <v>141</v>
      </c>
      <c r="B21" s="140">
        <v>11</v>
      </c>
      <c r="C21" s="140">
        <v>10.1</v>
      </c>
      <c r="D21" s="11" t="s">
        <v>34</v>
      </c>
    </row>
    <row r="22" spans="1:14" x14ac:dyDescent="0.35">
      <c r="A22" t="s">
        <v>189</v>
      </c>
      <c r="B22" s="62">
        <v>3525</v>
      </c>
      <c r="C22" s="62">
        <v>1020</v>
      </c>
      <c r="D22" s="11"/>
    </row>
    <row r="23" spans="1:14" x14ac:dyDescent="0.35">
      <c r="A23" t="s">
        <v>175</v>
      </c>
      <c r="B23" s="140">
        <f>VLOOKUP(B22,'Powell-Elevation-Area'!$A$5:$B$689,2)/1000000</f>
        <v>5.9265762500000001</v>
      </c>
      <c r="C23" s="140">
        <f>VLOOKUP(C22,'Mead-Elevation-Area'!$A$5:$B$689,2)/1000000</f>
        <v>5.664593</v>
      </c>
      <c r="D23" s="11"/>
      <c r="E23" s="45"/>
    </row>
    <row r="25" spans="1:14" s="1" customFormat="1" x14ac:dyDescent="0.35">
      <c r="A25" s="146" t="s">
        <v>35</v>
      </c>
      <c r="B25" s="147" t="s">
        <v>48</v>
      </c>
      <c r="C25" s="147" t="s">
        <v>5</v>
      </c>
      <c r="D25" s="147" t="s">
        <v>6</v>
      </c>
      <c r="E25" s="147" t="s">
        <v>7</v>
      </c>
      <c r="F25" s="147" t="s">
        <v>8</v>
      </c>
      <c r="G25" s="147" t="s">
        <v>9</v>
      </c>
      <c r="H25" s="147" t="s">
        <v>10</v>
      </c>
      <c r="I25" s="147" t="s">
        <v>11</v>
      </c>
      <c r="J25" s="147" t="s">
        <v>12</v>
      </c>
      <c r="K25" s="147" t="s">
        <v>36</v>
      </c>
      <c r="L25" s="147" t="s">
        <v>37</v>
      </c>
      <c r="M25" s="147" t="s">
        <v>107</v>
      </c>
      <c r="N25" s="147" t="s">
        <v>172</v>
      </c>
    </row>
    <row r="26" spans="1:14" x14ac:dyDescent="0.35">
      <c r="A26" s="1" t="s">
        <v>44</v>
      </c>
      <c r="B26" s="1"/>
      <c r="C26" s="141">
        <v>12.4</v>
      </c>
      <c r="D26" s="141">
        <v>12.4</v>
      </c>
      <c r="E26" s="141">
        <v>12.4</v>
      </c>
      <c r="F26" s="141">
        <v>12.4</v>
      </c>
      <c r="G26" s="141">
        <v>12.4</v>
      </c>
      <c r="H26" s="141">
        <v>12.4</v>
      </c>
      <c r="I26" s="141">
        <v>14.4</v>
      </c>
      <c r="J26" s="141">
        <v>14.4</v>
      </c>
      <c r="K26" s="141">
        <v>14.4</v>
      </c>
      <c r="L26" s="141">
        <v>14.4</v>
      </c>
    </row>
    <row r="27" spans="1:14" x14ac:dyDescent="0.35">
      <c r="A27" s="1" t="s">
        <v>121</v>
      </c>
      <c r="B27" s="1"/>
      <c r="C27" s="140">
        <f>IF(C$26&lt;&gt;"",0.8,"")</f>
        <v>0.8</v>
      </c>
      <c r="D27" s="140">
        <f t="shared" ref="D27:L27" si="0">IF(D$26&lt;&gt;"",0.8,"")</f>
        <v>0.8</v>
      </c>
      <c r="E27" s="140">
        <f t="shared" si="0"/>
        <v>0.8</v>
      </c>
      <c r="F27" s="140">
        <f t="shared" si="0"/>
        <v>0.8</v>
      </c>
      <c r="G27" s="140">
        <f t="shared" si="0"/>
        <v>0.8</v>
      </c>
      <c r="H27" s="140">
        <f t="shared" si="0"/>
        <v>0.8</v>
      </c>
      <c r="I27" s="140">
        <f t="shared" si="0"/>
        <v>0.8</v>
      </c>
      <c r="J27" s="140">
        <f t="shared" si="0"/>
        <v>0.8</v>
      </c>
      <c r="K27" s="140">
        <f t="shared" si="0"/>
        <v>0.8</v>
      </c>
      <c r="L27" s="140">
        <f t="shared" si="0"/>
        <v>0.8</v>
      </c>
    </row>
    <row r="28" spans="1:14" x14ac:dyDescent="0.35">
      <c r="A28" s="1" t="s">
        <v>305</v>
      </c>
      <c r="B28" s="1"/>
      <c r="C28" s="140">
        <f>IF(C$26&lt;&gt;"",0.6,"")</f>
        <v>0.6</v>
      </c>
      <c r="D28" s="140">
        <f t="shared" ref="D28:L28" si="1">IF(D$26&lt;&gt;"",0.6,"")</f>
        <v>0.6</v>
      </c>
      <c r="E28" s="140">
        <f t="shared" si="1"/>
        <v>0.6</v>
      </c>
      <c r="F28" s="140">
        <f t="shared" si="1"/>
        <v>0.6</v>
      </c>
      <c r="G28" s="140">
        <f t="shared" si="1"/>
        <v>0.6</v>
      </c>
      <c r="H28" s="140">
        <f t="shared" si="1"/>
        <v>0.6</v>
      </c>
      <c r="I28" s="140">
        <f t="shared" si="1"/>
        <v>0.6</v>
      </c>
      <c r="J28" s="140">
        <f t="shared" si="1"/>
        <v>0.6</v>
      </c>
      <c r="K28" s="140">
        <f t="shared" si="1"/>
        <v>0.6</v>
      </c>
      <c r="L28" s="140">
        <f t="shared" si="1"/>
        <v>0.6</v>
      </c>
    </row>
    <row r="29" spans="1:14" x14ac:dyDescent="0.35">
      <c r="A29" s="1" t="s">
        <v>124</v>
      </c>
      <c r="B29" s="114">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16.754210321597476</v>
      </c>
      <c r="K29" s="14">
        <f t="shared" ca="1" si="2"/>
        <v>17.969298338763544</v>
      </c>
      <c r="L29" s="14">
        <f t="shared" ca="1" si="2"/>
        <v>19.146197563430782</v>
      </c>
    </row>
    <row r="30" spans="1:14" x14ac:dyDescent="0.35">
      <c r="A30" t="str">
        <f t="shared" ref="A30:A35" si="3">IF(A5="","","    "&amp;A5&amp;" Balance")</f>
        <v xml:space="preserve">    Upper Basin Balance</v>
      </c>
      <c r="B30" s="115">
        <f>B21-B23</f>
        <v>5.0734237499999999</v>
      </c>
      <c r="C30" s="112">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4.9519284043853409</v>
      </c>
      <c r="K30" s="14">
        <f t="shared" ca="1" si="4"/>
        <v>6.1848350048055627</v>
      </c>
      <c r="L30" s="14">
        <f t="shared" ca="1" si="4"/>
        <v>7.3613409808086034</v>
      </c>
      <c r="N30" t="s">
        <v>177</v>
      </c>
    </row>
    <row r="31" spans="1:14" x14ac:dyDescent="0.35">
      <c r="A31" t="str">
        <f t="shared" si="3"/>
        <v xml:space="preserve">    Lower Basin Balance</v>
      </c>
      <c r="B31" s="115">
        <f>C21-C23-B32</f>
        <v>4.2614069999999993</v>
      </c>
      <c r="C31" s="112">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9.1288800524318425E-2</v>
      </c>
      <c r="K31" s="14">
        <f t="shared" ca="1" si="6"/>
        <v>7.9832364543001688E-2</v>
      </c>
      <c r="L31" s="14">
        <f t="shared" ca="1" si="6"/>
        <v>8.6083721142300007E-2</v>
      </c>
      <c r="N31" t="s">
        <v>174</v>
      </c>
    </row>
    <row r="32" spans="1:14" x14ac:dyDescent="0.35">
      <c r="A32" t="str">
        <f t="shared" si="3"/>
        <v xml:space="preserve">    Mexico Balance</v>
      </c>
      <c r="B32" s="116">
        <v>0.17399999999999999</v>
      </c>
      <c r="C32" s="113">
        <f t="shared" si="5"/>
        <v>0.17399999999999999</v>
      </c>
      <c r="D32" s="52">
        <f t="shared" ca="1" si="6"/>
        <v>0.16557297647772518</v>
      </c>
      <c r="E32" s="52">
        <f t="shared" ca="1" si="6"/>
        <v>0.15735694647678922</v>
      </c>
      <c r="F32" s="52">
        <f t="shared" ca="1" si="6"/>
        <v>0.14931228563432986</v>
      </c>
      <c r="G32" s="52">
        <f t="shared" ca="1" si="6"/>
        <v>0.14154478800417558</v>
      </c>
      <c r="H32" s="14">
        <f t="shared" ca="1" si="6"/>
        <v>0.13404274739387745</v>
      </c>
      <c r="I32" s="14">
        <f t="shared" ca="1" si="6"/>
        <v>0.1267980923965879</v>
      </c>
      <c r="J32" s="14">
        <f t="shared" ca="1" si="6"/>
        <v>0.11982386668781775</v>
      </c>
      <c r="K32" s="14">
        <f t="shared" ca="1" si="6"/>
        <v>0.11346171941498073</v>
      </c>
      <c r="L32" s="14">
        <f t="shared" ca="1" si="6"/>
        <v>0.10760361147988062</v>
      </c>
      <c r="N32" t="s">
        <v>173</v>
      </c>
    </row>
    <row r="33" spans="1:14" x14ac:dyDescent="0.35">
      <c r="A33" t="str">
        <f t="shared" si="3"/>
        <v xml:space="preserve">    Shared, Reserve Balance</v>
      </c>
      <c r="B33" s="115">
        <f>SUM(B23:C23)</f>
        <v>11.59116925</v>
      </c>
      <c r="C33" s="112">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c>
      <c r="B34" s="115"/>
      <c r="C34" s="112"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176</v>
      </c>
    </row>
    <row r="35" spans="1:14" x14ac:dyDescent="0.35">
      <c r="A35" t="str">
        <f t="shared" si="3"/>
        <v/>
      </c>
      <c r="B35" s="117"/>
      <c r="C35" s="112"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196</v>
      </c>
      <c r="C36"/>
    </row>
    <row r="37" spans="1:14" x14ac:dyDescent="0.35">
      <c r="A37" t="s">
        <v>113</v>
      </c>
      <c r="C37" s="14">
        <f>IF(C$26&lt;&gt;"",B21,"")</f>
        <v>11</v>
      </c>
      <c r="D37" s="14">
        <f ca="1">IF(D$26&lt;&gt;"",C129,"")</f>
        <v>9.8858844933333465</v>
      </c>
      <c r="E37" s="14">
        <f t="shared" ref="E37:L38" ca="1" si="7">IF(E$26&lt;&gt;"",D129,"")</f>
        <v>9.2421623911669659</v>
      </c>
      <c r="F37" s="14">
        <f t="shared" ca="1" si="7"/>
        <v>8.8220026852505988</v>
      </c>
      <c r="G37" s="14">
        <f t="shared" ca="1" si="7"/>
        <v>8.415399336583647</v>
      </c>
      <c r="H37" s="14">
        <f t="shared" ca="1" si="7"/>
        <v>8.0217065854166947</v>
      </c>
      <c r="I37" s="14">
        <f t="shared" ca="1" si="7"/>
        <v>7.6812612237148183</v>
      </c>
      <c r="J37" s="14">
        <f t="shared" ca="1" si="7"/>
        <v>8.3771051607987381</v>
      </c>
      <c r="K37" s="14">
        <f t="shared" ca="1" si="7"/>
        <v>8.9846491693817718</v>
      </c>
      <c r="L37" s="14">
        <f t="shared" ca="1" si="7"/>
        <v>9.573098781715391</v>
      </c>
    </row>
    <row r="38" spans="1:14" x14ac:dyDescent="0.35">
      <c r="A38" t="s">
        <v>114</v>
      </c>
      <c r="C38" s="14">
        <f>IF(C$26&lt;&gt;"",C21,"")</f>
        <v>10.1</v>
      </c>
      <c r="D38" s="14">
        <f ca="1">IF(D$26&lt;&gt;"",C130,"")</f>
        <v>9.8858844933333465</v>
      </c>
      <c r="E38" s="14">
        <f t="shared" ca="1" si="7"/>
        <v>9.2421623911669659</v>
      </c>
      <c r="F38" s="14">
        <f t="shared" ca="1" si="7"/>
        <v>8.8220026852505988</v>
      </c>
      <c r="G38" s="14">
        <f t="shared" ca="1" si="7"/>
        <v>8.415399336583647</v>
      </c>
      <c r="H38" s="14">
        <f t="shared" ca="1" si="7"/>
        <v>8.0217065854166947</v>
      </c>
      <c r="I38" s="14">
        <f t="shared" ca="1" si="7"/>
        <v>7.6812612237148183</v>
      </c>
      <c r="J38" s="14">
        <f t="shared" ca="1" si="7"/>
        <v>8.3771051607987381</v>
      </c>
      <c r="K38" s="14">
        <f t="shared" ca="1" si="7"/>
        <v>8.9846491693817718</v>
      </c>
      <c r="L38" s="14">
        <f t="shared" ca="1" si="7"/>
        <v>9.573098781715391</v>
      </c>
    </row>
    <row r="39" spans="1:14" x14ac:dyDescent="0.35">
      <c r="A39" s="1" t="s">
        <v>119</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0.88957864950059995</v>
      </c>
      <c r="K39" s="14">
        <f ca="1">IF(K$26&lt;&gt;"",VLOOKUP(K37*1000000,'Powell-Elevation-Area'!$B$5:$D$689,3)*$B$20/1000000 + VLOOKUP(K38*1000000,'Mead-Elevation-Area'!$B$5:$D$676,3)*$C$20/1000000,"")</f>
        <v>0.92776744199942707</v>
      </c>
      <c r="L39" s="14">
        <f ca="1">IF(L$26&lt;&gt;"",VLOOKUP(L37*1000000,'Powell-Elevation-Area'!$B$5:$D$689,3)*$B$20/1000000 + VLOOKUP(L38*1000000,'Mead-Elevation-Area'!$B$5:$D$676,3)*$C$20/1000000,"")</f>
        <v>0.96425223450057307</v>
      </c>
    </row>
    <row r="40" spans="1:14" x14ac:dyDescent="0.35">
      <c r="A40" t="str">
        <f t="shared" ref="A40:A45" si="8">IF(A5="","","    "&amp;A5&amp;" Share")</f>
        <v xml:space="preserve">    Upper Basin Share</v>
      </c>
      <c r="B40" s="1"/>
      <c r="C40" s="14">
        <f t="shared" ref="C40:L45" si="9">IF(OR(C$26="",$A40=""),"",C$39*C30/C$29)</f>
        <v>0.24571184643515467</v>
      </c>
      <c r="D40" s="14">
        <f t="shared" ca="1" si="9"/>
        <v>0.23838539737502931</v>
      </c>
      <c r="E40" s="14">
        <f t="shared" ca="1" si="9"/>
        <v>0.23220325154050594</v>
      </c>
      <c r="F40" s="14">
        <f t="shared" ca="1" si="9"/>
        <v>0.22398638052283681</v>
      </c>
      <c r="G40" s="14">
        <f t="shared" ca="1" si="9"/>
        <v>0.21611072731792424</v>
      </c>
      <c r="H40" s="14">
        <f t="shared" ca="1" si="9"/>
        <v>0.20847104177550577</v>
      </c>
      <c r="I40" s="14">
        <f t="shared" ca="1" si="9"/>
        <v>0.20046003398104176</v>
      </c>
      <c r="J40" s="14">
        <f t="shared" ca="1" si="9"/>
        <v>0.26292673291311247</v>
      </c>
      <c r="K40" s="14">
        <f t="shared" ca="1" si="9"/>
        <v>0.31932735733029216</v>
      </c>
      <c r="L40" s="14">
        <f t="shared" ca="1" si="9"/>
        <v>0.37073625016921746</v>
      </c>
    </row>
    <row r="41" spans="1:14" x14ac:dyDescent="0.35">
      <c r="A41" t="str">
        <f t="shared" si="8"/>
        <v xml:space="preserve">    Lower Basin Share</v>
      </c>
      <c r="B41" s="1"/>
      <c r="C41" s="14">
        <f t="shared" si="9"/>
        <v>0.20638492544244763</v>
      </c>
      <c r="D41" s="14">
        <f t="shared" ca="1" si="9"/>
        <v>0.15933469995544408</v>
      </c>
      <c r="E41" s="14">
        <f t="shared" ca="1" si="9"/>
        <v>0.11215533153819036</v>
      </c>
      <c r="F41" s="14">
        <f t="shared" ca="1" si="9"/>
        <v>8.3125704742465487E-2</v>
      </c>
      <c r="G41" s="14">
        <f t="shared" ca="1" si="9"/>
        <v>5.4093767718670333E-2</v>
      </c>
      <c r="H41" s="14">
        <f t="shared" ca="1" si="9"/>
        <v>2.4916279200049612E-2</v>
      </c>
      <c r="I41" s="14">
        <f t="shared" ca="1" si="9"/>
        <v>0</v>
      </c>
      <c r="J41" s="14">
        <f t="shared" ca="1" si="9"/>
        <v>4.8470543419327078E-3</v>
      </c>
      <c r="K41" s="14">
        <f t="shared" ca="1" si="9"/>
        <v>4.1218008207393846E-3</v>
      </c>
      <c r="L41" s="14">
        <f t="shared" ca="1" si="9"/>
        <v>4.3353997675302999E-3</v>
      </c>
    </row>
    <row r="42" spans="1:14" x14ac:dyDescent="0.35">
      <c r="A42" t="str">
        <f t="shared" si="8"/>
        <v xml:space="preserve">    Mexico Share</v>
      </c>
      <c r="B42" s="1"/>
      <c r="C42" s="14">
        <f t="shared" si="9"/>
        <v>8.4270235222746598E-3</v>
      </c>
      <c r="D42" s="14">
        <f t="shared" ca="1" si="9"/>
        <v>8.2160300009359519E-3</v>
      </c>
      <c r="E42" s="14">
        <f t="shared" ca="1" si="9"/>
        <v>8.0446608424592572E-3</v>
      </c>
      <c r="F42" s="14">
        <f t="shared" ca="1" si="9"/>
        <v>7.767497630154243E-3</v>
      </c>
      <c r="G42" s="14">
        <f t="shared" ca="1" si="9"/>
        <v>7.5020406102980219E-3</v>
      </c>
      <c r="H42" s="14">
        <f t="shared" ca="1" si="9"/>
        <v>7.244654997289551E-3</v>
      </c>
      <c r="I42" s="14">
        <f t="shared" ca="1" si="9"/>
        <v>6.9742257087702306E-3</v>
      </c>
      <c r="J42" s="14">
        <f t="shared" ca="1" si="9"/>
        <v>6.3621472728369963E-3</v>
      </c>
      <c r="K42" s="14">
        <f t="shared" ca="1" si="9"/>
        <v>5.8581079351001921E-3</v>
      </c>
      <c r="L42" s="14">
        <f t="shared" ca="1" si="9"/>
        <v>5.419197334930995E-3</v>
      </c>
    </row>
    <row r="43" spans="1:14" x14ac:dyDescent="0.35">
      <c r="A43" t="str">
        <f t="shared" si="8"/>
        <v xml:space="preserve">    Shared, Reserve Share</v>
      </c>
      <c r="B43" s="1"/>
      <c r="C43" s="14">
        <f t="shared" si="9"/>
        <v>0.56137388460009618</v>
      </c>
      <c r="D43" s="14">
        <f t="shared" ca="1" si="9"/>
        <v>0.57517474366801757</v>
      </c>
      <c r="E43" s="14">
        <f t="shared" ca="1" si="9"/>
        <v>0.59258283457824434</v>
      </c>
      <c r="F43" s="14">
        <f t="shared" ca="1" si="9"/>
        <v>0.60299378110511659</v>
      </c>
      <c r="G43" s="14">
        <f t="shared" ca="1" si="9"/>
        <v>0.61434563335368053</v>
      </c>
      <c r="H43" s="14">
        <f t="shared" ca="1" si="9"/>
        <v>0.62647195662655508</v>
      </c>
      <c r="I43" s="14">
        <f t="shared" ca="1" si="9"/>
        <v>0.63754453280901513</v>
      </c>
      <c r="J43" s="14">
        <f t="shared" ca="1" si="9"/>
        <v>0.61544271497271774</v>
      </c>
      <c r="K43" s="14">
        <f t="shared" ca="1" si="9"/>
        <v>0.59846017591329537</v>
      </c>
      <c r="L43" s="14">
        <f t="shared" ca="1" si="9"/>
        <v>0.58376138722889448</v>
      </c>
    </row>
    <row r="44" spans="1:14" x14ac:dyDescent="0.35">
      <c r="A44" t="str">
        <f t="shared" si="8"/>
        <v/>
      </c>
      <c r="B44" s="1"/>
      <c r="C44" s="14" t="str">
        <f t="shared" si="9"/>
        <v/>
      </c>
      <c r="D44" s="14" t="str">
        <f t="shared" si="9"/>
        <v/>
      </c>
      <c r="E44" s="14" t="str">
        <f t="shared" si="9"/>
        <v/>
      </c>
      <c r="F44" s="14" t="str">
        <f t="shared" si="9"/>
        <v/>
      </c>
      <c r="G44" s="14" t="str">
        <f t="shared" si="9"/>
        <v/>
      </c>
      <c r="H44" s="14" t="str">
        <f t="shared" si="9"/>
        <v/>
      </c>
      <c r="I44" s="14" t="str">
        <f t="shared" si="9"/>
        <v/>
      </c>
      <c r="J44" s="14" t="str">
        <f t="shared" si="9"/>
        <v/>
      </c>
      <c r="K44" s="14" t="str">
        <f t="shared" si="9"/>
        <v/>
      </c>
      <c r="L44" s="14" t="str">
        <f t="shared" si="9"/>
        <v/>
      </c>
    </row>
    <row r="45" spans="1:14" x14ac:dyDescent="0.35">
      <c r="A45" t="str">
        <f t="shared" si="8"/>
        <v/>
      </c>
      <c r="B45" s="1"/>
      <c r="C45" s="14" t="str">
        <f t="shared" si="9"/>
        <v/>
      </c>
      <c r="D45" s="14" t="str">
        <f t="shared" si="9"/>
        <v/>
      </c>
      <c r="E45" s="14" t="str">
        <f t="shared" si="9"/>
        <v/>
      </c>
      <c r="F45" s="14" t="str">
        <f t="shared" si="9"/>
        <v/>
      </c>
      <c r="G45" s="14" t="str">
        <f t="shared" si="9"/>
        <v/>
      </c>
      <c r="H45" s="14" t="str">
        <f t="shared" si="9"/>
        <v/>
      </c>
      <c r="I45" s="14" t="str">
        <f t="shared" si="9"/>
        <v/>
      </c>
      <c r="J45" s="14" t="str">
        <f t="shared" si="9"/>
        <v/>
      </c>
      <c r="K45" s="14" t="str">
        <f t="shared" si="9"/>
        <v/>
      </c>
      <c r="L45" s="14" t="str">
        <f t="shared" si="9"/>
        <v/>
      </c>
    </row>
    <row r="46" spans="1:14" x14ac:dyDescent="0.35">
      <c r="A46" s="1" t="s">
        <v>259</v>
      </c>
      <c r="B46" s="75"/>
      <c r="C46" s="49">
        <f>IF(C$26&lt;&gt;"",1.5-0.21/9/2-VLOOKUP(C38,LowerBasinCuts!$C$5:$P$13,13),"")</f>
        <v>1.4473333333333334</v>
      </c>
      <c r="D46" s="49">
        <f ca="1">IF(D$26&lt;&gt;"",1.5-0.21/9/2-VLOOKUP(D38,LowerBasinCuts!$C$5:$P$13,13),"")</f>
        <v>1.4473333333333334</v>
      </c>
      <c r="E46" s="49">
        <f ca="1">IF(E$26&lt;&gt;"",1.5-0.21/9/2-VLOOKUP(E38,LowerBasinCuts!$C$5:$P$13,13),"")</f>
        <v>1.4083333333333332</v>
      </c>
      <c r="F46" s="49">
        <f ca="1">IF(F$26&lt;&gt;"",1.5-0.21/9/2-VLOOKUP(F38,LowerBasinCuts!$C$5:$P$13,13),"")</f>
        <v>1.4083333333333332</v>
      </c>
      <c r="G46" s="49">
        <f ca="1">IF(G$26&lt;&gt;"",1.5-0.21/9/2-VLOOKUP(G38,LowerBasinCuts!$C$5:$P$13,13),"")</f>
        <v>1.4083333333333332</v>
      </c>
      <c r="H46" s="49">
        <f ca="1">IF(H$26&lt;&gt;"",1.5-0.21/9/2-VLOOKUP(H38,LowerBasinCuts!$C$5:$P$13,13),"")</f>
        <v>1.4083333333333332</v>
      </c>
      <c r="I46" s="49">
        <f ca="1">IF(I$26&lt;&gt;"",1.5-0.21/9/2-VLOOKUP(I38,LowerBasinCuts!$C$5:$P$13,13),"")</f>
        <v>1.3843333333333332</v>
      </c>
      <c r="J46" s="49">
        <f ca="1">IF(J$26&lt;&gt;"",1.5-0.21/9/2-VLOOKUP(J38,LowerBasinCuts!$C$5:$P$13,13),"")</f>
        <v>1.4083333333333332</v>
      </c>
      <c r="K46" s="49">
        <f ca="1">IF(K$26&lt;&gt;"",1.5-0.21/9/2-VLOOKUP(K38,LowerBasinCuts!$C$5:$P$13,13),"")</f>
        <v>1.4083333333333332</v>
      </c>
      <c r="L46" s="49">
        <f ca="1">IF(L$26&lt;&gt;"",1.5-0.21/9/2-VLOOKUP(L38,LowerBasinCuts!$C$5:$P$13,13),"")</f>
        <v>1.4083333333333332</v>
      </c>
    </row>
    <row r="47" spans="1:14" x14ac:dyDescent="0.35">
      <c r="A47" s="1" t="s">
        <v>306</v>
      </c>
      <c r="B47" s="1"/>
      <c r="C47" s="51">
        <f>IF(C26="","",SUM(C26:C27)-C28)</f>
        <v>12.600000000000001</v>
      </c>
      <c r="D47" s="51">
        <f t="shared" ref="D47:L47" si="10">IF(D26="","",SUM(D26:D27)-D28)</f>
        <v>12.600000000000001</v>
      </c>
      <c r="E47" s="14">
        <f t="shared" si="10"/>
        <v>12.600000000000001</v>
      </c>
      <c r="F47" s="51">
        <f t="shared" si="10"/>
        <v>12.600000000000001</v>
      </c>
      <c r="G47" s="51">
        <f t="shared" si="10"/>
        <v>12.600000000000001</v>
      </c>
      <c r="H47" s="51">
        <f t="shared" si="10"/>
        <v>12.600000000000001</v>
      </c>
      <c r="I47" s="51">
        <f t="shared" si="10"/>
        <v>14.600000000000001</v>
      </c>
      <c r="J47" s="51">
        <f t="shared" si="10"/>
        <v>14.600000000000001</v>
      </c>
      <c r="K47" s="51">
        <f t="shared" si="10"/>
        <v>14.600000000000001</v>
      </c>
      <c r="L47" s="51">
        <f t="shared" si="10"/>
        <v>14.600000000000001</v>
      </c>
      <c r="M47" s="45"/>
      <c r="N47" s="45"/>
    </row>
    <row r="48" spans="1:14" x14ac:dyDescent="0.35">
      <c r="A48" t="str">
        <f t="shared" ref="A48:A53" si="11">IF(A5="","","    To "&amp;A5)</f>
        <v xml:space="preserve">    To Upper Basin</v>
      </c>
      <c r="B48" s="138" t="s">
        <v>147</v>
      </c>
      <c r="C48" s="112">
        <f>IF(OR(C$26="",$A48=""),"",IF(C$26&gt;SUM(MIN($B49,C26-C50/2)+C50/2),C$26-SUM(MIN($B49,C26-C50/2)+C50/2),0))</f>
        <v>4.1763333333333339</v>
      </c>
      <c r="D48" s="112">
        <f t="shared" ref="D48:L48" ca="1" si="12">IF(OR(D$26="",$A48=""),"",IF(D$26&gt;SUM(MIN($B49,D26-D50/2)+D50/2),D$26-SUM(MIN($B49,D26-D50/2)+D50/2),0))</f>
        <v>4.1763333333333339</v>
      </c>
      <c r="E48" s="112">
        <f t="shared" ca="1" si="12"/>
        <v>4.1958333333333346</v>
      </c>
      <c r="F48" s="112">
        <f t="shared" ca="1" si="12"/>
        <v>4.1958333333333346</v>
      </c>
      <c r="G48" s="112">
        <f t="shared" ca="1" si="12"/>
        <v>4.1958333333333346</v>
      </c>
      <c r="H48" s="112">
        <f t="shared" ca="1" si="12"/>
        <v>4.1958333333333346</v>
      </c>
      <c r="I48" s="112">
        <f t="shared" ca="1" si="12"/>
        <v>6.2078333333333333</v>
      </c>
      <c r="J48" s="112">
        <f t="shared" ca="1" si="12"/>
        <v>6.1958333333333346</v>
      </c>
      <c r="K48" s="112">
        <f t="shared" ca="1" si="12"/>
        <v>6.1958333333333346</v>
      </c>
      <c r="L48" s="112">
        <f t="shared" ca="1" si="12"/>
        <v>6.1958333333333346</v>
      </c>
      <c r="M48" s="29"/>
      <c r="N48" s="29"/>
    </row>
    <row r="49" spans="1:14" x14ac:dyDescent="0.35">
      <c r="A49" t="str">
        <f t="shared" si="11"/>
        <v xml:space="preserve">    To Lower Basin</v>
      </c>
      <c r="B49" s="139">
        <f>7.5</f>
        <v>7.5</v>
      </c>
      <c r="C49" s="112">
        <f>IF(OR(C$26="",$A49=""),"",C27-C28-C51-C50/2+MIN($B49,C26-C50/2))</f>
        <v>6.4149594487332369</v>
      </c>
      <c r="D49" s="112">
        <f t="shared" ref="D49:L49" ca="1" si="13">IF(OR(D$26="",$A49=""),"",D27-D28-D51-D50/2+MIN($B49,D26-D50/2))</f>
        <v>6.4011585896653163</v>
      </c>
      <c r="E49" s="112">
        <f t="shared" ca="1" si="13"/>
        <v>6.4032504987550887</v>
      </c>
      <c r="F49" s="112">
        <f t="shared" ca="1" si="13"/>
        <v>6.3928395522282173</v>
      </c>
      <c r="G49" s="112">
        <f t="shared" ca="1" si="13"/>
        <v>6.3814876999796528</v>
      </c>
      <c r="H49" s="112">
        <f t="shared" ca="1" si="13"/>
        <v>6.3693613767067783</v>
      </c>
      <c r="I49" s="112">
        <f t="shared" ca="1" si="13"/>
        <v>6.3702888005243183</v>
      </c>
      <c r="J49" s="112">
        <f t="shared" ca="1" si="13"/>
        <v>6.3803906183606163</v>
      </c>
      <c r="K49" s="112">
        <f t="shared" ca="1" si="13"/>
        <v>6.3973731574200379</v>
      </c>
      <c r="L49" s="112">
        <f t="shared" ca="1" si="13"/>
        <v>6.4120719461044384</v>
      </c>
      <c r="M49" s="29"/>
      <c r="N49" s="29"/>
    </row>
    <row r="50" spans="1:14" x14ac:dyDescent="0.35">
      <c r="A50" t="str">
        <f t="shared" si="11"/>
        <v xml:space="preserve">    To Mexico</v>
      </c>
      <c r="B50" s="139" t="s">
        <v>185</v>
      </c>
      <c r="C50" s="112">
        <f>IF(OR(C$26="",$A50=""),"",IF(C$47&gt;SUM(C51:C52,C46),C46,C$47-SUM(C51:C52)))</f>
        <v>1.4473333333333334</v>
      </c>
      <c r="D50" s="112">
        <f t="shared" ref="D50:L50" ca="1" si="14">IF(OR(D$26="",$A50=""),"",IF(D$47&gt;SUM(D51:D52,D46),D46,D$47-SUM(D51:D52)))</f>
        <v>1.4473333333333334</v>
      </c>
      <c r="E50" s="112">
        <f t="shared" ca="1" si="14"/>
        <v>1.4083333333333332</v>
      </c>
      <c r="F50" s="112">
        <f t="shared" ca="1" si="14"/>
        <v>1.4083333333333332</v>
      </c>
      <c r="G50" s="112">
        <f t="shared" ca="1" si="14"/>
        <v>1.4083333333333332</v>
      </c>
      <c r="H50" s="112">
        <f t="shared" ca="1" si="14"/>
        <v>1.4083333333333332</v>
      </c>
      <c r="I50" s="112">
        <f t="shared" ca="1" si="14"/>
        <v>1.3843333333333332</v>
      </c>
      <c r="J50" s="112">
        <f t="shared" ca="1" si="14"/>
        <v>1.4083333333333332</v>
      </c>
      <c r="K50" s="112">
        <f t="shared" ca="1" si="14"/>
        <v>1.4083333333333332</v>
      </c>
      <c r="L50" s="112">
        <f t="shared" ca="1" si="14"/>
        <v>1.4083333333333332</v>
      </c>
      <c r="M50" s="29"/>
      <c r="N50" s="29"/>
    </row>
    <row r="51" spans="1:14" x14ac:dyDescent="0.35">
      <c r="A51" t="str">
        <f t="shared" si="11"/>
        <v xml:space="preserve">    To Shared, Reserve</v>
      </c>
      <c r="B51" s="139" t="s">
        <v>184</v>
      </c>
      <c r="C51" s="112">
        <f>IF(OR(C$26="",$A51=""),"",IF(C$47&gt;C43,C43,C47))</f>
        <v>0.56137388460009618</v>
      </c>
      <c r="D51" s="112">
        <f t="shared" ref="D51:L51" ca="1" si="15">IF(OR(D$26="",$A51=""),"",IF(D$47&gt;D43,D43,D47))</f>
        <v>0.57517474366801757</v>
      </c>
      <c r="E51" s="112">
        <f t="shared" ca="1" si="15"/>
        <v>0.59258283457824434</v>
      </c>
      <c r="F51" s="112">
        <f t="shared" ca="1" si="15"/>
        <v>0.60299378110511659</v>
      </c>
      <c r="G51" s="112">
        <f t="shared" ca="1" si="15"/>
        <v>0.61434563335368053</v>
      </c>
      <c r="H51" s="112">
        <f t="shared" ca="1" si="15"/>
        <v>0.62647195662655508</v>
      </c>
      <c r="I51" s="112">
        <f t="shared" ca="1" si="15"/>
        <v>0.63754453280901513</v>
      </c>
      <c r="J51" s="112">
        <f t="shared" ca="1" si="15"/>
        <v>0.61544271497271774</v>
      </c>
      <c r="K51" s="112">
        <f t="shared" ca="1" si="15"/>
        <v>0.59846017591329537</v>
      </c>
      <c r="L51" s="112">
        <f t="shared" ca="1" si="15"/>
        <v>0.58376138722889448</v>
      </c>
      <c r="M51" s="29"/>
      <c r="N51" s="29"/>
    </row>
    <row r="52" spans="1:14" x14ac:dyDescent="0.35">
      <c r="A52" t="str">
        <f t="shared" si="11"/>
        <v/>
      </c>
      <c r="B52" s="139"/>
      <c r="C52" s="112"/>
      <c r="D52" s="112"/>
      <c r="E52" s="112"/>
      <c r="F52" s="112"/>
      <c r="G52" s="112"/>
      <c r="H52" s="112"/>
      <c r="I52" s="112"/>
      <c r="J52" s="112"/>
      <c r="K52" s="112"/>
      <c r="L52" s="112"/>
      <c r="M52" s="29"/>
      <c r="N52" s="29"/>
    </row>
    <row r="53" spans="1:14" x14ac:dyDescent="0.35">
      <c r="A53" t="str">
        <f t="shared" si="11"/>
        <v/>
      </c>
      <c r="B53" s="139"/>
      <c r="C53" s="113"/>
      <c r="D53" s="113"/>
      <c r="E53" s="113"/>
      <c r="F53" s="113"/>
      <c r="G53" s="113"/>
      <c r="H53" s="113"/>
      <c r="I53" s="113"/>
      <c r="J53" s="113"/>
      <c r="K53" s="113"/>
      <c r="L53" s="113"/>
      <c r="M53" s="29"/>
      <c r="N53" s="29"/>
    </row>
    <row r="54" spans="1:14" x14ac:dyDescent="0.35">
      <c r="C54" s="45"/>
      <c r="D54" s="45"/>
      <c r="E54" s="45"/>
      <c r="F54" s="45"/>
      <c r="G54" s="45"/>
    </row>
    <row r="55" spans="1:14" x14ac:dyDescent="0.35">
      <c r="A55" s="142" t="s">
        <v>181</v>
      </c>
      <c r="B55" s="142"/>
      <c r="C55" s="142"/>
      <c r="D55" s="142"/>
      <c r="E55" s="142"/>
      <c r="F55" s="142"/>
      <c r="G55" s="142"/>
      <c r="H55" s="142"/>
      <c r="I55" s="142"/>
      <c r="J55" s="142"/>
      <c r="K55" s="142"/>
      <c r="L55" s="142"/>
      <c r="M55" s="142"/>
      <c r="N55" s="142"/>
    </row>
    <row r="56" spans="1:14" x14ac:dyDescent="0.35">
      <c r="A56" s="143" t="str">
        <f>IF(A$5="[Unused]","",A5)</f>
        <v>Upper Basin</v>
      </c>
      <c r="B56" s="143"/>
      <c r="C56" s="143"/>
      <c r="D56" s="143"/>
      <c r="E56" s="143"/>
      <c r="F56" s="143"/>
      <c r="G56" s="143"/>
      <c r="H56" s="143"/>
      <c r="I56" s="143"/>
      <c r="J56" s="143"/>
      <c r="K56" s="143"/>
      <c r="L56" s="143"/>
      <c r="M56" s="144" t="s">
        <v>107</v>
      </c>
      <c r="N56" s="143" t="s">
        <v>172</v>
      </c>
    </row>
    <row r="57" spans="1:14" x14ac:dyDescent="0.35">
      <c r="A57" s="32" t="str">
        <f>IF(A56="[Unused]","","   Volume of Sales(+) and Purchases(-) [maf]")</f>
        <v xml:space="preserve">   Volume of Sales(+) and Purchases(-) [maf]</v>
      </c>
      <c r="C57" s="134"/>
      <c r="D57" s="134"/>
      <c r="E57" s="134"/>
      <c r="F57" s="134"/>
      <c r="G57" s="134"/>
      <c r="H57" s="134"/>
      <c r="I57" s="134">
        <v>0.5</v>
      </c>
      <c r="J57" s="134">
        <v>0.5</v>
      </c>
      <c r="K57" s="134">
        <v>0.5</v>
      </c>
      <c r="L57" s="134">
        <v>0.5</v>
      </c>
      <c r="M57" s="67">
        <f>SUM(C57:L57)</f>
        <v>2</v>
      </c>
      <c r="N57" t="str">
        <f>IF(A57="","","Add if multiple transactions, e.g.: 0.5 + 0.25")</f>
        <v>Add if multiple transactions, e.g.: 0.5 + 0.25</v>
      </c>
    </row>
    <row r="58" spans="1:14" x14ac:dyDescent="0.35">
      <c r="A58" s="32" t="str">
        <f>IF(A57="","","   Cash Intake(+) and Payments(-) [$ Mill]")</f>
        <v xml:space="preserve">   Cash Intake(+) and Payments(-) [$ Mill]</v>
      </c>
      <c r="C58" s="135"/>
      <c r="D58" s="135"/>
      <c r="E58" s="135"/>
      <c r="F58" s="134"/>
      <c r="G58" s="135"/>
      <c r="H58" s="135"/>
      <c r="I58" s="135">
        <f>350*I57</f>
        <v>175</v>
      </c>
      <c r="J58" s="135">
        <f t="shared" ref="J58:L58" si="16">350*J57</f>
        <v>175</v>
      </c>
      <c r="K58" s="135">
        <f t="shared" si="16"/>
        <v>175</v>
      </c>
      <c r="L58" s="135">
        <f t="shared" si="16"/>
        <v>175</v>
      </c>
      <c r="M58" s="65">
        <f>SUM(C58:L58)</f>
        <v>700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17">IF(OR(C$26="",$A59=""),"",C$112)</f>
        <v>0</v>
      </c>
      <c r="D59" s="67">
        <f t="shared" ca="1" si="17"/>
        <v>0</v>
      </c>
      <c r="E59" s="67">
        <f t="shared" ca="1" si="17"/>
        <v>0</v>
      </c>
      <c r="F59" s="67">
        <f t="shared" ca="1" si="17"/>
        <v>0</v>
      </c>
      <c r="G59" s="67">
        <f t="shared" ca="1" si="17"/>
        <v>0</v>
      </c>
      <c r="H59" s="67">
        <f t="shared" ca="1" si="17"/>
        <v>0</v>
      </c>
      <c r="I59" s="67">
        <f t="shared" ca="1" si="17"/>
        <v>0</v>
      </c>
      <c r="J59" s="67">
        <f t="shared" ca="1" si="17"/>
        <v>0</v>
      </c>
      <c r="K59" s="67">
        <f t="shared" ca="1" si="17"/>
        <v>0</v>
      </c>
      <c r="L59" s="67">
        <f t="shared" ca="1" si="17"/>
        <v>0</v>
      </c>
      <c r="M59" t="str">
        <f t="shared" si="17"/>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18">IF(OR(D$26="",$A60=""),"",D30+D48-D40-D57)</f>
        <v>8.7419931728564819</v>
      </c>
      <c r="E60" s="14">
        <f t="shared" ca="1" si="18"/>
        <v>8.5056232546493096</v>
      </c>
      <c r="F60" s="14">
        <f t="shared" ca="1" si="18"/>
        <v>8.2774702074598085</v>
      </c>
      <c r="G60" s="14">
        <f t="shared" ca="1" si="18"/>
        <v>8.0571928134752202</v>
      </c>
      <c r="H60" s="14">
        <f t="shared" ca="1" si="18"/>
        <v>7.8445551050330495</v>
      </c>
      <c r="I60" s="14">
        <f t="shared" ca="1" si="18"/>
        <v>9.1519284043853411</v>
      </c>
      <c r="J60" s="14">
        <f t="shared" ca="1" si="18"/>
        <v>10.384835004805563</v>
      </c>
      <c r="K60" s="14">
        <f t="shared" ca="1" si="18"/>
        <v>11.561340980808604</v>
      </c>
      <c r="L60" s="14">
        <f t="shared" ca="1" si="18"/>
        <v>12.686438063972721</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36">
        <f>IF(C60&gt;4.2,4.2,MAX(C60,0))</f>
        <v>4.2</v>
      </c>
      <c r="D61" s="136">
        <f t="shared" ref="D61:L61" ca="1" si="19">IF(D60&gt;4.2,4.2,MAX(D60,0))</f>
        <v>4.2</v>
      </c>
      <c r="E61" s="136">
        <f t="shared" ca="1" si="19"/>
        <v>4.2</v>
      </c>
      <c r="F61" s="136">
        <f t="shared" ca="1" si="19"/>
        <v>4.2</v>
      </c>
      <c r="G61" s="136">
        <f t="shared" ca="1" si="19"/>
        <v>4.2</v>
      </c>
      <c r="H61" s="136">
        <f t="shared" ca="1" si="19"/>
        <v>4.2</v>
      </c>
      <c r="I61" s="136">
        <f t="shared" ca="1" si="19"/>
        <v>4.2</v>
      </c>
      <c r="J61" s="136">
        <f t="shared" ca="1" si="19"/>
        <v>4.2</v>
      </c>
      <c r="K61" s="136">
        <f t="shared" ca="1" si="19"/>
        <v>4.2</v>
      </c>
      <c r="L61" s="136">
        <f t="shared" ca="1" si="19"/>
        <v>4.2</v>
      </c>
      <c r="N61" t="str">
        <f>IF(A61="","","Must be less than Available water")</f>
        <v>Must be less than Available water</v>
      </c>
    </row>
    <row r="62" spans="1:14" x14ac:dyDescent="0.35">
      <c r="A62" s="32" t="str">
        <f>IF(A61="","","   End of Year Balance [maf]")</f>
        <v xml:space="preserve">   End of Year Balance [maf]</v>
      </c>
      <c r="C62" s="66">
        <f>IF(OR(C$26="",$A62=""),"",C60-C61)</f>
        <v>4.8040452368981788</v>
      </c>
      <c r="D62" s="66">
        <f t="shared" ref="D62:L62" ca="1" si="20">IF(OR(D$26="",$A62=""),"",D60-D61)</f>
        <v>4.5419931728564817</v>
      </c>
      <c r="E62" s="66">
        <f t="shared" ca="1" si="20"/>
        <v>4.3056232546493094</v>
      </c>
      <c r="F62" s="66">
        <f t="shared" ca="1" si="20"/>
        <v>4.0774702074598084</v>
      </c>
      <c r="G62" s="66">
        <f t="shared" ca="1" si="20"/>
        <v>3.85719281347522</v>
      </c>
      <c r="H62" s="66">
        <f t="shared" ca="1" si="20"/>
        <v>3.6445551050330494</v>
      </c>
      <c r="I62" s="66">
        <f t="shared" ca="1" si="20"/>
        <v>4.9519284043853409</v>
      </c>
      <c r="J62" s="66">
        <f t="shared" ca="1" si="20"/>
        <v>6.1848350048055627</v>
      </c>
      <c r="K62" s="66">
        <f t="shared" ca="1" si="20"/>
        <v>7.3613409808086034</v>
      </c>
      <c r="L62" s="66">
        <f t="shared" ca="1" si="20"/>
        <v>8.4864380639727202</v>
      </c>
      <c r="N62" t="str">
        <f>IF(A62="","","Available water - Account Withdraw")</f>
        <v>Available water - Account Withdraw</v>
      </c>
    </row>
    <row r="63" spans="1:14" x14ac:dyDescent="0.35">
      <c r="C63"/>
    </row>
    <row r="64" spans="1:14" x14ac:dyDescent="0.35">
      <c r="A64" s="143" t="str">
        <f>IF(A$6="","[Unused]",A6)</f>
        <v>Lower Basin</v>
      </c>
      <c r="B64" s="143"/>
      <c r="C64" s="143"/>
      <c r="D64" s="143"/>
      <c r="E64" s="143"/>
      <c r="F64" s="143"/>
      <c r="G64" s="143"/>
      <c r="H64" s="143"/>
      <c r="I64" s="143"/>
      <c r="J64" s="143"/>
      <c r="K64" s="143"/>
      <c r="L64" s="143"/>
      <c r="M64" s="144" t="s">
        <v>107</v>
      </c>
      <c r="N64" s="143" t="s">
        <v>172</v>
      </c>
    </row>
    <row r="65" spans="1:14" x14ac:dyDescent="0.35">
      <c r="A65" s="32" t="str">
        <f>IF(A64="[Unused]","","   Volume of Sales(+) and Purchases(-) [maf]")</f>
        <v xml:space="preserve">   Volume of Sales(+) and Purchases(-) [maf]</v>
      </c>
      <c r="C65" s="134"/>
      <c r="D65" s="134"/>
      <c r="E65" s="134"/>
      <c r="F65" s="134"/>
      <c r="G65" s="134"/>
      <c r="H65" s="134"/>
      <c r="I65" s="134">
        <f>-I57</f>
        <v>-0.5</v>
      </c>
      <c r="J65" s="134">
        <f t="shared" ref="J65:L65" si="21">-J57</f>
        <v>-0.5</v>
      </c>
      <c r="K65" s="134">
        <f t="shared" si="21"/>
        <v>-0.5</v>
      </c>
      <c r="L65" s="134">
        <f t="shared" si="21"/>
        <v>-0.5</v>
      </c>
      <c r="M65" s="67">
        <f>SUM(C65:L65)</f>
        <v>-2</v>
      </c>
      <c r="N65" t="str">
        <f>IF(A65="","",N57)</f>
        <v>Add if multiple transactions, e.g.: 0.5 + 0.25</v>
      </c>
    </row>
    <row r="66" spans="1:14" x14ac:dyDescent="0.35">
      <c r="A66" s="32" t="str">
        <f>IF(A65="","","   Cash Intake(+) and Payments(-) [$ Mill]")</f>
        <v xml:space="preserve">   Cash Intake(+) and Payments(-) [$ Mill]</v>
      </c>
      <c r="C66" s="135"/>
      <c r="D66" s="135"/>
      <c r="E66" s="135"/>
      <c r="F66" s="135"/>
      <c r="G66" s="135"/>
      <c r="H66" s="135"/>
      <c r="I66" s="134">
        <f>-I58</f>
        <v>-175</v>
      </c>
      <c r="J66" s="134">
        <f t="shared" ref="J66:L66" si="22">-J58</f>
        <v>-175</v>
      </c>
      <c r="K66" s="134">
        <f t="shared" si="22"/>
        <v>-175</v>
      </c>
      <c r="L66" s="134">
        <f t="shared" si="22"/>
        <v>-175</v>
      </c>
      <c r="M66" s="65">
        <f>SUM(C66:L66)</f>
        <v>-700</v>
      </c>
      <c r="N66" t="str">
        <f t="shared" ref="N66:N70" si="23">IF(A66="","",N58)</f>
        <v>Add if multiple transactions, e.g.: $350*0.5 + $450*0.25</v>
      </c>
    </row>
    <row r="67" spans="1:14" x14ac:dyDescent="0.35">
      <c r="A67" s="32" t="str">
        <f>IF(A66="","","   Volume all players (should be zero)")</f>
        <v xml:space="preserve">   Volume all players (should be zero)</v>
      </c>
      <c r="C67" s="67">
        <f t="shared" ref="C67:M67" ca="1" si="24">IF(OR(C$26="",$A67=""),"",C$112)</f>
        <v>0</v>
      </c>
      <c r="D67" s="67">
        <f t="shared" ca="1" si="24"/>
        <v>0</v>
      </c>
      <c r="E67" s="67">
        <f t="shared" ca="1" si="24"/>
        <v>0</v>
      </c>
      <c r="F67" s="67">
        <f t="shared" ca="1" si="24"/>
        <v>0</v>
      </c>
      <c r="G67" s="67">
        <f t="shared" ca="1" si="24"/>
        <v>0</v>
      </c>
      <c r="H67" s="67">
        <f t="shared" ca="1" si="24"/>
        <v>0</v>
      </c>
      <c r="I67" s="67">
        <f t="shared" ca="1" si="24"/>
        <v>0</v>
      </c>
      <c r="J67" s="67">
        <f t="shared" ca="1" si="24"/>
        <v>0</v>
      </c>
      <c r="K67" s="67">
        <f t="shared" ca="1" si="24"/>
        <v>0</v>
      </c>
      <c r="L67" s="67">
        <f t="shared" ca="1" si="24"/>
        <v>0</v>
      </c>
      <c r="M67" t="str">
        <f t="shared" si="24"/>
        <v/>
      </c>
      <c r="N67" t="str">
        <f t="shared" si="23"/>
        <v>If non-zero, players need to change amount(s)</v>
      </c>
    </row>
    <row r="68" spans="1:14" x14ac:dyDescent="0.35">
      <c r="A68" s="1" t="str">
        <f>IF(A66="","","   Available Water [maf]")</f>
        <v xml:space="preserve">   Available Water [maf]</v>
      </c>
      <c r="C68" s="14">
        <f t="shared" ref="C68:L68" si="25">IF(OR(C$26="",$A68=""),"",C31+C49-C41-C65)</f>
        <v>10.469981523290789</v>
      </c>
      <c r="D68" s="14">
        <f t="shared" ca="1" si="25"/>
        <v>9.4528054130006609</v>
      </c>
      <c r="E68" s="14">
        <f t="shared" ca="1" si="25"/>
        <v>8.484900580217559</v>
      </c>
      <c r="F68" s="14">
        <f t="shared" ca="1" si="25"/>
        <v>7.9076144277033107</v>
      </c>
      <c r="G68" s="14">
        <f t="shared" ca="1" si="25"/>
        <v>7.3480083599642931</v>
      </c>
      <c r="H68" s="14">
        <f t="shared" ca="1" si="25"/>
        <v>6.805453457471021</v>
      </c>
      <c r="I68" s="14">
        <f t="shared" ca="1" si="25"/>
        <v>6.8702888005243183</v>
      </c>
      <c r="J68" s="14">
        <f t="shared" ca="1" si="25"/>
        <v>6.9668323645430021</v>
      </c>
      <c r="K68" s="14">
        <f t="shared" ca="1" si="25"/>
        <v>6.9730837211423005</v>
      </c>
      <c r="L68" s="14">
        <f t="shared" ca="1" si="25"/>
        <v>6.993820267479208</v>
      </c>
      <c r="N68" t="str">
        <f t="shared" si="23"/>
        <v>Available water = Account Balance + Available Inflow - Evaporation + Sales - Purchases</v>
      </c>
    </row>
    <row r="69" spans="1:14" x14ac:dyDescent="0.35">
      <c r="A69" s="1" t="str">
        <f>IF(A68="","","   Account Withdraw [maf]")</f>
        <v xml:space="preserve">   Account Withdraw [maf]</v>
      </c>
      <c r="C69" s="136">
        <f>IF(C27&lt;&gt;"",MIN(7.5-VLOOKUP(C38,LowerBasinCuts!$C$5:$P$13,14),C68),"")</f>
        <v>7.2590000000000003</v>
      </c>
      <c r="D69" s="136">
        <f ca="1">IF(D27&lt;&gt;"",MIN(7.5-VLOOKUP(D38,LowerBasinCuts!$C$5:$P$13,14),D68),"")</f>
        <v>7.2590000000000003</v>
      </c>
      <c r="E69" s="136">
        <f ca="1">IF(E27&lt;&gt;"",MIN(7.5-VLOOKUP(E38,LowerBasinCuts!$C$5:$P$13,14),E68),"")</f>
        <v>6.8870000000000005</v>
      </c>
      <c r="F69" s="136">
        <f ca="1">IF(F27&lt;&gt;"",MIN(7.5-VLOOKUP(F38,LowerBasinCuts!$C$5:$P$13,14),F68),"")</f>
        <v>6.8870000000000005</v>
      </c>
      <c r="G69" s="136">
        <f ca="1">IF(G27&lt;&gt;"",MIN(7.5-VLOOKUP(G38,LowerBasinCuts!$C$5:$P$13,14),G68),"")</f>
        <v>6.8870000000000005</v>
      </c>
      <c r="H69" s="136">
        <f ca="1">IF(H27&lt;&gt;"",MIN(7.5-VLOOKUP(H38,LowerBasinCuts!$C$5:$P$13,14),H68),"")</f>
        <v>6.805453457471021</v>
      </c>
      <c r="I69" s="136">
        <f ca="1">IF(I27&lt;&gt;"",MIN(7.5-VLOOKUP(I38,LowerBasinCuts!$C$5:$P$13,14),I68),"")</f>
        <v>6.7789999999999999</v>
      </c>
      <c r="J69" s="136">
        <f ca="1">IF(J27&lt;&gt;"",MIN(7.5-VLOOKUP(J38,LowerBasinCuts!$C$5:$P$13,14),J68),"")</f>
        <v>6.8870000000000005</v>
      </c>
      <c r="K69" s="136">
        <f ca="1">IF(K27&lt;&gt;"",MIN(7.5-VLOOKUP(K38,LowerBasinCuts!$C$5:$P$13,14),K68),"")</f>
        <v>6.8870000000000005</v>
      </c>
      <c r="L69" s="136">
        <f ca="1">IF(L27&lt;&gt;"",MIN(7.5-VLOOKUP(L38,LowerBasinCuts!$C$5:$P$13,14),L68),"")</f>
        <v>6.8870000000000005</v>
      </c>
      <c r="N69" t="str">
        <f t="shared" si="23"/>
        <v>Must be less than Available water</v>
      </c>
    </row>
    <row r="70" spans="1:14" x14ac:dyDescent="0.35">
      <c r="A70" s="32" t="str">
        <f>IF(A69="","","   End of Year Balance [maf]")</f>
        <v xml:space="preserve">   End of Year Balance [maf]</v>
      </c>
      <c r="C70" s="66">
        <f>IF(OR(C$26="",$A70=""),"",C68-C69)</f>
        <v>3.2109815232907888</v>
      </c>
      <c r="D70" s="66">
        <f t="shared" ref="D70:L70" ca="1" si="26">IF(OR(D$26="",$A70=""),"",D68-D69)</f>
        <v>2.1938054130006606</v>
      </c>
      <c r="E70" s="66">
        <f t="shared" ca="1" si="26"/>
        <v>1.5979005802175585</v>
      </c>
      <c r="F70" s="66">
        <f t="shared" ca="1" si="26"/>
        <v>1.0206144277033102</v>
      </c>
      <c r="G70" s="66">
        <f t="shared" ca="1" si="26"/>
        <v>0.46100835996429268</v>
      </c>
      <c r="H70" s="66">
        <f t="shared" ca="1" si="26"/>
        <v>0</v>
      </c>
      <c r="I70" s="66">
        <f t="shared" ca="1" si="26"/>
        <v>9.1288800524318425E-2</v>
      </c>
      <c r="J70" s="66">
        <f t="shared" ca="1" si="26"/>
        <v>7.9832364543001688E-2</v>
      </c>
      <c r="K70" s="66">
        <f t="shared" ca="1" si="26"/>
        <v>8.6083721142300007E-2</v>
      </c>
      <c r="L70" s="66">
        <f t="shared" ca="1" si="26"/>
        <v>0.10682026747920759</v>
      </c>
      <c r="N70" t="str">
        <f t="shared" si="23"/>
        <v>Available water - Account Withdraw</v>
      </c>
    </row>
    <row r="71" spans="1:14" x14ac:dyDescent="0.35">
      <c r="C71"/>
    </row>
    <row r="72" spans="1:14" x14ac:dyDescent="0.35">
      <c r="A72" s="143" t="str">
        <f>IF(A$7="","[Unused]",A7)</f>
        <v>Mexico</v>
      </c>
      <c r="B72" s="143"/>
      <c r="C72" s="143"/>
      <c r="D72" s="143"/>
      <c r="E72" s="143"/>
      <c r="F72" s="143"/>
      <c r="G72" s="143"/>
      <c r="H72" s="143"/>
      <c r="I72" s="143"/>
      <c r="J72" s="143"/>
      <c r="K72" s="143"/>
      <c r="L72" s="143"/>
      <c r="M72" s="144" t="s">
        <v>107</v>
      </c>
      <c r="N72" s="143" t="s">
        <v>172</v>
      </c>
    </row>
    <row r="73" spans="1:14" x14ac:dyDescent="0.35">
      <c r="A73" s="32" t="str">
        <f>IF(A72="[Unused]","","   Volume of Sales(+) and Purchases(-) [maf]")</f>
        <v xml:space="preserve">   Volume of Sales(+) and Purchases(-) [maf]</v>
      </c>
      <c r="C73" s="134"/>
      <c r="D73" s="134"/>
      <c r="E73" s="134"/>
      <c r="F73" s="134"/>
      <c r="G73" s="134"/>
      <c r="H73" s="134"/>
      <c r="I73" s="134"/>
      <c r="J73" s="134"/>
      <c r="K73" s="134"/>
      <c r="L73" s="134"/>
      <c r="M73" s="67">
        <f>SUM(C73:L73)</f>
        <v>0</v>
      </c>
      <c r="N73" t="str">
        <f>IF(A73="","",N65)</f>
        <v>Add if multiple transactions, e.g.: 0.5 + 0.25</v>
      </c>
    </row>
    <row r="74" spans="1:14" x14ac:dyDescent="0.35">
      <c r="A74" s="32" t="str">
        <f>IF(A73="","","   Cash Intake(+) and Payments(-) [$ Mill]")</f>
        <v xml:space="preserve">   Cash Intake(+) and Payments(-) [$ Mill]</v>
      </c>
      <c r="C74" s="135"/>
      <c r="D74" s="135"/>
      <c r="E74" s="135"/>
      <c r="F74" s="135"/>
      <c r="G74" s="135"/>
      <c r="H74" s="135"/>
      <c r="I74" s="135"/>
      <c r="J74" s="135"/>
      <c r="K74" s="135"/>
      <c r="L74" s="135"/>
      <c r="M74" s="65">
        <f>SUM(C74:L74)</f>
        <v>0</v>
      </c>
      <c r="N74" t="str">
        <f t="shared" ref="N74:N78" si="27">IF(A74="","",N66)</f>
        <v>Add if multiple transactions, e.g.: $350*0.5 + $450*0.25</v>
      </c>
    </row>
    <row r="75" spans="1:14" x14ac:dyDescent="0.35">
      <c r="A75" s="32" t="str">
        <f>IF(A74="","","   Volume all players (should be zero)")</f>
        <v xml:space="preserve">   Volume all players (should be zero)</v>
      </c>
      <c r="C75" s="67">
        <f t="shared" ref="C75:M75" ca="1" si="28">IF(OR(C$26="",$A75=""),"",C$112)</f>
        <v>0</v>
      </c>
      <c r="D75" s="67">
        <f t="shared" ca="1" si="28"/>
        <v>0</v>
      </c>
      <c r="E75" s="67">
        <f t="shared" ca="1" si="28"/>
        <v>0</v>
      </c>
      <c r="F75" s="67">
        <f t="shared" ca="1" si="28"/>
        <v>0</v>
      </c>
      <c r="G75" s="67">
        <f t="shared" ca="1" si="28"/>
        <v>0</v>
      </c>
      <c r="H75" s="67">
        <f t="shared" ca="1" si="28"/>
        <v>0</v>
      </c>
      <c r="I75" s="67">
        <f t="shared" ca="1" si="28"/>
        <v>0</v>
      </c>
      <c r="J75" s="67">
        <f t="shared" ca="1" si="28"/>
        <v>0</v>
      </c>
      <c r="K75" s="67">
        <f t="shared" ca="1" si="28"/>
        <v>0</v>
      </c>
      <c r="L75" s="67">
        <f t="shared" ca="1" si="28"/>
        <v>0</v>
      </c>
      <c r="M75" t="str">
        <f t="shared" si="28"/>
        <v/>
      </c>
      <c r="N75" t="str">
        <f t="shared" si="27"/>
        <v>If non-zero, players need to change amount(s)</v>
      </c>
    </row>
    <row r="76" spans="1:14" x14ac:dyDescent="0.35">
      <c r="A76" s="1" t="str">
        <f>IF(A74="","","   Available Water [maf]")</f>
        <v xml:space="preserve">   Available Water [maf]</v>
      </c>
      <c r="C76" s="14">
        <f t="shared" ref="C76:L76" si="29">IF(OR(C$26="",$A76=""),"",C32+C50-C42-C73)</f>
        <v>1.6129063098110585</v>
      </c>
      <c r="D76" s="14">
        <f t="shared" ca="1" si="29"/>
        <v>1.6046902798101226</v>
      </c>
      <c r="E76" s="14">
        <f t="shared" ca="1" si="29"/>
        <v>1.5576456189676631</v>
      </c>
      <c r="F76" s="14">
        <f ca="1">IF(OR(F$26="",$A76=""),"",F32+F50-F42-F73)</f>
        <v>1.5498781213375088</v>
      </c>
      <c r="G76" s="14">
        <f t="shared" ca="1" si="29"/>
        <v>1.5423760807272107</v>
      </c>
      <c r="H76" s="14">
        <f t="shared" ca="1" si="29"/>
        <v>1.5351314257299211</v>
      </c>
      <c r="I76" s="14">
        <f t="shared" ca="1" si="29"/>
        <v>1.5041572000211509</v>
      </c>
      <c r="J76" s="14">
        <f t="shared" ca="1" si="29"/>
        <v>1.5217950527483139</v>
      </c>
      <c r="K76" s="14">
        <f t="shared" ca="1" si="29"/>
        <v>1.5159369448132138</v>
      </c>
      <c r="L76" s="14">
        <f t="shared" ca="1" si="29"/>
        <v>1.5105177474782829</v>
      </c>
      <c r="N76" t="str">
        <f t="shared" si="27"/>
        <v>Available water = Account Balance + Available Inflow - Evaporation + Sales - Purchases</v>
      </c>
    </row>
    <row r="77" spans="1:14" x14ac:dyDescent="0.35">
      <c r="A77" s="1" t="str">
        <f>IF(A76="","","   Account Withdraw [maf]")</f>
        <v xml:space="preserve">   Account Withdraw [maf]</v>
      </c>
      <c r="C77" s="136">
        <f>MIN(C46,C76)</f>
        <v>1.4473333333333334</v>
      </c>
      <c r="D77" s="136">
        <f t="shared" ref="D77:L77" ca="1" si="30">MIN(D46,D76)</f>
        <v>1.4473333333333334</v>
      </c>
      <c r="E77" s="136">
        <f t="shared" ca="1" si="30"/>
        <v>1.4083333333333332</v>
      </c>
      <c r="F77" s="136">
        <f t="shared" ca="1" si="30"/>
        <v>1.4083333333333332</v>
      </c>
      <c r="G77" s="136">
        <f t="shared" ca="1" si="30"/>
        <v>1.4083333333333332</v>
      </c>
      <c r="H77" s="136">
        <f t="shared" ca="1" si="30"/>
        <v>1.4083333333333332</v>
      </c>
      <c r="I77" s="136">
        <f t="shared" ca="1" si="30"/>
        <v>1.3843333333333332</v>
      </c>
      <c r="J77" s="136">
        <f t="shared" ca="1" si="30"/>
        <v>1.4083333333333332</v>
      </c>
      <c r="K77" s="136">
        <f t="shared" ca="1" si="30"/>
        <v>1.4083333333333332</v>
      </c>
      <c r="L77" s="136">
        <f t="shared" ca="1" si="30"/>
        <v>1.4083333333333332</v>
      </c>
      <c r="N77" t="str">
        <f t="shared" si="27"/>
        <v>Must be less than Available water</v>
      </c>
    </row>
    <row r="78" spans="1:14" x14ac:dyDescent="0.35">
      <c r="A78" s="32" t="str">
        <f>IF(A77="","","   End of Year Balance [maf]")</f>
        <v xml:space="preserve">   End of Year Balance [maf]</v>
      </c>
      <c r="C78" s="66">
        <f>IF(OR(C$26="",$A78=""),"",C76-C77)</f>
        <v>0.16557297647772518</v>
      </c>
      <c r="D78" s="66">
        <f t="shared" ref="D78:L78" ca="1" si="31">IF(OR(D$26="",$A78=""),"",D76-D77)</f>
        <v>0.15735694647678922</v>
      </c>
      <c r="E78" s="66">
        <f t="shared" ca="1" si="31"/>
        <v>0.14931228563432986</v>
      </c>
      <c r="F78" s="66">
        <f t="shared" ca="1" si="31"/>
        <v>0.14154478800417558</v>
      </c>
      <c r="G78" s="66">
        <f t="shared" ca="1" si="31"/>
        <v>0.13404274739387745</v>
      </c>
      <c r="H78" s="66">
        <f t="shared" ca="1" si="31"/>
        <v>0.1267980923965879</v>
      </c>
      <c r="I78" s="66">
        <f t="shared" ca="1" si="31"/>
        <v>0.11982386668781775</v>
      </c>
      <c r="J78" s="66">
        <f t="shared" ca="1" si="31"/>
        <v>0.11346171941498073</v>
      </c>
      <c r="K78" s="66">
        <f t="shared" ca="1" si="31"/>
        <v>0.10760361147988062</v>
      </c>
      <c r="L78" s="66">
        <f t="shared" ca="1" si="31"/>
        <v>0.10218441414494972</v>
      </c>
      <c r="N78" t="str">
        <f t="shared" si="27"/>
        <v>Available water - Account Withdraw</v>
      </c>
    </row>
    <row r="79" spans="1:14" x14ac:dyDescent="0.35">
      <c r="C79"/>
    </row>
    <row r="80" spans="1:14" x14ac:dyDescent="0.35">
      <c r="A80" s="143" t="str">
        <f>IF(A$8="","[Unused]",A8)</f>
        <v>Shared, Reserve</v>
      </c>
      <c r="B80" s="143"/>
      <c r="C80" s="143"/>
      <c r="D80" s="143"/>
      <c r="E80" s="143"/>
      <c r="F80" s="143"/>
      <c r="G80" s="143"/>
      <c r="H80" s="143"/>
      <c r="I80" s="143"/>
      <c r="J80" s="143"/>
      <c r="K80" s="143"/>
      <c r="L80" s="143"/>
      <c r="M80" s="144" t="s">
        <v>107</v>
      </c>
      <c r="N80" s="143" t="s">
        <v>172</v>
      </c>
    </row>
    <row r="81" spans="1:14" x14ac:dyDescent="0.35">
      <c r="A81" s="32" t="str">
        <f>IF(A80="[Unused]","","   Volume of Sales(+) and Purchases(-) [maf]")</f>
        <v xml:space="preserve">   Volume of Sales(+) and Purchases(-) [maf]</v>
      </c>
      <c r="C81" s="134"/>
      <c r="D81" s="134"/>
      <c r="E81" s="134"/>
      <c r="F81" s="134"/>
      <c r="G81" s="134"/>
      <c r="H81" s="134"/>
      <c r="I81" s="134"/>
      <c r="J81" s="134"/>
      <c r="K81" s="134"/>
      <c r="L81" s="134"/>
      <c r="M81" s="67">
        <f>SUM(C81:L81)</f>
        <v>0</v>
      </c>
      <c r="N81" t="str">
        <f>IF(A81="","",N73)</f>
        <v>Add if multiple transactions, e.g.: 0.5 + 0.25</v>
      </c>
    </row>
    <row r="82" spans="1:14" x14ac:dyDescent="0.35">
      <c r="A82" s="32" t="str">
        <f>IF(A81="","","   Cash Intake(+) and Payments(-) [$ Mill]")</f>
        <v xml:space="preserve">   Cash Intake(+) and Payments(-) [$ Mill]</v>
      </c>
      <c r="C82" s="135"/>
      <c r="D82" s="135"/>
      <c r="E82" s="135"/>
      <c r="F82" s="135"/>
      <c r="G82" s="135"/>
      <c r="H82" s="135"/>
      <c r="I82" s="135"/>
      <c r="J82" s="135"/>
      <c r="K82" s="135"/>
      <c r="L82" s="135"/>
      <c r="M82" s="65">
        <f>SUM(C82:L82)</f>
        <v>0</v>
      </c>
      <c r="N82" t="str">
        <f t="shared" ref="N82:N86" si="32">IF(A82="","",N74)</f>
        <v>Add if multiple transactions, e.g.: $350*0.5 + $450*0.25</v>
      </c>
    </row>
    <row r="83" spans="1:14" x14ac:dyDescent="0.35">
      <c r="A83" s="32" t="str">
        <f>IF(A82="","","   Volume all players (should be zero)")</f>
        <v xml:space="preserve">   Volume all players (should be zero)</v>
      </c>
      <c r="C83" s="67">
        <f t="shared" ref="C83:M83" ca="1" si="33">IF(OR(C$26="",$A83=""),"",C$112)</f>
        <v>0</v>
      </c>
      <c r="D83" s="67">
        <f t="shared" ca="1" si="33"/>
        <v>0</v>
      </c>
      <c r="E83" s="67">
        <f t="shared" ca="1" si="33"/>
        <v>0</v>
      </c>
      <c r="F83" s="67">
        <f t="shared" ca="1" si="33"/>
        <v>0</v>
      </c>
      <c r="G83" s="67">
        <f t="shared" ca="1" si="33"/>
        <v>0</v>
      </c>
      <c r="H83" s="67">
        <f t="shared" ca="1" si="33"/>
        <v>0</v>
      </c>
      <c r="I83" s="67">
        <f t="shared" ca="1" si="33"/>
        <v>0</v>
      </c>
      <c r="J83" s="67">
        <f t="shared" ca="1" si="33"/>
        <v>0</v>
      </c>
      <c r="K83" s="67">
        <f t="shared" ca="1" si="33"/>
        <v>0</v>
      </c>
      <c r="L83" s="67">
        <f t="shared" ca="1" si="33"/>
        <v>0</v>
      </c>
      <c r="M83" t="str">
        <f t="shared" si="33"/>
        <v/>
      </c>
      <c r="N83" t="str">
        <f t="shared" si="32"/>
        <v>If non-zero, players need to change amount(s)</v>
      </c>
    </row>
    <row r="84" spans="1:14" x14ac:dyDescent="0.35">
      <c r="A84" s="1" t="str">
        <f>IF(A82="","","   Available Water [maf]")</f>
        <v xml:space="preserve">   Available Water [maf]</v>
      </c>
      <c r="C84" s="14">
        <f t="shared" ref="C84:L84" si="34">IF(OR(C$26="",$A84=""),"",C33+C51-C43-C81)</f>
        <v>11.59116925</v>
      </c>
      <c r="D84" s="14">
        <f t="shared" ca="1" si="34"/>
        <v>11.59116925</v>
      </c>
      <c r="E84" s="14">
        <f t="shared" ca="1" si="34"/>
        <v>11.59116925</v>
      </c>
      <c r="F84" s="14">
        <f t="shared" ca="1" si="34"/>
        <v>11.59116925</v>
      </c>
      <c r="G84" s="14">
        <f t="shared" ca="1" si="34"/>
        <v>11.59116925</v>
      </c>
      <c r="H84" s="14">
        <f t="shared" ca="1" si="34"/>
        <v>11.59116925</v>
      </c>
      <c r="I84" s="14">
        <f t="shared" ca="1" si="34"/>
        <v>11.59116925</v>
      </c>
      <c r="J84" s="14">
        <f t="shared" ca="1" si="34"/>
        <v>11.59116925</v>
      </c>
      <c r="K84" s="14">
        <f t="shared" ca="1" si="34"/>
        <v>11.59116925</v>
      </c>
      <c r="L84" s="14">
        <f t="shared" ca="1" si="34"/>
        <v>11.59116925</v>
      </c>
      <c r="N84" t="str">
        <f t="shared" si="32"/>
        <v>Available water = Account Balance + Available Inflow - Evaporation + Sales - Purchases</v>
      </c>
    </row>
    <row r="85" spans="1:14" x14ac:dyDescent="0.35">
      <c r="A85" s="1" t="str">
        <f>IF(A84="","","   Account Withdraw [maf]")</f>
        <v xml:space="preserve">   Account Withdraw [maf]</v>
      </c>
      <c r="C85" s="136"/>
      <c r="D85" s="136"/>
      <c r="E85" s="136"/>
      <c r="F85" s="136"/>
      <c r="G85" s="136"/>
      <c r="H85" s="136"/>
      <c r="I85" s="136"/>
      <c r="J85" s="136"/>
      <c r="K85" s="136"/>
      <c r="L85" s="136"/>
      <c r="N85" t="str">
        <f t="shared" si="32"/>
        <v>Must be less than Available water</v>
      </c>
    </row>
    <row r="86" spans="1:14" x14ac:dyDescent="0.35">
      <c r="A86" s="32" t="str">
        <f>IF(A85="","","   End of Year Balance [maf]")</f>
        <v xml:space="preserve">   End of Year Balance [maf]</v>
      </c>
      <c r="C86" s="66">
        <f>IF(OR(C$26="",$A86=""),"",C84-C85)</f>
        <v>11.59116925</v>
      </c>
      <c r="D86" s="66">
        <f t="shared" ref="D86:L86" ca="1" si="35">IF(OR(D$26="",$A86=""),"",D84-D85)</f>
        <v>11.59116925</v>
      </c>
      <c r="E86" s="66">
        <f t="shared" ca="1" si="35"/>
        <v>11.59116925</v>
      </c>
      <c r="F86" s="66">
        <f t="shared" ca="1" si="35"/>
        <v>11.59116925</v>
      </c>
      <c r="G86" s="66">
        <f t="shared" ca="1" si="35"/>
        <v>11.59116925</v>
      </c>
      <c r="H86" s="66">
        <f t="shared" ca="1" si="35"/>
        <v>11.59116925</v>
      </c>
      <c r="I86" s="66">
        <f t="shared" ca="1" si="35"/>
        <v>11.59116925</v>
      </c>
      <c r="J86" s="66">
        <f t="shared" ca="1" si="35"/>
        <v>11.59116925</v>
      </c>
      <c r="K86" s="66">
        <f t="shared" ca="1" si="35"/>
        <v>11.59116925</v>
      </c>
      <c r="L86" s="66">
        <f t="shared" ca="1" si="35"/>
        <v>11.59116925</v>
      </c>
      <c r="N86" t="str">
        <f t="shared" si="32"/>
        <v>Available water - Account Withdraw</v>
      </c>
    </row>
    <row r="87" spans="1:14" x14ac:dyDescent="0.35">
      <c r="C87"/>
    </row>
    <row r="88" spans="1:14" x14ac:dyDescent="0.35">
      <c r="A88" s="143" t="str">
        <f>IF(A$9="","[Unused]",A9)</f>
        <v>[Unused]</v>
      </c>
      <c r="B88" s="143"/>
      <c r="C88" s="143"/>
      <c r="D88" s="143"/>
      <c r="E88" s="143"/>
      <c r="F88" s="143"/>
      <c r="G88" s="143"/>
      <c r="H88" s="143"/>
      <c r="I88" s="143"/>
      <c r="J88" s="143"/>
      <c r="K88" s="143"/>
      <c r="L88" s="143"/>
      <c r="M88" s="144" t="s">
        <v>107</v>
      </c>
      <c r="N88" s="143" t="s">
        <v>172</v>
      </c>
    </row>
    <row r="89" spans="1:14" x14ac:dyDescent="0.35">
      <c r="A89" s="32" t="str">
        <f>IF(A88="[Unused]","","   Volume of Sales(+) and Purchases(-) [maf]")</f>
        <v/>
      </c>
      <c r="C89" s="134"/>
      <c r="D89" s="134"/>
      <c r="E89" s="134"/>
      <c r="F89" s="134"/>
      <c r="G89" s="134"/>
      <c r="H89" s="134"/>
      <c r="I89" s="134"/>
      <c r="J89" s="134"/>
      <c r="K89" s="134"/>
      <c r="L89" s="134"/>
      <c r="M89" s="67">
        <f>SUM(C89:L89)</f>
        <v>0</v>
      </c>
      <c r="N89" t="str">
        <f>IF(A89="","",N81)</f>
        <v/>
      </c>
    </row>
    <row r="90" spans="1:14" x14ac:dyDescent="0.35">
      <c r="A90" s="32" t="str">
        <f>IF(A89="","","   Cash Intake(+) and Payments(-) [$ Mill]")</f>
        <v/>
      </c>
      <c r="C90" s="135"/>
      <c r="D90" s="135"/>
      <c r="E90" s="135"/>
      <c r="F90" s="135"/>
      <c r="G90" s="135"/>
      <c r="H90" s="135"/>
      <c r="I90" s="135"/>
      <c r="J90" s="135"/>
      <c r="K90" s="135"/>
      <c r="L90" s="135"/>
      <c r="M90" s="65">
        <f>SUM(C90:L90)</f>
        <v>0</v>
      </c>
      <c r="N90" t="str">
        <f t="shared" ref="N90:N94" si="36">IF(A90="","",N82)</f>
        <v/>
      </c>
    </row>
    <row r="91" spans="1:14" x14ac:dyDescent="0.35">
      <c r="A91" s="32" t="str">
        <f>IF(A90="","","   Volume all players (should be zero)")</f>
        <v/>
      </c>
      <c r="C91" s="67" t="str">
        <f t="shared" ref="C91:M91" si="37">IF(OR(C$26="",$A91=""),"",C$112)</f>
        <v/>
      </c>
      <c r="D91" s="67" t="str">
        <f t="shared" si="37"/>
        <v/>
      </c>
      <c r="E91" s="67" t="str">
        <f t="shared" si="37"/>
        <v/>
      </c>
      <c r="F91" s="67" t="str">
        <f t="shared" si="37"/>
        <v/>
      </c>
      <c r="G91" s="67" t="str">
        <f t="shared" si="37"/>
        <v/>
      </c>
      <c r="H91" s="67" t="str">
        <f t="shared" si="37"/>
        <v/>
      </c>
      <c r="I91" s="67" t="str">
        <f t="shared" si="37"/>
        <v/>
      </c>
      <c r="J91" s="67" t="str">
        <f t="shared" si="37"/>
        <v/>
      </c>
      <c r="K91" s="67" t="str">
        <f t="shared" si="37"/>
        <v/>
      </c>
      <c r="L91" s="67" t="str">
        <f t="shared" si="37"/>
        <v/>
      </c>
      <c r="M91" t="str">
        <f t="shared" si="37"/>
        <v/>
      </c>
      <c r="N91" t="str">
        <f t="shared" si="36"/>
        <v/>
      </c>
    </row>
    <row r="92" spans="1:14" x14ac:dyDescent="0.35">
      <c r="A92" s="1" t="str">
        <f>IF(A90="","","   Available Water [maf]")</f>
        <v/>
      </c>
      <c r="C92" s="14" t="str">
        <f t="shared" ref="C92:L92" si="38">IF(OR(C$26="",$A92=""),"",C34+C52-C44-C89)</f>
        <v/>
      </c>
      <c r="D92" s="14" t="str">
        <f t="shared" si="38"/>
        <v/>
      </c>
      <c r="E92" s="14" t="str">
        <f t="shared" si="38"/>
        <v/>
      </c>
      <c r="F92" s="14" t="str">
        <f t="shared" si="38"/>
        <v/>
      </c>
      <c r="G92" s="14" t="str">
        <f t="shared" si="38"/>
        <v/>
      </c>
      <c r="H92" s="14" t="str">
        <f t="shared" si="38"/>
        <v/>
      </c>
      <c r="I92" s="14" t="str">
        <f t="shared" si="38"/>
        <v/>
      </c>
      <c r="J92" s="14" t="str">
        <f t="shared" si="38"/>
        <v/>
      </c>
      <c r="K92" s="14" t="str">
        <f t="shared" si="38"/>
        <v/>
      </c>
      <c r="L92" s="14" t="str">
        <f t="shared" si="38"/>
        <v/>
      </c>
      <c r="N92" t="str">
        <f t="shared" si="36"/>
        <v/>
      </c>
    </row>
    <row r="93" spans="1:14" x14ac:dyDescent="0.35">
      <c r="A93" s="1" t="str">
        <f>IF(A92="","","   Account Withdraw [maf]")</f>
        <v/>
      </c>
      <c r="C93" s="136"/>
      <c r="D93" s="136"/>
      <c r="E93" s="136"/>
      <c r="F93" s="136"/>
      <c r="G93" s="136"/>
      <c r="H93" s="136"/>
      <c r="I93" s="136"/>
      <c r="J93" s="136"/>
      <c r="K93" s="136"/>
      <c r="L93" s="136"/>
      <c r="N93" t="str">
        <f t="shared" si="36"/>
        <v/>
      </c>
    </row>
    <row r="94" spans="1:14" x14ac:dyDescent="0.35">
      <c r="A94" s="32" t="str">
        <f>IF(A93="","","   End of Year Balance [maf]")</f>
        <v/>
      </c>
      <c r="C94" s="66" t="str">
        <f>IF(OR(C$26="",$A94=""),"",C92-C93)</f>
        <v/>
      </c>
      <c r="D94" s="66" t="str">
        <f t="shared" ref="D94:L94" si="39">IF(OR(D$26="",$A94=""),"",D92-D93)</f>
        <v/>
      </c>
      <c r="E94" s="66" t="str">
        <f t="shared" si="39"/>
        <v/>
      </c>
      <c r="F94" s="66" t="str">
        <f t="shared" si="39"/>
        <v/>
      </c>
      <c r="G94" s="66" t="str">
        <f t="shared" si="39"/>
        <v/>
      </c>
      <c r="H94" s="66" t="str">
        <f t="shared" si="39"/>
        <v/>
      </c>
      <c r="I94" s="66" t="str">
        <f t="shared" si="39"/>
        <v/>
      </c>
      <c r="J94" s="66" t="str">
        <f t="shared" si="39"/>
        <v/>
      </c>
      <c r="K94" s="66" t="str">
        <f t="shared" si="39"/>
        <v/>
      </c>
      <c r="L94" s="66" t="str">
        <f t="shared" si="39"/>
        <v/>
      </c>
      <c r="N94" t="str">
        <f t="shared" si="36"/>
        <v/>
      </c>
    </row>
    <row r="95" spans="1:14" x14ac:dyDescent="0.35">
      <c r="C95"/>
    </row>
    <row r="96" spans="1:14" x14ac:dyDescent="0.35">
      <c r="A96" s="143" t="str">
        <f>IF(A$10="","[Unused]",A10)</f>
        <v>[Unused]</v>
      </c>
      <c r="B96" s="143"/>
      <c r="C96" s="143"/>
      <c r="D96" s="143"/>
      <c r="E96" s="143"/>
      <c r="F96" s="143"/>
      <c r="G96" s="143"/>
      <c r="H96" s="143"/>
      <c r="I96" s="143"/>
      <c r="J96" s="143"/>
      <c r="K96" s="143"/>
      <c r="L96" s="143"/>
      <c r="M96" s="144" t="s">
        <v>107</v>
      </c>
      <c r="N96" s="143" t="s">
        <v>172</v>
      </c>
    </row>
    <row r="97" spans="1:14" x14ac:dyDescent="0.35">
      <c r="A97" s="32" t="str">
        <f>IF(A96="[Unused]","","   Volume of Sales(+) and Purchases(-) [maf]")</f>
        <v/>
      </c>
      <c r="C97" s="134"/>
      <c r="D97" s="134"/>
      <c r="E97" s="134"/>
      <c r="F97" s="134"/>
      <c r="G97" s="134"/>
      <c r="H97" s="134"/>
      <c r="I97" s="134"/>
      <c r="J97" s="134"/>
      <c r="K97" s="134"/>
      <c r="L97" s="134"/>
      <c r="M97" s="67">
        <f>SUM(C97:L97)</f>
        <v>0</v>
      </c>
      <c r="N97" t="str">
        <f>IF(A97="","",N89)</f>
        <v/>
      </c>
    </row>
    <row r="98" spans="1:14" x14ac:dyDescent="0.35">
      <c r="A98" s="32" t="str">
        <f>IF(A97="","","   Cash Intake(+) and Payments(-) [$ Mill]")</f>
        <v/>
      </c>
      <c r="C98" s="135"/>
      <c r="D98" s="135"/>
      <c r="E98" s="135"/>
      <c r="F98" s="135"/>
      <c r="G98" s="135"/>
      <c r="H98" s="135"/>
      <c r="I98" s="135"/>
      <c r="J98" s="135"/>
      <c r="K98" s="135"/>
      <c r="L98" s="135"/>
      <c r="M98" s="65">
        <f>SUM(C98:L98)</f>
        <v>0</v>
      </c>
      <c r="N98" t="str">
        <f t="shared" ref="N98:N102" si="40">IF(A98="","",N90)</f>
        <v/>
      </c>
    </row>
    <row r="99" spans="1:14" x14ac:dyDescent="0.35">
      <c r="A99" s="32" t="str">
        <f>IF(A98="","","   Volume all players (should be zero)")</f>
        <v/>
      </c>
      <c r="C99" s="67" t="str">
        <f t="shared" ref="C99:M99" si="41">IF(OR(C$26="",$A99=""),"",C$112)</f>
        <v/>
      </c>
      <c r="D99" s="67" t="str">
        <f t="shared" si="41"/>
        <v/>
      </c>
      <c r="E99" s="67" t="str">
        <f t="shared" si="41"/>
        <v/>
      </c>
      <c r="F99" s="67" t="str">
        <f t="shared" si="41"/>
        <v/>
      </c>
      <c r="G99" s="67" t="str">
        <f t="shared" si="41"/>
        <v/>
      </c>
      <c r="H99" s="67" t="str">
        <f t="shared" si="41"/>
        <v/>
      </c>
      <c r="I99" s="67" t="str">
        <f t="shared" si="41"/>
        <v/>
      </c>
      <c r="J99" s="67" t="str">
        <f t="shared" si="41"/>
        <v/>
      </c>
      <c r="K99" s="67" t="str">
        <f t="shared" si="41"/>
        <v/>
      </c>
      <c r="L99" s="67" t="str">
        <f t="shared" si="41"/>
        <v/>
      </c>
      <c r="M99" t="str">
        <f t="shared" si="41"/>
        <v/>
      </c>
      <c r="N99" t="str">
        <f t="shared" si="40"/>
        <v/>
      </c>
    </row>
    <row r="100" spans="1:14" x14ac:dyDescent="0.35">
      <c r="A100" s="1" t="str">
        <f>IF(A98="","","   Available Water [maf]")</f>
        <v/>
      </c>
      <c r="C100" s="14" t="str">
        <f t="shared" ref="C100:L100" si="42">IF(OR(C$26="",$A100=""),"",C35+C53-C45-C97)</f>
        <v/>
      </c>
      <c r="D100" s="14" t="str">
        <f t="shared" si="42"/>
        <v/>
      </c>
      <c r="E100" s="14" t="str">
        <f t="shared" si="42"/>
        <v/>
      </c>
      <c r="F100" s="14" t="str">
        <f t="shared" si="42"/>
        <v/>
      </c>
      <c r="G100" s="14" t="str">
        <f t="shared" si="42"/>
        <v/>
      </c>
      <c r="H100" s="14" t="str">
        <f t="shared" si="42"/>
        <v/>
      </c>
      <c r="I100" s="14" t="str">
        <f t="shared" si="42"/>
        <v/>
      </c>
      <c r="J100" s="14" t="str">
        <f t="shared" si="42"/>
        <v/>
      </c>
      <c r="K100" s="14" t="str">
        <f t="shared" si="42"/>
        <v/>
      </c>
      <c r="L100" s="14" t="str">
        <f t="shared" si="42"/>
        <v/>
      </c>
      <c r="N100" t="str">
        <f t="shared" si="40"/>
        <v/>
      </c>
    </row>
    <row r="101" spans="1:14" x14ac:dyDescent="0.35">
      <c r="A101" s="1" t="str">
        <f>IF(A100="","","   Account Withdraw [maf]")</f>
        <v/>
      </c>
      <c r="C101" s="136"/>
      <c r="D101" s="136"/>
      <c r="E101" s="136"/>
      <c r="F101" s="136"/>
      <c r="G101" s="136"/>
      <c r="H101" s="136"/>
      <c r="I101" s="136"/>
      <c r="J101" s="136"/>
      <c r="K101" s="136"/>
      <c r="L101" s="136"/>
      <c r="N101" t="str">
        <f t="shared" si="40"/>
        <v/>
      </c>
    </row>
    <row r="102" spans="1:14" x14ac:dyDescent="0.35">
      <c r="A102" s="32" t="str">
        <f>IF(A101="","","   End of Year Balance [maf]")</f>
        <v/>
      </c>
      <c r="C102" s="66" t="str">
        <f>IF(OR(C$26="",$A102=""),"",C100-C101)</f>
        <v/>
      </c>
      <c r="D102" s="66" t="str">
        <f t="shared" ref="D102:L102" si="43">IF(OR(D$26="",$A102=""),"",D100-D101)</f>
        <v/>
      </c>
      <c r="E102" s="66" t="str">
        <f t="shared" si="43"/>
        <v/>
      </c>
      <c r="F102" s="66" t="str">
        <f t="shared" si="43"/>
        <v/>
      </c>
      <c r="G102" s="66" t="str">
        <f t="shared" si="43"/>
        <v/>
      </c>
      <c r="H102" s="66" t="str">
        <f t="shared" si="43"/>
        <v/>
      </c>
      <c r="I102" s="66" t="str">
        <f t="shared" si="43"/>
        <v/>
      </c>
      <c r="J102" s="66" t="str">
        <f t="shared" si="43"/>
        <v/>
      </c>
      <c r="K102" s="66" t="str">
        <f t="shared" si="43"/>
        <v/>
      </c>
      <c r="L102" s="66" t="str">
        <f t="shared" si="43"/>
        <v/>
      </c>
      <c r="N102" t="str">
        <f t="shared" si="40"/>
        <v/>
      </c>
    </row>
    <row r="103" spans="1:14" x14ac:dyDescent="0.35">
      <c r="C103"/>
    </row>
    <row r="104" spans="1:14" x14ac:dyDescent="0.35">
      <c r="A104" s="145" t="s">
        <v>183</v>
      </c>
      <c r="B104" s="145"/>
      <c r="C104" s="145"/>
      <c r="D104" s="145"/>
      <c r="E104" s="145"/>
      <c r="F104" s="145"/>
      <c r="G104" s="145"/>
      <c r="H104" s="145"/>
      <c r="I104" s="145"/>
      <c r="J104" s="145"/>
      <c r="K104" s="145"/>
      <c r="L104" s="145"/>
      <c r="M104" s="145"/>
      <c r="N104" s="145"/>
    </row>
    <row r="105" spans="1:14" x14ac:dyDescent="0.35">
      <c r="A105" s="1" t="s">
        <v>149</v>
      </c>
      <c r="C105"/>
      <c r="M105" t="s">
        <v>182</v>
      </c>
      <c r="N105" t="s">
        <v>150</v>
      </c>
    </row>
    <row r="106" spans="1:14" x14ac:dyDescent="0.35">
      <c r="A106" t="str">
        <f t="shared" ref="A106:A111" si="44">IF(A5="","","    "&amp;A5)</f>
        <v xml:space="preserve">    Upper Basin</v>
      </c>
      <c r="B106" s="1"/>
      <c r="C106" s="67">
        <f t="shared" ref="C106:L111" ca="1" si="45">IF(OR(C$26="",$A106=""),"",OFFSET(C$57,8*(ROW(B106)-ROW(B$106)),0))</f>
        <v>0</v>
      </c>
      <c r="D106" s="67">
        <f t="shared" ca="1" si="45"/>
        <v>0</v>
      </c>
      <c r="E106" s="67">
        <f t="shared" ca="1" si="45"/>
        <v>0</v>
      </c>
      <c r="F106" s="67">
        <f t="shared" ca="1" si="45"/>
        <v>0</v>
      </c>
      <c r="G106" s="67">
        <f t="shared" ca="1" si="45"/>
        <v>0</v>
      </c>
      <c r="H106" s="67">
        <f t="shared" ca="1" si="45"/>
        <v>0</v>
      </c>
      <c r="I106" s="67">
        <f t="shared" ca="1" si="45"/>
        <v>0.5</v>
      </c>
      <c r="J106" s="67">
        <f t="shared" ca="1" si="45"/>
        <v>0.5</v>
      </c>
      <c r="K106" s="67">
        <f t="shared" ca="1" si="45"/>
        <v>0.5</v>
      </c>
      <c r="L106" s="67">
        <f t="shared" ca="1" si="45"/>
        <v>0.5</v>
      </c>
      <c r="M106" s="67">
        <f ca="1">IF(OR($A106=""),"",SUM(C106:L106))</f>
        <v>2</v>
      </c>
      <c r="N106" s="65">
        <f>IF(OR($A106=""),"",M58)</f>
        <v>700</v>
      </c>
    </row>
    <row r="107" spans="1:14" x14ac:dyDescent="0.35">
      <c r="A107" t="str">
        <f t="shared" si="44"/>
        <v xml:space="preserve">    Lower Basin</v>
      </c>
      <c r="B107" s="1"/>
      <c r="C107" s="67">
        <f t="shared" ca="1" si="45"/>
        <v>0</v>
      </c>
      <c r="D107" s="67">
        <f t="shared" ca="1" si="45"/>
        <v>0</v>
      </c>
      <c r="E107" s="67">
        <f t="shared" ca="1" si="45"/>
        <v>0</v>
      </c>
      <c r="F107" s="67">
        <f t="shared" ca="1" si="45"/>
        <v>0</v>
      </c>
      <c r="G107" s="67">
        <f t="shared" ca="1" si="45"/>
        <v>0</v>
      </c>
      <c r="H107" s="67">
        <f t="shared" ca="1" si="45"/>
        <v>0</v>
      </c>
      <c r="I107" s="67">
        <f t="shared" ca="1" si="45"/>
        <v>-0.5</v>
      </c>
      <c r="J107" s="67">
        <f t="shared" ca="1" si="45"/>
        <v>-0.5</v>
      </c>
      <c r="K107" s="67">
        <f t="shared" ca="1" si="45"/>
        <v>-0.5</v>
      </c>
      <c r="L107" s="67">
        <f t="shared" ca="1" si="45"/>
        <v>-0.5</v>
      </c>
      <c r="M107" s="67">
        <f t="shared" ref="M107:M111" ca="1" si="46">IF(OR($A107=""),"",SUM(C107:L107))</f>
        <v>-2</v>
      </c>
      <c r="N107" s="65">
        <f>IF(OR($A107=""),"",M66)</f>
        <v>-700</v>
      </c>
    </row>
    <row r="108" spans="1:14" x14ac:dyDescent="0.35">
      <c r="A108" t="str">
        <f t="shared" si="44"/>
        <v xml:space="preserve">    Mexico</v>
      </c>
      <c r="B108" s="1"/>
      <c r="C108" s="67">
        <f t="shared" ca="1" si="45"/>
        <v>0</v>
      </c>
      <c r="D108" s="67">
        <f t="shared" ca="1" si="45"/>
        <v>0</v>
      </c>
      <c r="E108" s="67">
        <f t="shared" ca="1" si="45"/>
        <v>0</v>
      </c>
      <c r="F108" s="67">
        <f t="shared" ca="1" si="45"/>
        <v>0</v>
      </c>
      <c r="G108" s="67">
        <f t="shared" ca="1" si="45"/>
        <v>0</v>
      </c>
      <c r="H108" s="67">
        <f t="shared" ca="1" si="45"/>
        <v>0</v>
      </c>
      <c r="I108" s="67">
        <f t="shared" ca="1" si="45"/>
        <v>0</v>
      </c>
      <c r="J108" s="67">
        <f t="shared" ca="1" si="45"/>
        <v>0</v>
      </c>
      <c r="K108" s="67">
        <f t="shared" ca="1" si="45"/>
        <v>0</v>
      </c>
      <c r="L108" s="67">
        <f t="shared" ca="1" si="45"/>
        <v>0</v>
      </c>
      <c r="M108" s="67">
        <f t="shared" ca="1" si="46"/>
        <v>0</v>
      </c>
      <c r="N108" s="65">
        <f>IF(OR($A108=""),"",M74)</f>
        <v>0</v>
      </c>
    </row>
    <row r="109" spans="1:14" x14ac:dyDescent="0.35">
      <c r="A109" t="str">
        <f t="shared" si="44"/>
        <v xml:space="preserve">    Shared, Reserve</v>
      </c>
      <c r="B109" s="1"/>
      <c r="C109" s="67">
        <f t="shared" ca="1" si="45"/>
        <v>0</v>
      </c>
      <c r="D109" s="67">
        <f t="shared" ca="1" si="45"/>
        <v>0</v>
      </c>
      <c r="E109" s="67">
        <f t="shared" ca="1" si="45"/>
        <v>0</v>
      </c>
      <c r="F109" s="67">
        <f t="shared" ca="1" si="45"/>
        <v>0</v>
      </c>
      <c r="G109" s="67">
        <f t="shared" ca="1" si="45"/>
        <v>0</v>
      </c>
      <c r="H109" s="67">
        <f t="shared" ca="1" si="45"/>
        <v>0</v>
      </c>
      <c r="I109" s="67">
        <f t="shared" ca="1" si="45"/>
        <v>0</v>
      </c>
      <c r="J109" s="67">
        <f t="shared" ca="1" si="45"/>
        <v>0</v>
      </c>
      <c r="K109" s="67">
        <f t="shared" ca="1" si="45"/>
        <v>0</v>
      </c>
      <c r="L109" s="67">
        <f t="shared" ca="1" si="45"/>
        <v>0</v>
      </c>
      <c r="M109" s="67">
        <f t="shared" ca="1" si="46"/>
        <v>0</v>
      </c>
      <c r="N109" s="65">
        <f>IF(OR($A109=""),"",M82)</f>
        <v>0</v>
      </c>
    </row>
    <row r="110" spans="1:14" x14ac:dyDescent="0.35">
      <c r="A110" t="str">
        <f t="shared" si="44"/>
        <v/>
      </c>
      <c r="B110" s="1"/>
      <c r="C110" s="67" t="str">
        <f t="shared" ca="1" si="45"/>
        <v/>
      </c>
      <c r="D110" s="67" t="str">
        <f t="shared" ca="1" si="45"/>
        <v/>
      </c>
      <c r="E110" s="67" t="str">
        <f t="shared" ca="1" si="45"/>
        <v/>
      </c>
      <c r="F110" s="67" t="str">
        <f t="shared" ca="1" si="45"/>
        <v/>
      </c>
      <c r="G110" s="67" t="str">
        <f t="shared" ca="1" si="45"/>
        <v/>
      </c>
      <c r="H110" s="67" t="str">
        <f t="shared" ca="1" si="45"/>
        <v/>
      </c>
      <c r="I110" s="67" t="str">
        <f t="shared" ca="1" si="45"/>
        <v/>
      </c>
      <c r="J110" s="67" t="str">
        <f t="shared" ca="1" si="45"/>
        <v/>
      </c>
      <c r="K110" s="67" t="str">
        <f t="shared" ca="1" si="45"/>
        <v/>
      </c>
      <c r="L110" s="67" t="str">
        <f t="shared" ca="1" si="45"/>
        <v/>
      </c>
      <c r="M110" s="67" t="str">
        <f t="shared" si="46"/>
        <v/>
      </c>
      <c r="N110" s="65" t="str">
        <f>IF(OR($A110=""),"",M90)</f>
        <v/>
      </c>
    </row>
    <row r="111" spans="1:14" x14ac:dyDescent="0.35">
      <c r="A111" t="str">
        <f t="shared" si="44"/>
        <v/>
      </c>
      <c r="B111" s="1"/>
      <c r="C111" s="67" t="str">
        <f t="shared" ca="1" si="45"/>
        <v/>
      </c>
      <c r="D111" s="67" t="str">
        <f t="shared" ca="1" si="45"/>
        <v/>
      </c>
      <c r="E111" s="67" t="str">
        <f t="shared" ca="1" si="45"/>
        <v/>
      </c>
      <c r="F111" s="67" t="str">
        <f t="shared" ca="1" si="45"/>
        <v/>
      </c>
      <c r="G111" s="67" t="str">
        <f t="shared" ca="1" si="45"/>
        <v/>
      </c>
      <c r="H111" s="67" t="str">
        <f t="shared" ca="1" si="45"/>
        <v/>
      </c>
      <c r="I111" s="67" t="str">
        <f t="shared" ca="1" si="45"/>
        <v/>
      </c>
      <c r="J111" s="67" t="str">
        <f t="shared" ca="1" si="45"/>
        <v/>
      </c>
      <c r="K111" s="67" t="str">
        <f t="shared" ca="1" si="45"/>
        <v/>
      </c>
      <c r="L111" s="67" t="str">
        <f t="shared" ca="1" si="45"/>
        <v/>
      </c>
      <c r="M111" s="67" t="str">
        <f t="shared" si="46"/>
        <v/>
      </c>
      <c r="N111" s="65" t="str">
        <f>IF(OR($A111=""),"",M98)</f>
        <v/>
      </c>
    </row>
    <row r="112" spans="1:14" x14ac:dyDescent="0.35">
      <c r="A112" t="s">
        <v>146</v>
      </c>
      <c r="B112" s="1"/>
      <c r="C112" s="51">
        <f ca="1">IF(C$26&lt;&gt;"",SUM(C106:C111),"")</f>
        <v>0</v>
      </c>
      <c r="D112" s="51">
        <f t="shared" ref="D112:L112" ca="1" si="47">IF(D$26&lt;&gt;"",SUM(D106:D111),"")</f>
        <v>0</v>
      </c>
      <c r="E112" s="119">
        <f t="shared" ca="1" si="47"/>
        <v>0</v>
      </c>
      <c r="F112" s="51">
        <f t="shared" ca="1" si="47"/>
        <v>0</v>
      </c>
      <c r="G112" s="51">
        <f t="shared" ca="1" si="47"/>
        <v>0</v>
      </c>
      <c r="H112" s="51">
        <f t="shared" ca="1" si="47"/>
        <v>0</v>
      </c>
      <c r="I112" s="51">
        <f t="shared" ca="1" si="47"/>
        <v>0</v>
      </c>
      <c r="J112" s="51">
        <f t="shared" ca="1" si="47"/>
        <v>0</v>
      </c>
      <c r="K112" s="51">
        <f t="shared" ca="1" si="47"/>
        <v>0</v>
      </c>
      <c r="L112" s="51">
        <f t="shared" ca="1" si="47"/>
        <v>0</v>
      </c>
      <c r="M112" s="34"/>
    </row>
    <row r="113" spans="1:12" x14ac:dyDescent="0.35">
      <c r="A113" s="1" t="s">
        <v>134</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48">IF(OR(C$26="",$A114=""),"",OFFSET(C$61,8*(ROW(B114)-ROW(B$114)),0))</f>
        <v>4.2</v>
      </c>
      <c r="D114" s="67">
        <f t="shared" ca="1" si="48"/>
        <v>4.2</v>
      </c>
      <c r="E114" s="67">
        <f t="shared" ca="1" si="48"/>
        <v>4.2</v>
      </c>
      <c r="F114" s="67">
        <f t="shared" ca="1" si="48"/>
        <v>4.2</v>
      </c>
      <c r="G114" s="67">
        <f t="shared" ca="1" si="48"/>
        <v>4.2</v>
      </c>
      <c r="H114" s="67">
        <f t="shared" ca="1" si="48"/>
        <v>4.2</v>
      </c>
      <c r="I114" s="67">
        <f t="shared" ca="1" si="48"/>
        <v>4.2</v>
      </c>
      <c r="J114" s="67">
        <f t="shared" ca="1" si="48"/>
        <v>4.2</v>
      </c>
      <c r="K114" s="67">
        <f t="shared" ca="1" si="48"/>
        <v>4.2</v>
      </c>
      <c r="L114" s="67">
        <f t="shared" ca="1" si="48"/>
        <v>4.2</v>
      </c>
    </row>
    <row r="115" spans="1:12" x14ac:dyDescent="0.35">
      <c r="A115" t="str">
        <f>IF(A6="","","    "&amp;A6&amp;" - Release from Mead")</f>
        <v xml:space="preserve">    Lower Basin - Release from Mead</v>
      </c>
      <c r="C115" s="67">
        <f t="shared" ca="1" si="48"/>
        <v>7.2590000000000003</v>
      </c>
      <c r="D115" s="67">
        <f t="shared" ca="1" si="48"/>
        <v>7.2590000000000003</v>
      </c>
      <c r="E115" s="67">
        <f t="shared" ca="1" si="48"/>
        <v>6.8870000000000005</v>
      </c>
      <c r="F115" s="67">
        <f t="shared" ca="1" si="48"/>
        <v>6.8870000000000005</v>
      </c>
      <c r="G115" s="67">
        <f t="shared" ca="1" si="48"/>
        <v>6.8870000000000005</v>
      </c>
      <c r="H115" s="67">
        <f t="shared" ca="1" si="48"/>
        <v>6.805453457471021</v>
      </c>
      <c r="I115" s="67">
        <f t="shared" ca="1" si="48"/>
        <v>6.7789999999999999</v>
      </c>
      <c r="J115" s="67">
        <f t="shared" ca="1" si="48"/>
        <v>6.8870000000000005</v>
      </c>
      <c r="K115" s="67">
        <f t="shared" ca="1" si="48"/>
        <v>6.8870000000000005</v>
      </c>
      <c r="L115" s="67">
        <f t="shared" ca="1" si="48"/>
        <v>6.8870000000000005</v>
      </c>
    </row>
    <row r="116" spans="1:12" x14ac:dyDescent="0.35">
      <c r="A116" t="str">
        <f>IF(A7="","","    "&amp;A7&amp;" - Release from Mead")</f>
        <v xml:space="preserve">    Mexico - Release from Mead</v>
      </c>
      <c r="C116" s="67">
        <f t="shared" ca="1" si="48"/>
        <v>1.4473333333333334</v>
      </c>
      <c r="D116" s="67">
        <f t="shared" ca="1" si="48"/>
        <v>1.4473333333333334</v>
      </c>
      <c r="E116" s="67">
        <f t="shared" ca="1" si="48"/>
        <v>1.4083333333333332</v>
      </c>
      <c r="F116" s="67">
        <f t="shared" ca="1" si="48"/>
        <v>1.4083333333333332</v>
      </c>
      <c r="G116" s="67">
        <f t="shared" ca="1" si="48"/>
        <v>1.4083333333333332</v>
      </c>
      <c r="H116" s="67">
        <f t="shared" ca="1" si="48"/>
        <v>1.4083333333333332</v>
      </c>
      <c r="I116" s="67">
        <f t="shared" ca="1" si="48"/>
        <v>1.3843333333333332</v>
      </c>
      <c r="J116" s="67">
        <f t="shared" ca="1" si="48"/>
        <v>1.4083333333333332</v>
      </c>
      <c r="K116" s="67">
        <f t="shared" ca="1" si="48"/>
        <v>1.4083333333333332</v>
      </c>
      <c r="L116" s="67">
        <f t="shared" ca="1" si="48"/>
        <v>1.4083333333333332</v>
      </c>
    </row>
    <row r="117" spans="1:12" x14ac:dyDescent="0.35">
      <c r="A117" t="str">
        <f>IF(A8="","","    "&amp;A8&amp;" - Release from Mead")</f>
        <v xml:space="preserve">    Shared, Reserve - Release from Mead</v>
      </c>
      <c r="C117" s="67">
        <f t="shared" ca="1" si="48"/>
        <v>0</v>
      </c>
      <c r="D117" s="67">
        <f t="shared" ca="1" si="48"/>
        <v>0</v>
      </c>
      <c r="E117" s="67">
        <f t="shared" ca="1" si="48"/>
        <v>0</v>
      </c>
      <c r="F117" s="67">
        <f t="shared" ca="1" si="48"/>
        <v>0</v>
      </c>
      <c r="G117" s="67">
        <f t="shared" ca="1" si="48"/>
        <v>0</v>
      </c>
      <c r="H117" s="67">
        <f t="shared" ca="1" si="48"/>
        <v>0</v>
      </c>
      <c r="I117" s="67">
        <f t="shared" ca="1" si="48"/>
        <v>0</v>
      </c>
      <c r="J117" s="67">
        <f t="shared" ca="1" si="48"/>
        <v>0</v>
      </c>
      <c r="K117" s="67">
        <f t="shared" ca="1" si="48"/>
        <v>0</v>
      </c>
      <c r="L117" s="67">
        <f t="shared" ca="1" si="48"/>
        <v>0</v>
      </c>
    </row>
    <row r="118" spans="1:12" x14ac:dyDescent="0.35">
      <c r="A118" t="str">
        <f>IF(A9="","","    "&amp;A9&amp;" - Release from Mead")</f>
        <v/>
      </c>
      <c r="C118" s="67" t="str">
        <f t="shared" ca="1" si="48"/>
        <v/>
      </c>
      <c r="D118" s="67" t="str">
        <f t="shared" ca="1" si="48"/>
        <v/>
      </c>
      <c r="E118" s="67" t="str">
        <f t="shared" ca="1" si="48"/>
        <v/>
      </c>
      <c r="F118" s="67" t="str">
        <f t="shared" ca="1" si="48"/>
        <v/>
      </c>
      <c r="G118" s="67" t="str">
        <f t="shared" ca="1" si="48"/>
        <v/>
      </c>
      <c r="H118" s="67" t="str">
        <f t="shared" ca="1" si="48"/>
        <v/>
      </c>
      <c r="I118" s="67" t="str">
        <f t="shared" ca="1" si="48"/>
        <v/>
      </c>
      <c r="J118" s="67" t="str">
        <f t="shared" ca="1" si="48"/>
        <v/>
      </c>
      <c r="K118" s="67" t="str">
        <f t="shared" ca="1" si="48"/>
        <v/>
      </c>
      <c r="L118" s="67" t="str">
        <f t="shared" ca="1" si="48"/>
        <v/>
      </c>
    </row>
    <row r="119" spans="1:12" x14ac:dyDescent="0.35">
      <c r="A119" t="str">
        <f>IF(A10="","","    "&amp;A10&amp;" - Release from Mead")</f>
        <v/>
      </c>
      <c r="C119" s="67" t="str">
        <f t="shared" ca="1" si="48"/>
        <v/>
      </c>
      <c r="D119" s="67" t="str">
        <f t="shared" ca="1" si="48"/>
        <v/>
      </c>
      <c r="E119" s="67" t="str">
        <f t="shared" ca="1" si="48"/>
        <v/>
      </c>
      <c r="F119" s="67" t="str">
        <f t="shared" ca="1" si="48"/>
        <v/>
      </c>
      <c r="G119" s="67" t="str">
        <f t="shared" ca="1" si="48"/>
        <v/>
      </c>
      <c r="H119" s="67" t="str">
        <f t="shared" ca="1" si="48"/>
        <v/>
      </c>
      <c r="I119" s="67" t="str">
        <f t="shared" ca="1" si="48"/>
        <v/>
      </c>
      <c r="J119" s="67" t="str">
        <f t="shared" ca="1" si="48"/>
        <v/>
      </c>
      <c r="K119" s="67" t="str">
        <f t="shared" ca="1" si="48"/>
        <v/>
      </c>
      <c r="L119" s="67" t="str">
        <f t="shared" ca="1" si="48"/>
        <v/>
      </c>
    </row>
    <row r="120" spans="1:12" x14ac:dyDescent="0.35">
      <c r="A120" s="1" t="s">
        <v>139</v>
      </c>
      <c r="B120" s="1"/>
      <c r="D120" s="2"/>
      <c r="E120" s="2"/>
      <c r="F120" s="2"/>
      <c r="G120" s="2"/>
      <c r="H120" s="2"/>
      <c r="I120" s="2"/>
      <c r="J120" s="2"/>
      <c r="K120" s="2"/>
      <c r="L120" s="2"/>
    </row>
    <row r="121" spans="1:12" x14ac:dyDescent="0.35">
      <c r="A121" t="str">
        <f t="shared" ref="A121:A126" si="49">IF(A5="","","    "&amp;A5)</f>
        <v xml:space="preserve">    Upper Basin</v>
      </c>
      <c r="C121" s="67">
        <f t="shared" ref="C121:L126" ca="1" si="50">IF(OR(C$26="",$A121=""),"",OFFSET(C$62,8*(ROW(B121)-ROW(B$121)),0))</f>
        <v>4.8040452368981788</v>
      </c>
      <c r="D121" s="67">
        <f t="shared" ca="1" si="50"/>
        <v>4.5419931728564817</v>
      </c>
      <c r="E121" s="67">
        <f t="shared" ca="1" si="50"/>
        <v>4.3056232546493094</v>
      </c>
      <c r="F121" s="67">
        <f t="shared" ca="1" si="50"/>
        <v>4.0774702074598084</v>
      </c>
      <c r="G121" s="67">
        <f t="shared" ca="1" si="50"/>
        <v>3.85719281347522</v>
      </c>
      <c r="H121" s="67">
        <f t="shared" ca="1" si="50"/>
        <v>3.6445551050330494</v>
      </c>
      <c r="I121" s="67">
        <f t="shared" ca="1" si="50"/>
        <v>4.9519284043853409</v>
      </c>
      <c r="J121" s="67">
        <f t="shared" ca="1" si="50"/>
        <v>6.1848350048055627</v>
      </c>
      <c r="K121" s="67">
        <f t="shared" ca="1" si="50"/>
        <v>7.3613409808086034</v>
      </c>
      <c r="L121" s="67">
        <f t="shared" ca="1" si="50"/>
        <v>8.4864380639727202</v>
      </c>
    </row>
    <row r="122" spans="1:12" x14ac:dyDescent="0.35">
      <c r="A122" t="str">
        <f t="shared" si="49"/>
        <v xml:space="preserve">    Lower Basin</v>
      </c>
      <c r="C122" s="67">
        <f t="shared" ca="1" si="50"/>
        <v>3.2109815232907888</v>
      </c>
      <c r="D122" s="67">
        <f t="shared" ca="1" si="50"/>
        <v>2.1938054130006606</v>
      </c>
      <c r="E122" s="67">
        <f t="shared" ca="1" si="50"/>
        <v>1.5979005802175585</v>
      </c>
      <c r="F122" s="67">
        <f t="shared" ca="1" si="50"/>
        <v>1.0206144277033102</v>
      </c>
      <c r="G122" s="67">
        <f t="shared" ca="1" si="50"/>
        <v>0.46100835996429268</v>
      </c>
      <c r="H122" s="67">
        <f t="shared" ca="1" si="50"/>
        <v>0</v>
      </c>
      <c r="I122" s="67">
        <f t="shared" ca="1" si="50"/>
        <v>9.1288800524318425E-2</v>
      </c>
      <c r="J122" s="67">
        <f t="shared" ca="1" si="50"/>
        <v>7.9832364543001688E-2</v>
      </c>
      <c r="K122" s="67">
        <f t="shared" ca="1" si="50"/>
        <v>8.6083721142300007E-2</v>
      </c>
      <c r="L122" s="67">
        <f t="shared" ca="1" si="50"/>
        <v>0.10682026747920759</v>
      </c>
    </row>
    <row r="123" spans="1:12" x14ac:dyDescent="0.35">
      <c r="A123" t="str">
        <f t="shared" si="49"/>
        <v xml:space="preserve">    Mexico</v>
      </c>
      <c r="C123" s="67">
        <f t="shared" ca="1" si="50"/>
        <v>0.16557297647772518</v>
      </c>
      <c r="D123" s="67">
        <f t="shared" ca="1" si="50"/>
        <v>0.15735694647678922</v>
      </c>
      <c r="E123" s="67">
        <f t="shared" ca="1" si="50"/>
        <v>0.14931228563432986</v>
      </c>
      <c r="F123" s="67">
        <f t="shared" ca="1" si="50"/>
        <v>0.14154478800417558</v>
      </c>
      <c r="G123" s="67">
        <f t="shared" ca="1" si="50"/>
        <v>0.13404274739387745</v>
      </c>
      <c r="H123" s="67">
        <f t="shared" ca="1" si="50"/>
        <v>0.1267980923965879</v>
      </c>
      <c r="I123" s="67">
        <f t="shared" ca="1" si="50"/>
        <v>0.11982386668781775</v>
      </c>
      <c r="J123" s="67">
        <f t="shared" ca="1" si="50"/>
        <v>0.11346171941498073</v>
      </c>
      <c r="K123" s="67">
        <f t="shared" ca="1" si="50"/>
        <v>0.10760361147988062</v>
      </c>
      <c r="L123" s="67">
        <f t="shared" ca="1" si="50"/>
        <v>0.10218441414494972</v>
      </c>
    </row>
    <row r="124" spans="1:12" x14ac:dyDescent="0.35">
      <c r="A124" t="str">
        <f t="shared" si="49"/>
        <v xml:space="preserve">    Shared, Reserve</v>
      </c>
      <c r="C124" s="67">
        <f t="shared" ca="1" si="50"/>
        <v>11.59116925</v>
      </c>
      <c r="D124" s="67">
        <f t="shared" ca="1" si="50"/>
        <v>11.59116925</v>
      </c>
      <c r="E124" s="67">
        <f t="shared" ca="1" si="50"/>
        <v>11.59116925</v>
      </c>
      <c r="F124" s="67">
        <f t="shared" ca="1" si="50"/>
        <v>11.59116925</v>
      </c>
      <c r="G124" s="67">
        <f t="shared" ca="1" si="50"/>
        <v>11.59116925</v>
      </c>
      <c r="H124" s="67">
        <f t="shared" ca="1" si="50"/>
        <v>11.59116925</v>
      </c>
      <c r="I124" s="67">
        <f t="shared" ca="1" si="50"/>
        <v>11.59116925</v>
      </c>
      <c r="J124" s="67">
        <f t="shared" ca="1" si="50"/>
        <v>11.59116925</v>
      </c>
      <c r="K124" s="67">
        <f t="shared" ca="1" si="50"/>
        <v>11.59116925</v>
      </c>
      <c r="L124" s="67">
        <f t="shared" ca="1" si="50"/>
        <v>11.59116925</v>
      </c>
    </row>
    <row r="125" spans="1:12" x14ac:dyDescent="0.35">
      <c r="A125" t="str">
        <f t="shared" si="49"/>
        <v/>
      </c>
      <c r="C125" s="67" t="str">
        <f t="shared" ca="1" si="50"/>
        <v/>
      </c>
      <c r="D125" s="67" t="str">
        <f t="shared" ca="1" si="50"/>
        <v/>
      </c>
      <c r="E125" s="67" t="str">
        <f t="shared" ca="1" si="50"/>
        <v/>
      </c>
      <c r="F125" s="67" t="str">
        <f t="shared" ca="1" si="50"/>
        <v/>
      </c>
      <c r="G125" s="67" t="str">
        <f t="shared" ca="1" si="50"/>
        <v/>
      </c>
      <c r="H125" s="67" t="str">
        <f t="shared" ca="1" si="50"/>
        <v/>
      </c>
      <c r="I125" s="67" t="str">
        <f t="shared" ca="1" si="50"/>
        <v/>
      </c>
      <c r="J125" s="67" t="str">
        <f t="shared" ca="1" si="50"/>
        <v/>
      </c>
      <c r="K125" s="67" t="str">
        <f t="shared" ca="1" si="50"/>
        <v/>
      </c>
      <c r="L125" s="67" t="str">
        <f t="shared" ca="1" si="50"/>
        <v/>
      </c>
    </row>
    <row r="126" spans="1:12" x14ac:dyDescent="0.35">
      <c r="A126" t="str">
        <f t="shared" si="49"/>
        <v/>
      </c>
      <c r="C126" s="67" t="str">
        <f t="shared" ca="1" si="50"/>
        <v/>
      </c>
      <c r="D126" s="67" t="str">
        <f t="shared" ca="1" si="50"/>
        <v/>
      </c>
      <c r="E126" s="67" t="str">
        <f t="shared" ca="1" si="50"/>
        <v/>
      </c>
      <c r="F126" s="67" t="str">
        <f t="shared" ca="1" si="50"/>
        <v/>
      </c>
      <c r="G126" s="67" t="str">
        <f t="shared" ca="1" si="50"/>
        <v/>
      </c>
      <c r="H126" s="67" t="str">
        <f t="shared" ca="1" si="50"/>
        <v/>
      </c>
      <c r="I126" s="67" t="str">
        <f t="shared" ca="1" si="50"/>
        <v/>
      </c>
      <c r="J126" s="67" t="str">
        <f t="shared" ca="1" si="50"/>
        <v/>
      </c>
      <c r="K126" s="67" t="str">
        <f t="shared" ca="1" si="50"/>
        <v/>
      </c>
      <c r="L126" s="67" t="str">
        <f t="shared" ca="1" si="50"/>
        <v/>
      </c>
    </row>
    <row r="127" spans="1:12" x14ac:dyDescent="0.35">
      <c r="A127" s="1" t="s">
        <v>123</v>
      </c>
      <c r="B127" s="1"/>
      <c r="C127" s="14">
        <f ca="1">IF(C$26&lt;&gt;"",SUM(C121:C126),"")</f>
        <v>19.771768986666693</v>
      </c>
      <c r="D127" s="14">
        <f t="shared" ref="D127:L127" ca="1" si="51">IF(D$26&lt;&gt;"",SUM(D121:D126),"")</f>
        <v>18.484324782333932</v>
      </c>
      <c r="E127" s="14">
        <f t="shared" ca="1" si="51"/>
        <v>17.644005370501198</v>
      </c>
      <c r="F127" s="14">
        <f t="shared" ca="1" si="51"/>
        <v>16.830798673167294</v>
      </c>
      <c r="G127" s="14">
        <f t="shared" ca="1" si="51"/>
        <v>16.043413170833389</v>
      </c>
      <c r="H127" s="14">
        <f t="shared" ca="1" si="51"/>
        <v>15.362522447429637</v>
      </c>
      <c r="I127" s="14">
        <f t="shared" ca="1" si="51"/>
        <v>16.754210321597476</v>
      </c>
      <c r="J127" s="14">
        <f t="shared" ca="1" si="51"/>
        <v>17.969298338763544</v>
      </c>
      <c r="K127" s="14">
        <f t="shared" ca="1" si="51"/>
        <v>19.146197563430782</v>
      </c>
      <c r="L127" s="14">
        <f t="shared" ca="1" si="51"/>
        <v>20.286611995596878</v>
      </c>
    </row>
    <row r="128" spans="1:12" x14ac:dyDescent="0.35">
      <c r="A128" s="1" t="s">
        <v>197</v>
      </c>
      <c r="B128" s="1"/>
      <c r="C128" s="68">
        <v>0.5</v>
      </c>
      <c r="D128" s="68">
        <v>0.5</v>
      </c>
      <c r="E128" s="68">
        <v>0.5</v>
      </c>
      <c r="F128" s="68">
        <v>0.5</v>
      </c>
      <c r="G128" s="68">
        <v>0.5</v>
      </c>
      <c r="H128" s="68">
        <v>0.5</v>
      </c>
      <c r="I128" s="68">
        <v>0.5</v>
      </c>
      <c r="J128" s="68">
        <v>0.5</v>
      </c>
      <c r="K128" s="68">
        <v>0.5</v>
      </c>
      <c r="L128" s="68">
        <v>0.5</v>
      </c>
    </row>
    <row r="129" spans="1:14" x14ac:dyDescent="0.35">
      <c r="A129" s="1" t="s">
        <v>193</v>
      </c>
      <c r="B129" s="1"/>
      <c r="C129" s="14">
        <f ca="1">IF(C26="","",C$128*C$127)</f>
        <v>9.8858844933333465</v>
      </c>
      <c r="D129" s="14">
        <f t="shared" ref="D129:L129" ca="1" si="52">IF(D26="","",D$128*D$127)</f>
        <v>9.2421623911669659</v>
      </c>
      <c r="E129" s="14">
        <f t="shared" ca="1" si="52"/>
        <v>8.8220026852505988</v>
      </c>
      <c r="F129" s="14">
        <f t="shared" ca="1" si="52"/>
        <v>8.415399336583647</v>
      </c>
      <c r="G129" s="14">
        <f t="shared" ca="1" si="52"/>
        <v>8.0217065854166947</v>
      </c>
      <c r="H129" s="14">
        <f t="shared" ca="1" si="52"/>
        <v>7.6812612237148183</v>
      </c>
      <c r="I129" s="14">
        <f t="shared" ca="1" si="52"/>
        <v>8.3771051607987381</v>
      </c>
      <c r="J129" s="14">
        <f t="shared" ca="1" si="52"/>
        <v>8.9846491693817718</v>
      </c>
      <c r="K129" s="14">
        <f t="shared" ca="1" si="52"/>
        <v>9.573098781715391</v>
      </c>
      <c r="L129" s="14">
        <f t="shared" ca="1" si="52"/>
        <v>10.143305997798439</v>
      </c>
    </row>
    <row r="130" spans="1:14" x14ac:dyDescent="0.35">
      <c r="A130" s="1" t="s">
        <v>194</v>
      </c>
      <c r="B130" s="1"/>
      <c r="C130" s="14">
        <f ca="1">IF(C27="","",(1-C$128)*C$127)</f>
        <v>9.8858844933333465</v>
      </c>
      <c r="D130" s="14">
        <f t="shared" ref="D130:L130" ca="1" si="53">IF(D27="","",(1-D$128)*D$127)</f>
        <v>9.2421623911669659</v>
      </c>
      <c r="E130" s="14">
        <f t="shared" ca="1" si="53"/>
        <v>8.8220026852505988</v>
      </c>
      <c r="F130" s="14">
        <f t="shared" ca="1" si="53"/>
        <v>8.415399336583647</v>
      </c>
      <c r="G130" s="14">
        <f t="shared" ca="1" si="53"/>
        <v>8.0217065854166947</v>
      </c>
      <c r="H130" s="14">
        <f t="shared" ca="1" si="53"/>
        <v>7.6812612237148183</v>
      </c>
      <c r="I130" s="14">
        <f t="shared" ca="1" si="53"/>
        <v>8.3771051607987381</v>
      </c>
      <c r="J130" s="14">
        <f t="shared" ca="1" si="53"/>
        <v>8.9846491693817718</v>
      </c>
      <c r="K130" s="14">
        <f t="shared" ca="1" si="53"/>
        <v>9.573098781715391</v>
      </c>
      <c r="L130" s="14">
        <f t="shared" ca="1" si="53"/>
        <v>10.143305997798439</v>
      </c>
    </row>
    <row r="131" spans="1:14" x14ac:dyDescent="0.35">
      <c r="A131" s="32" t="s">
        <v>282</v>
      </c>
      <c r="B131" s="1"/>
      <c r="C131" s="87">
        <f ca="1">IF(C$26&lt;&gt;"",VLOOKUP(C129*1000000,'Powell-Elevation-Area'!$B$5:$H$689,7),"")</f>
        <v>3579</v>
      </c>
      <c r="D131" s="87">
        <f ca="1">IF(D$26&lt;&gt;"",VLOOKUP(D129*1000000,'Powell-Elevation-Area'!$B$5:$H$689,7),"")</f>
        <v>3571.5</v>
      </c>
      <c r="E131" s="87">
        <f ca="1">IF(E$26&lt;&gt;"",VLOOKUP(E129*1000000,'Powell-Elevation-Area'!$B$5:$H$689,7),"")</f>
        <v>3566</v>
      </c>
      <c r="F131" s="87">
        <f ca="1">IF(F$26&lt;&gt;"",VLOOKUP(F129*1000000,'Powell-Elevation-Area'!$B$5:$H$689,7),"")</f>
        <v>3561</v>
      </c>
      <c r="G131" s="87">
        <f ca="1">IF(G$26&lt;&gt;"",VLOOKUP(G129*1000000,'Powell-Elevation-Area'!$B$5:$H$689,7),"")</f>
        <v>3555.5</v>
      </c>
      <c r="H131" s="87">
        <f ca="1">IF(H$26&lt;&gt;"",VLOOKUP(H129*1000000,'Powell-Elevation-Area'!$B$5:$H$689,7),"")</f>
        <v>3551</v>
      </c>
      <c r="I131" s="87">
        <f ca="1">IF(I$26&lt;&gt;"",VLOOKUP(I129*1000000,'Powell-Elevation-Area'!$B$5:$H$689,7),"")</f>
        <v>3560.5</v>
      </c>
      <c r="J131" s="87">
        <f ca="1">IF(J$26&lt;&gt;"",VLOOKUP(J129*1000000,'Powell-Elevation-Area'!$B$5:$H$689,7),"")</f>
        <v>3568</v>
      </c>
      <c r="K131" s="87">
        <f ca="1">IF(K$26&lt;&gt;"",VLOOKUP(K129*1000000,'Powell-Elevation-Area'!$B$5:$H$689,7),"")</f>
        <v>3575.5</v>
      </c>
      <c r="L131" s="87">
        <f ca="1">IF(L$26&lt;&gt;"",VLOOKUP(L129*1000000,'Powell-Elevation-Area'!$B$5:$H$689,7),"")</f>
        <v>3582</v>
      </c>
    </row>
    <row r="132" spans="1:14" x14ac:dyDescent="0.35">
      <c r="A132" s="32" t="s">
        <v>283</v>
      </c>
      <c r="B132" s="1"/>
      <c r="C132" s="87">
        <f ca="1">IF(C$26&lt;&gt;"",VLOOKUP(C130*1000000,'Mead-Elevation-Area'!$B$5:$H$689,7),"")</f>
        <v>1078</v>
      </c>
      <c r="D132" s="87">
        <f ca="1">IF(D$26&lt;&gt;"",VLOOKUP(D130*1000000,'Mead-Elevation-Area'!$B$5:$H$689,7),"")</f>
        <v>1070.5</v>
      </c>
      <c r="E132" s="87">
        <f ca="1">IF(E$26&lt;&gt;"",VLOOKUP(E130*1000000,'Mead-Elevation-Area'!$B$5:$H$689,7),"")</f>
        <v>1065</v>
      </c>
      <c r="F132" s="87">
        <f ca="1">IF(F$26&lt;&gt;"",VLOOKUP(F130*1000000,'Mead-Elevation-Area'!$B$5:$H$689,7),"")</f>
        <v>1059.5</v>
      </c>
      <c r="G132" s="87">
        <f ca="1">IF(G$26&lt;&gt;"",VLOOKUP(G130*1000000,'Mead-Elevation-Area'!$B$5:$H$689,7),"")</f>
        <v>1054.5</v>
      </c>
      <c r="H132" s="87">
        <f ca="1">IF(H$26&lt;&gt;"",VLOOKUP(H130*1000000,'Mead-Elevation-Area'!$B$5:$H$689,7),"")</f>
        <v>1049.5</v>
      </c>
      <c r="I132" s="87">
        <f ca="1">IF(I$26&lt;&gt;"",VLOOKUP(I130*1000000,'Mead-Elevation-Area'!$B$5:$H$689,7),"")</f>
        <v>1059</v>
      </c>
      <c r="J132" s="87">
        <f ca="1">IF(J$26&lt;&gt;"",VLOOKUP(J130*1000000,'Mead-Elevation-Area'!$B$5:$H$689,7),"")</f>
        <v>1067</v>
      </c>
      <c r="K132" s="87">
        <f ca="1">IF(K$26&lt;&gt;"",VLOOKUP(K130*1000000,'Mead-Elevation-Area'!$B$5:$H$689,7),"")</f>
        <v>1074.5</v>
      </c>
      <c r="L132" s="87">
        <f ca="1">IF(L$26&lt;&gt;"",VLOOKUP(L130*1000000,'Mead-Elevation-Area'!$B$5:$H$689,7),"")</f>
        <v>1081.5</v>
      </c>
    </row>
    <row r="133" spans="1:14" x14ac:dyDescent="0.35">
      <c r="A133" s="1" t="s">
        <v>295</v>
      </c>
      <c r="B133" s="1"/>
    </row>
    <row r="134" spans="1:14" x14ac:dyDescent="0.35">
      <c r="A134" s="32" t="s">
        <v>296</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9.0914112704166534</v>
      </c>
      <c r="J134" s="14">
        <f ca="1">IF(J$26&lt;&gt;"",-J129+J37+J26-J61-VLOOKUP(J37*1000000,'Powell-Elevation-Area'!$B$5:$D$689,3)*$B$20/1000000,"")</f>
        <v>9.1556973419169658</v>
      </c>
      <c r="K134" s="14">
        <f ca="1">IF(K$26&lt;&gt;"",-K129+K37+K26-K61-VLOOKUP(K37*1000000,'Powell-Elevation-Area'!$B$5:$D$689,3)*$B$20/1000000,"")</f>
        <v>9.1539789456669531</v>
      </c>
      <c r="L134" s="14">
        <f ca="1">IF(L$26&lt;&gt;"",-L129+L37+L26-L61-VLOOKUP(L37*1000000,'Powell-Elevation-Area'!$B$5:$D$689,3)*$B$20/1000000,"")</f>
        <v>9.1514085494163773</v>
      </c>
      <c r="N134" t="s">
        <v>195</v>
      </c>
    </row>
    <row r="135" spans="1:14" x14ac:dyDescent="0.35">
      <c r="A135" s="32" t="s">
        <v>310</v>
      </c>
      <c r="B135" s="1"/>
      <c r="C135" s="87" t="str">
        <f ca="1">IF(C$26&lt;&gt;"",VLOOKUP(C131,PowellReleaseTemperature!$A$5:$B$11,2),"")</f>
        <v>&lt; 18</v>
      </c>
      <c r="D135" s="87" t="str">
        <f ca="1">IF(D$26&lt;&gt;"",VLOOKUP(D131,PowellReleaseTemperature!$A$5:$B$11,2),"")</f>
        <v>&lt; 18</v>
      </c>
      <c r="E135" s="87" t="str">
        <f ca="1">IF(E$26&lt;&gt;"",VLOOKUP(E131,PowellReleaseTemperature!$A$5:$B$11,2),"")</f>
        <v>&lt; 18</v>
      </c>
      <c r="F135" s="87" t="str">
        <f ca="1">IF(F$26&lt;&gt;"",VLOOKUP(F131,PowellReleaseTemperature!$A$5:$B$11,2),"")</f>
        <v>&lt; 18</v>
      </c>
      <c r="G135" s="87" t="str">
        <f ca="1">IF(G$26&lt;&gt;"",VLOOKUP(G131,PowellReleaseTemperature!$A$5:$B$11,2),"")</f>
        <v>&lt; 18</v>
      </c>
      <c r="H135" s="87" t="str">
        <f ca="1">IF(H$26&lt;&gt;"",VLOOKUP(H131,PowellReleaseTemperature!$A$5:$B$11,2),"")</f>
        <v>&lt; 18</v>
      </c>
      <c r="I135" s="87" t="str">
        <f ca="1">IF(I$26&lt;&gt;"",VLOOKUP(I131,PowellReleaseTemperature!$A$5:$B$11,2),"")</f>
        <v>&lt; 18</v>
      </c>
      <c r="J135" s="87" t="str">
        <f ca="1">IF(J$26&lt;&gt;"",VLOOKUP(J131,PowellReleaseTemperature!$A$5:$B$11,2),"")</f>
        <v>&lt; 18</v>
      </c>
      <c r="K135" s="87" t="str">
        <f ca="1">IF(K$26&lt;&gt;"",VLOOKUP(K131,PowellReleaseTemperature!$A$5:$B$11,2),"")</f>
        <v>&lt; 18</v>
      </c>
      <c r="L135" s="87" t="str">
        <f ca="1">IF(L$26&lt;&gt;"",VLOOKUP(L131,PowellReleaseTemperature!$A$5:$B$11,2),"")</f>
        <v>&lt; 18</v>
      </c>
      <c r="N135" t="s">
        <v>301</v>
      </c>
    </row>
    <row r="136" spans="1:14" s="89" customFormat="1" ht="62.5" customHeight="1" x14ac:dyDescent="0.35">
      <c r="A136" s="121" t="s">
        <v>311</v>
      </c>
      <c r="B136" s="88"/>
      <c r="C136" s="120" t="str">
        <f ca="1">IF(C$26&lt;&gt;"",VLOOKUP(C$131,PowellReleaseTemperature!$A$5:$E$11,5),"")</f>
        <v>May benefit or face invasion</v>
      </c>
      <c r="D136" s="120" t="str">
        <f ca="1">IF(D$26&lt;&gt;"",VLOOKUP(D$131,PowellReleaseTemperature!$A$5:$E$11,5),"")</f>
        <v>May benefit or face invasion</v>
      </c>
      <c r="E136" s="120" t="str">
        <f ca="1">IF(E$26&lt;&gt;"",VLOOKUP(E$131,PowellReleaseTemperature!$A$5:$E$11,5),"")</f>
        <v>May benefit or face invasion</v>
      </c>
      <c r="F136" s="120" t="str">
        <f ca="1">IF(F$26&lt;&gt;"",VLOOKUP(F$131,PowellReleaseTemperature!$A$5:$E$11,5),"")</f>
        <v>May benefit or face invasion</v>
      </c>
      <c r="G136" s="120" t="str">
        <f ca="1">IF(G$26&lt;&gt;"",VLOOKUP(G$131,PowellReleaseTemperature!$A$5:$E$11,5),"")</f>
        <v>May benefit or face invasion</v>
      </c>
      <c r="H136" s="120" t="str">
        <f ca="1">IF(H$26&lt;&gt;"",VLOOKUP(H$131,PowellReleaseTemperature!$A$5:$E$11,5),"")</f>
        <v>May benefit or face invasion</v>
      </c>
      <c r="I136" s="120" t="str">
        <f ca="1">IF(I$26&lt;&gt;"",VLOOKUP(I$131,PowellReleaseTemperature!$A$5:$E$11,5),"")</f>
        <v>May benefit or face invasion</v>
      </c>
      <c r="J136" s="120" t="str">
        <f ca="1">IF(J$26&lt;&gt;"",VLOOKUP(J$131,PowellReleaseTemperature!$A$5:$E$11,5),"")</f>
        <v>May benefit or face invasion</v>
      </c>
      <c r="K136" s="120" t="str">
        <f ca="1">IF(K$26&lt;&gt;"",VLOOKUP(K$131,PowellReleaseTemperature!$A$5:$E$11,5),"")</f>
        <v>May benefit or face invasion</v>
      </c>
      <c r="L136" s="120" t="str">
        <f ca="1">IF(L$26&lt;&gt;"",VLOOKUP(L$131,PowellReleaseTemperature!$A$5:$E$11,5),"")</f>
        <v>May benefit or face invasion</v>
      </c>
    </row>
    <row r="137" spans="1:14" s="89" customFormat="1" ht="32" customHeight="1" x14ac:dyDescent="0.35">
      <c r="A137" s="121" t="s">
        <v>317</v>
      </c>
      <c r="B137" s="88"/>
      <c r="C137" s="120" t="str">
        <f ca="1">IF(C$26&lt;&gt;"",VLOOKUP(C$131,PowellReleaseTemperature!$A$5:$F$11,6),"")</f>
        <v>Help grow + incubate</v>
      </c>
      <c r="D137" s="120" t="str">
        <f ca="1">IF(D$26&lt;&gt;"",VLOOKUP(D$131,PowellReleaseTemperature!$A$5:$F$11,6),"")</f>
        <v>Help grow + incubate</v>
      </c>
      <c r="E137" s="120" t="str">
        <f ca="1">IF(E$26&lt;&gt;"",VLOOKUP(E$131,PowellReleaseTemperature!$A$5:$F$11,6),"")</f>
        <v>Help grow + incubate</v>
      </c>
      <c r="F137" s="120" t="str">
        <f ca="1">IF(F$26&lt;&gt;"",VLOOKUP(F$131,PowellReleaseTemperature!$A$5:$F$11,6),"")</f>
        <v>Help grow + incubate</v>
      </c>
      <c r="G137" s="120" t="str">
        <f ca="1">IF(G$26&lt;&gt;"",VLOOKUP(G$131,PowellReleaseTemperature!$A$5:$F$11,6),"")</f>
        <v>Help grow + incubate</v>
      </c>
      <c r="H137" s="120" t="str">
        <f ca="1">IF(H$26&lt;&gt;"",VLOOKUP(H$131,PowellReleaseTemperature!$A$5:$F$11,6),"")</f>
        <v>Help grow + incubate</v>
      </c>
      <c r="I137" s="120" t="str">
        <f ca="1">IF(I$26&lt;&gt;"",VLOOKUP(I$131,PowellReleaseTemperature!$A$5:$F$11,6),"")</f>
        <v>Help grow + incubate</v>
      </c>
      <c r="J137" s="120" t="str">
        <f ca="1">IF(J$26&lt;&gt;"",VLOOKUP(J$131,PowellReleaseTemperature!$A$5:$F$11,6),"")</f>
        <v>Help grow + incubate</v>
      </c>
      <c r="K137" s="120" t="str">
        <f ca="1">IF(K$26&lt;&gt;"",VLOOKUP(K$131,PowellReleaseTemperature!$A$5:$F$11,6),"")</f>
        <v>Help grow + incubate</v>
      </c>
      <c r="L137" s="120" t="str">
        <f ca="1">IF(L$26&lt;&gt;"",VLOOKUP(L$131,PowellReleaseTemperature!$A$5:$F$11,6),"")</f>
        <v>Help grow + incubate</v>
      </c>
    </row>
    <row r="138" spans="1:14" x14ac:dyDescent="0.35">
      <c r="C138" s="29"/>
    </row>
    <row r="139" spans="1:14" x14ac:dyDescent="0.35">
      <c r="A139" s="1" t="s">
        <v>125</v>
      </c>
      <c r="C139" s="140">
        <f>IF(C$26&lt;&gt;"",0.2,"")</f>
        <v>0.2</v>
      </c>
      <c r="D139" s="140">
        <f t="shared" ref="D139:L139" si="54">IF(D$26&lt;&gt;"",0.2,"")</f>
        <v>0.2</v>
      </c>
      <c r="E139" s="140">
        <f t="shared" si="54"/>
        <v>0.2</v>
      </c>
      <c r="F139" s="140">
        <f t="shared" si="54"/>
        <v>0.2</v>
      </c>
      <c r="G139" s="140">
        <f t="shared" si="54"/>
        <v>0.2</v>
      </c>
      <c r="H139" s="140">
        <f t="shared" si="54"/>
        <v>0.2</v>
      </c>
      <c r="I139" s="140">
        <f t="shared" si="54"/>
        <v>0.2</v>
      </c>
      <c r="J139" s="140">
        <f t="shared" si="54"/>
        <v>0.2</v>
      </c>
      <c r="K139" s="140">
        <f t="shared" si="54"/>
        <v>0.2</v>
      </c>
      <c r="L139" s="140">
        <f t="shared" si="54"/>
        <v>0.2</v>
      </c>
    </row>
    <row r="140" spans="1:14" x14ac:dyDescent="0.35">
      <c r="A140" t="s">
        <v>126</v>
      </c>
      <c r="C140" s="14">
        <f t="shared" ref="C140:L140" ca="1" si="55">IF(C$26&lt;&gt;"",C115+C139,"")</f>
        <v>7.4590000000000005</v>
      </c>
      <c r="D140" s="14">
        <f t="shared" ca="1" si="55"/>
        <v>7.4590000000000005</v>
      </c>
      <c r="E140" s="14">
        <f t="shared" ca="1" si="55"/>
        <v>7.0870000000000006</v>
      </c>
      <c r="F140" s="14">
        <f t="shared" ca="1" si="55"/>
        <v>7.0870000000000006</v>
      </c>
      <c r="G140" s="14">
        <f t="shared" ca="1" si="55"/>
        <v>7.0870000000000006</v>
      </c>
      <c r="H140" s="14">
        <f t="shared" ca="1" si="55"/>
        <v>7.0054534574710212</v>
      </c>
      <c r="I140" s="14">
        <f t="shared" ca="1" si="55"/>
        <v>6.9790000000000001</v>
      </c>
      <c r="J140" s="14">
        <f t="shared" ca="1" si="55"/>
        <v>7.0870000000000006</v>
      </c>
      <c r="K140" s="14">
        <f t="shared" ca="1" si="55"/>
        <v>7.0870000000000006</v>
      </c>
      <c r="L140" s="14">
        <f t="shared" ca="1" si="55"/>
        <v>7.0870000000000006</v>
      </c>
    </row>
    <row r="142" spans="1:14" x14ac:dyDescent="0.35">
      <c r="D142" s="18"/>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C77:L77">
    <cfRule type="cellIs" dxfId="96" priority="36" operator="greaterThan">
      <formula>$C$76</formula>
    </cfRule>
  </conditionalFormatting>
  <conditionalFormatting sqref="C85:L85">
    <cfRule type="cellIs" dxfId="95" priority="35" operator="greaterThan">
      <formula>$C$84</formula>
    </cfRule>
  </conditionalFormatting>
  <conditionalFormatting sqref="C93">
    <cfRule type="cellIs" dxfId="94" priority="34" operator="greaterThan">
      <formula>$C$92</formula>
    </cfRule>
  </conditionalFormatting>
  <conditionalFormatting sqref="D93">
    <cfRule type="cellIs" dxfId="93" priority="33" operator="greaterThan">
      <formula>$D$92</formula>
    </cfRule>
  </conditionalFormatting>
  <conditionalFormatting sqref="E93">
    <cfRule type="cellIs" dxfId="92" priority="32" operator="greaterThan">
      <formula>$E$92</formula>
    </cfRule>
  </conditionalFormatting>
  <conditionalFormatting sqref="F93">
    <cfRule type="cellIs" dxfId="91" priority="31" operator="greaterThan">
      <formula>$F$92</formula>
    </cfRule>
  </conditionalFormatting>
  <conditionalFormatting sqref="G93">
    <cfRule type="cellIs" dxfId="90" priority="30" operator="greaterThan">
      <formula>$G$92</formula>
    </cfRule>
  </conditionalFormatting>
  <conditionalFormatting sqref="H93">
    <cfRule type="cellIs" dxfId="89" priority="29" operator="greaterThan">
      <formula>$H$92</formula>
    </cfRule>
  </conditionalFormatting>
  <conditionalFormatting sqref="I93">
    <cfRule type="cellIs" dxfId="88" priority="28" operator="greaterThan">
      <formula>$I$92</formula>
    </cfRule>
  </conditionalFormatting>
  <conditionalFormatting sqref="J93">
    <cfRule type="cellIs" dxfId="87" priority="27" operator="greaterThan">
      <formula>$J$92</formula>
    </cfRule>
  </conditionalFormatting>
  <conditionalFormatting sqref="K93">
    <cfRule type="cellIs" dxfId="86" priority="26" operator="greaterThan">
      <formula>$K$92</formula>
    </cfRule>
  </conditionalFormatting>
  <conditionalFormatting sqref="L93">
    <cfRule type="cellIs" dxfId="85" priority="25" operator="greaterThan">
      <formula>$L$92</formula>
    </cfRule>
  </conditionalFormatting>
  <conditionalFormatting sqref="C101">
    <cfRule type="cellIs" dxfId="84" priority="24" operator="greaterThan">
      <formula>$C$100</formula>
    </cfRule>
  </conditionalFormatting>
  <conditionalFormatting sqref="D101">
    <cfRule type="cellIs" dxfId="83" priority="23" operator="greaterThan">
      <formula>$D$100</formula>
    </cfRule>
  </conditionalFormatting>
  <conditionalFormatting sqref="E101">
    <cfRule type="cellIs" dxfId="82" priority="22" operator="greaterThan">
      <formula>$E$100</formula>
    </cfRule>
  </conditionalFormatting>
  <conditionalFormatting sqref="F101">
    <cfRule type="cellIs" dxfId="81" priority="21" operator="greaterThan">
      <formula>$F$100</formula>
    </cfRule>
  </conditionalFormatting>
  <conditionalFormatting sqref="G101">
    <cfRule type="cellIs" dxfId="80" priority="20" operator="greaterThan">
      <formula>$G$100</formula>
    </cfRule>
  </conditionalFormatting>
  <conditionalFormatting sqref="H101">
    <cfRule type="cellIs" dxfId="79" priority="19" operator="greaterThan">
      <formula>$H$100</formula>
    </cfRule>
  </conditionalFormatting>
  <conditionalFormatting sqref="I101">
    <cfRule type="cellIs" dxfId="78" priority="18" operator="greaterThan">
      <formula>$I$100</formula>
    </cfRule>
  </conditionalFormatting>
  <conditionalFormatting sqref="J101">
    <cfRule type="cellIs" dxfId="77" priority="17" operator="greaterThan">
      <formula>$J$100</formula>
    </cfRule>
  </conditionalFormatting>
  <conditionalFormatting sqref="K101">
    <cfRule type="cellIs" dxfId="76" priority="16" operator="greaterThan">
      <formula>$K$100</formula>
    </cfRule>
  </conditionalFormatting>
  <conditionalFormatting sqref="L101">
    <cfRule type="cellIs" dxfId="75" priority="15" operator="greaterThan">
      <formula>$L$100</formula>
    </cfRule>
  </conditionalFormatting>
  <conditionalFormatting sqref="C61:L61">
    <cfRule type="cellIs" dxfId="74" priority="3" operator="greaterThan">
      <formula>$C$60</formula>
    </cfRule>
  </conditionalFormatting>
  <conditionalFormatting sqref="C69:L69">
    <cfRule type="cellIs" dxfId="7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25C1294A-CF5A-4318-BAB7-F59DD90071C6}">
            <xm:f>PowellReleaseTemperature!$B$10</xm:f>
            <x14:dxf>
              <font>
                <color auto="1"/>
              </font>
              <fill>
                <patternFill>
                  <bgColor theme="4"/>
                </patternFill>
              </fill>
            </x14:dxf>
          </x14:cfRule>
          <x14:cfRule type="cellIs" priority="12" operator="equal" id="{2191574A-0448-44CA-B9DC-ACF8A5329CBA}">
            <xm:f>PowellReleaseTemperature!$B$9</xm:f>
            <x14:dxf>
              <font>
                <color theme="4" tint="-0.24994659260841701"/>
              </font>
              <fill>
                <patternFill>
                  <bgColor theme="8" tint="0.59996337778862885"/>
                </patternFill>
              </fill>
            </x14:dxf>
          </x14:cfRule>
          <x14:cfRule type="cellIs" priority="13" operator="equal" id="{D4E5ED0F-51C7-4BFC-9ED1-FCB0A74F6D78}">
            <xm:f>PowellReleaseTemperature!$B$8</xm:f>
            <x14:dxf>
              <font>
                <color rgb="FF9C0006"/>
              </font>
              <fill>
                <patternFill>
                  <bgColor rgb="FFFFC7CE"/>
                </patternFill>
              </fill>
            </x14:dxf>
          </x14:cfRule>
          <x14:cfRule type="cellIs" priority="14" operator="equal" id="{CC9A7311-B807-46ED-AD32-6035AE1A73A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B8480D3A-C4E5-4FD9-BF8D-B8D8978678D9}">
            <xm:f>PowellReleaseTemperature!$E$5</xm:f>
            <x14:dxf>
              <font>
                <color auto="1"/>
              </font>
              <fill>
                <patternFill>
                  <bgColor rgb="FFFF0000"/>
                </patternFill>
              </fill>
            </x14:dxf>
          </x14:cfRule>
          <x14:cfRule type="cellIs" priority="8" operator="equal" id="{54778BD9-DD77-4733-80D8-B710626BCB63}">
            <xm:f>PowellReleaseTemperature!$E$8</xm:f>
            <x14:dxf>
              <font>
                <color rgb="FF9C0006"/>
              </font>
              <fill>
                <patternFill>
                  <bgColor rgb="FFFFC7CE"/>
                </patternFill>
              </fill>
            </x14:dxf>
          </x14:cfRule>
          <x14:cfRule type="cellIs" priority="9" operator="equal" id="{2507592C-E6C9-4CE8-BE51-80054EE1866F}">
            <xm:f>PowellReleaseTemperature!$E$9</xm:f>
            <x14:dxf>
              <font>
                <color theme="4" tint="-0.24994659260841701"/>
              </font>
              <fill>
                <patternFill>
                  <bgColor theme="8" tint="0.59996337778862885"/>
                </patternFill>
              </fill>
            </x14:dxf>
          </x14:cfRule>
          <x14:cfRule type="cellIs" priority="10" operator="equal" id="{7A208BAE-4749-4C79-BF99-4B984821357B}">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5234A522-BB5F-4D98-B860-B00DAD49BFDD}">
            <xm:f>PowellReleaseTemperature!$F$10</xm:f>
            <x14:dxf>
              <font>
                <color auto="1"/>
              </font>
              <fill>
                <patternFill>
                  <bgColor theme="4"/>
                </patternFill>
              </fill>
            </x14:dxf>
          </x14:cfRule>
          <x14:cfRule type="cellIs" priority="5" operator="equal" id="{7CCFB6FD-321C-414F-AA5C-2EA8D27ED11C}">
            <xm:f>PowellReleaseTemperature!$F$9</xm:f>
            <x14:dxf>
              <font>
                <color theme="4" tint="-0.24994659260841701"/>
              </font>
              <fill>
                <patternFill>
                  <bgColor theme="8" tint="0.59996337778862885"/>
                </patternFill>
              </fill>
            </x14:dxf>
          </x14:cfRule>
          <x14:cfRule type="cellIs" priority="6" operator="equal" id="{A78864F4-1B22-44D5-A00D-91E078A209BD}">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4515D44D-C5CF-423C-B5B2-BEA374F72A61}">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ReadMe-Directions</vt:lpstr>
      <vt:lpstr>Versions</vt:lpstr>
      <vt:lpstr>Master</vt:lpstr>
      <vt:lpstr>Master-Today</vt:lpstr>
      <vt:lpstr>8.1-Trade</vt:lpstr>
      <vt:lpstr>8.1-LawOfRiver</vt:lpstr>
      <vt:lpstr>8.1-Plots</vt:lpstr>
      <vt:lpstr>MillenniumRecover-LawOfRiver</vt:lpstr>
      <vt:lpstr>MillenniumRecover-Trade</vt:lpstr>
      <vt:lpstr>Millennium-Plots</vt:lpstr>
      <vt:lpstr>MillenniumRecover-Delta</vt:lpstr>
      <vt:lpstr>LowerBasinCuts</vt:lpstr>
      <vt:lpstr>HydrologicScenarios</vt:lpstr>
      <vt:lpstr>PowellReleaseTemperature</vt:lpstr>
      <vt:lpstr>Powell-Elevation-Area</vt:lpstr>
      <vt:lpstr>Mead-Elevation-Area</vt:lpstr>
      <vt:lpstr>11.0-LawOfRiverShort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2021-07-29T21:09:04Z</dcterms:modified>
</cp:coreProperties>
</file>