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Futures\InteractiveWaterBudget\OldVersions\"/>
    </mc:Choice>
  </mc:AlternateContent>
  <xr:revisionPtr revIDLastSave="0" documentId="13_ncr:1_{621E79B7-83B6-4453-B64E-13BB95F9010E}" xr6:coauthVersionLast="36" xr6:coauthVersionMax="36" xr10:uidLastSave="{00000000-0000-0000-0000-000000000000}"/>
  <bookViews>
    <workbookView xWindow="0" yWindow="0" windowWidth="19200" windowHeight="6640" activeTab="1" xr2:uid="{5373AB19-D84C-490D-97DC-C516D358024A}"/>
  </bookViews>
  <sheets>
    <sheet name="ReadMe-Directions" sheetId="6" r:id="rId1"/>
    <sheet name="Versions" sheetId="31" r:id="rId2"/>
    <sheet name="Master" sheetId="24" r:id="rId3"/>
    <sheet name="11.0-Trade" sheetId="27" r:id="rId4"/>
    <sheet name="11.0-TradeReserve" sheetId="30" r:id="rId5"/>
    <sheet name="11.0-LawOfRiver" sheetId="26" r:id="rId6"/>
    <sheet name="11.0-Plots" sheetId="19" r:id="rId7"/>
    <sheet name="MillenniumRecover-Trade" sheetId="29" r:id="rId8"/>
    <sheet name="MillenniumRecover-LawOfRiver" sheetId="25" r:id="rId9"/>
    <sheet name="Millennium-Plots" sheetId="28" r:id="rId10"/>
    <sheet name="MillenniumRecover-Delta" sheetId="21" r:id="rId11"/>
    <sheet name="HydrologicScenarios" sheetId="7" r:id="rId12"/>
    <sheet name="Powell-Elevation-Area" sheetId="2" r:id="rId13"/>
    <sheet name="Mead-Elevation-Area" sheetId="10" r:id="rId14"/>
    <sheet name="11.0-LawOfRiverShort" sheetId="16"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31" l="1"/>
  <c r="D77" i="26" l="1"/>
  <c r="G77" i="30"/>
  <c r="C46" i="30"/>
  <c r="C47" i="30"/>
  <c r="C48" i="30"/>
  <c r="C50" i="30"/>
  <c r="B47" i="30"/>
  <c r="B48" i="30"/>
  <c r="L93" i="30"/>
  <c r="K93" i="30"/>
  <c r="J93" i="30"/>
  <c r="I93" i="30"/>
  <c r="H93" i="30"/>
  <c r="L92" i="30"/>
  <c r="K92" i="30"/>
  <c r="J92" i="30"/>
  <c r="I92" i="30"/>
  <c r="H92" i="30"/>
  <c r="C92" i="30"/>
  <c r="L90" i="30"/>
  <c r="K90" i="30"/>
  <c r="J90" i="30"/>
  <c r="I90" i="30"/>
  <c r="H90" i="30"/>
  <c r="L89" i="30"/>
  <c r="K89" i="30"/>
  <c r="J89" i="30"/>
  <c r="I89" i="30"/>
  <c r="H89" i="30"/>
  <c r="L88" i="30"/>
  <c r="H88" i="30"/>
  <c r="A88" i="30"/>
  <c r="K88" i="30" s="1"/>
  <c r="K87" i="30"/>
  <c r="H87" i="30"/>
  <c r="A87" i="30"/>
  <c r="L87" i="30" s="1"/>
  <c r="K86" i="30"/>
  <c r="A86" i="30"/>
  <c r="J86" i="30" s="1"/>
  <c r="S85" i="30"/>
  <c r="P85" i="30" s="1"/>
  <c r="K85" i="30"/>
  <c r="H85" i="30"/>
  <c r="A85" i="30"/>
  <c r="L85" i="30" s="1"/>
  <c r="S84" i="30"/>
  <c r="P84" i="30"/>
  <c r="L84" i="30"/>
  <c r="H84" i="30"/>
  <c r="A84" i="30"/>
  <c r="K84" i="30" s="1"/>
  <c r="S83" i="30"/>
  <c r="P83" i="30"/>
  <c r="A83" i="30"/>
  <c r="I83" i="30" s="1"/>
  <c r="S82" i="30"/>
  <c r="P82" i="30" s="1"/>
  <c r="S81" i="30"/>
  <c r="P81" i="30" s="1"/>
  <c r="A81" i="30"/>
  <c r="S80" i="30"/>
  <c r="P80" i="30" s="1"/>
  <c r="A80" i="30"/>
  <c r="S79" i="30"/>
  <c r="P79" i="30"/>
  <c r="A79" i="30"/>
  <c r="S78" i="30"/>
  <c r="P78" i="30"/>
  <c r="A78" i="30"/>
  <c r="A77" i="30"/>
  <c r="A76" i="30"/>
  <c r="A74" i="30"/>
  <c r="I74" i="30" s="1"/>
  <c r="A73" i="30"/>
  <c r="K73" i="30" s="1"/>
  <c r="K80" i="30" s="1"/>
  <c r="K72" i="30"/>
  <c r="H72" i="30"/>
  <c r="A72" i="30"/>
  <c r="L72" i="30" s="1"/>
  <c r="K71" i="30"/>
  <c r="A71" i="30"/>
  <c r="J71" i="30" s="1"/>
  <c r="L70" i="30"/>
  <c r="K70" i="30"/>
  <c r="I70" i="30"/>
  <c r="H70" i="30"/>
  <c r="A70" i="30"/>
  <c r="J70" i="30" s="1"/>
  <c r="L69" i="30"/>
  <c r="K69" i="30"/>
  <c r="I69" i="30"/>
  <c r="H69" i="30"/>
  <c r="A69" i="30"/>
  <c r="J69" i="30" s="1"/>
  <c r="L66" i="30"/>
  <c r="K66" i="30"/>
  <c r="J66" i="30"/>
  <c r="I66" i="30"/>
  <c r="H66" i="30"/>
  <c r="M65" i="30"/>
  <c r="A65" i="30"/>
  <c r="M64" i="30"/>
  <c r="A64" i="30"/>
  <c r="M63" i="30"/>
  <c r="A63" i="30"/>
  <c r="M62" i="30"/>
  <c r="A62" i="30"/>
  <c r="E61" i="30"/>
  <c r="D61" i="30"/>
  <c r="M61" i="30" s="1"/>
  <c r="C61" i="30"/>
  <c r="C66" i="30" s="1"/>
  <c r="A61" i="30"/>
  <c r="M60" i="30"/>
  <c r="A60" i="30"/>
  <c r="L58" i="30"/>
  <c r="K58" i="30"/>
  <c r="I58" i="30"/>
  <c r="H58" i="30"/>
  <c r="C58" i="30"/>
  <c r="A58" i="30"/>
  <c r="J58" i="30" s="1"/>
  <c r="A57" i="30"/>
  <c r="L57" i="30" s="1"/>
  <c r="L56" i="30"/>
  <c r="K56" i="30"/>
  <c r="I56" i="30"/>
  <c r="C56" i="30"/>
  <c r="A56" i="30"/>
  <c r="J56" i="30" s="1"/>
  <c r="L55" i="30"/>
  <c r="J55" i="30"/>
  <c r="H55" i="30"/>
  <c r="A55" i="30"/>
  <c r="K55" i="30" s="1"/>
  <c r="A54" i="30"/>
  <c r="L53" i="30"/>
  <c r="K53" i="30"/>
  <c r="I53" i="30"/>
  <c r="H53" i="30"/>
  <c r="C53" i="30"/>
  <c r="A53" i="30"/>
  <c r="J53" i="30" s="1"/>
  <c r="L51" i="30"/>
  <c r="I51" i="30"/>
  <c r="H51" i="30"/>
  <c r="A51" i="30"/>
  <c r="K51" i="30" s="1"/>
  <c r="K50" i="30"/>
  <c r="I50" i="30"/>
  <c r="A50" i="30"/>
  <c r="J50" i="30" s="1"/>
  <c r="A49" i="30"/>
  <c r="L49" i="30" s="1"/>
  <c r="A48" i="30"/>
  <c r="A47" i="30"/>
  <c r="K47" i="30" s="1"/>
  <c r="L46" i="30"/>
  <c r="K46" i="30"/>
  <c r="J46" i="30"/>
  <c r="I46" i="30"/>
  <c r="H46" i="30"/>
  <c r="A46" i="30"/>
  <c r="L44" i="30"/>
  <c r="K44" i="30"/>
  <c r="J44" i="30"/>
  <c r="I44" i="30"/>
  <c r="H44" i="30"/>
  <c r="L43" i="30"/>
  <c r="J43" i="30"/>
  <c r="C43" i="30"/>
  <c r="A43" i="30"/>
  <c r="A42" i="30"/>
  <c r="J42" i="30" s="1"/>
  <c r="L41" i="30"/>
  <c r="H41" i="30"/>
  <c r="A41" i="30"/>
  <c r="L40" i="30"/>
  <c r="K40" i="30"/>
  <c r="I40" i="30"/>
  <c r="H40" i="30"/>
  <c r="A40" i="30"/>
  <c r="J40" i="30" s="1"/>
  <c r="K39" i="30"/>
  <c r="A39" i="30"/>
  <c r="K38" i="30"/>
  <c r="J38" i="30"/>
  <c r="A38" i="30"/>
  <c r="L37" i="30"/>
  <c r="K37" i="30"/>
  <c r="J37" i="30"/>
  <c r="I37" i="30"/>
  <c r="H37" i="30"/>
  <c r="H36" i="30"/>
  <c r="C36" i="30"/>
  <c r="B36" i="30"/>
  <c r="L35" i="30"/>
  <c r="K35" i="30"/>
  <c r="J35" i="30"/>
  <c r="I35" i="30"/>
  <c r="H35" i="30"/>
  <c r="C35" i="30"/>
  <c r="L33" i="30"/>
  <c r="K33" i="30"/>
  <c r="I33" i="30"/>
  <c r="H33" i="30"/>
  <c r="C33" i="30"/>
  <c r="A33" i="30"/>
  <c r="J33" i="30" s="1"/>
  <c r="A32" i="30"/>
  <c r="K32" i="30" s="1"/>
  <c r="I31" i="30"/>
  <c r="A31" i="30"/>
  <c r="K31" i="30" s="1"/>
  <c r="L30" i="30"/>
  <c r="I30" i="30"/>
  <c r="H30" i="30"/>
  <c r="A30" i="30"/>
  <c r="K30" i="30" s="1"/>
  <c r="K29" i="30"/>
  <c r="A29" i="30"/>
  <c r="J29" i="30" s="1"/>
  <c r="L28" i="30"/>
  <c r="K28" i="30"/>
  <c r="H28" i="30"/>
  <c r="C28" i="30"/>
  <c r="B27" i="30"/>
  <c r="A28" i="30"/>
  <c r="J28" i="30" s="1"/>
  <c r="L27" i="30"/>
  <c r="K27" i="30"/>
  <c r="J27" i="30"/>
  <c r="I27" i="30"/>
  <c r="H27" i="30"/>
  <c r="C27" i="30"/>
  <c r="L26" i="30"/>
  <c r="L36" i="30" s="1"/>
  <c r="K26" i="30"/>
  <c r="K36" i="30" s="1"/>
  <c r="J26" i="30"/>
  <c r="J36" i="30" s="1"/>
  <c r="I26" i="30"/>
  <c r="I36" i="30" s="1"/>
  <c r="H26" i="30"/>
  <c r="D26" i="30"/>
  <c r="C26" i="30"/>
  <c r="D25" i="30"/>
  <c r="L73" i="30" l="1"/>
  <c r="H32" i="30"/>
  <c r="H57" i="30"/>
  <c r="I57" i="30"/>
  <c r="L50" i="30"/>
  <c r="H73" i="30"/>
  <c r="H80" i="30" s="1"/>
  <c r="I54" i="30"/>
  <c r="L54" i="30"/>
  <c r="K54" i="30"/>
  <c r="D88" i="30"/>
  <c r="D58" i="30"/>
  <c r="D53" i="30"/>
  <c r="D92" i="30"/>
  <c r="E25" i="30"/>
  <c r="D56" i="30"/>
  <c r="D74" i="30"/>
  <c r="D66" i="30"/>
  <c r="J32" i="30"/>
  <c r="D43" i="30"/>
  <c r="D49" i="30"/>
  <c r="H29" i="30"/>
  <c r="J31" i="30"/>
  <c r="I39" i="30"/>
  <c r="L39" i="30"/>
  <c r="K41" i="30"/>
  <c r="I47" i="30"/>
  <c r="D57" i="30"/>
  <c r="I29" i="30"/>
  <c r="L38" i="30"/>
  <c r="H38" i="30"/>
  <c r="J49" i="30"/>
  <c r="J54" i="30"/>
  <c r="C37" i="30"/>
  <c r="L29" i="30"/>
  <c r="I32" i="30"/>
  <c r="L32" i="30"/>
  <c r="H48" i="30"/>
  <c r="L48" i="30"/>
  <c r="K48" i="30"/>
  <c r="J48" i="30"/>
  <c r="D51" i="30"/>
  <c r="L31" i="30"/>
  <c r="H31" i="30"/>
  <c r="C32" i="30"/>
  <c r="D33" i="30"/>
  <c r="I42" i="30"/>
  <c r="L47" i="30"/>
  <c r="J47" i="30"/>
  <c r="H47" i="30"/>
  <c r="C31" i="30"/>
  <c r="H39" i="30"/>
  <c r="I41" i="30"/>
  <c r="C29" i="30"/>
  <c r="I38" i="30"/>
  <c r="J39" i="30"/>
  <c r="J41" i="30"/>
  <c r="K43" i="30"/>
  <c r="I43" i="30"/>
  <c r="H43" i="30"/>
  <c r="I48" i="30"/>
  <c r="K49" i="30"/>
  <c r="C49" i="30"/>
  <c r="I49" i="30"/>
  <c r="H49" i="30"/>
  <c r="H42" i="30"/>
  <c r="L42" i="30"/>
  <c r="K42" i="30"/>
  <c r="C42" i="30"/>
  <c r="H54" i="30"/>
  <c r="J74" i="30"/>
  <c r="J83" i="30"/>
  <c r="L71" i="30"/>
  <c r="I72" i="30"/>
  <c r="C74" i="30"/>
  <c r="K74" i="30"/>
  <c r="K83" i="30"/>
  <c r="I85" i="30"/>
  <c r="L86" i="30"/>
  <c r="I87" i="30"/>
  <c r="J72" i="30"/>
  <c r="L74" i="30"/>
  <c r="L83" i="30"/>
  <c r="J85" i="30"/>
  <c r="J87" i="30"/>
  <c r="I28" i="30"/>
  <c r="J30" i="30"/>
  <c r="J51" i="30"/>
  <c r="J57" i="30"/>
  <c r="C30" i="30"/>
  <c r="C51" i="30"/>
  <c r="I55" i="30"/>
  <c r="C57" i="30"/>
  <c r="K57" i="30"/>
  <c r="I73" i="30"/>
  <c r="I84" i="30"/>
  <c r="I88" i="30"/>
  <c r="H50" i="30"/>
  <c r="H56" i="30"/>
  <c r="E57" i="30"/>
  <c r="H71" i="30"/>
  <c r="J73" i="30"/>
  <c r="J84" i="30"/>
  <c r="H86" i="30"/>
  <c r="J88" i="30"/>
  <c r="I71" i="30"/>
  <c r="H74" i="30"/>
  <c r="H83" i="30"/>
  <c r="I86" i="30"/>
  <c r="C88" i="30"/>
  <c r="P78" i="24"/>
  <c r="C73" i="30" l="1"/>
  <c r="C87" i="30" s="1"/>
  <c r="D32" i="30" s="1"/>
  <c r="C38" i="30"/>
  <c r="C40" i="30"/>
  <c r="C72" i="30"/>
  <c r="C86" i="30" s="1"/>
  <c r="D31" i="30" s="1"/>
  <c r="C44" i="30"/>
  <c r="C93" i="30"/>
  <c r="C41" i="30"/>
  <c r="C39" i="30"/>
  <c r="E49" i="30"/>
  <c r="E43" i="30"/>
  <c r="E26" i="30"/>
  <c r="E92" i="30"/>
  <c r="E51" i="30"/>
  <c r="E74" i="30"/>
  <c r="F25" i="30"/>
  <c r="E66" i="30"/>
  <c r="E88" i="30"/>
  <c r="E58" i="30"/>
  <c r="E33" i="30"/>
  <c r="B55" i="24"/>
  <c r="B48" i="24"/>
  <c r="B55" i="30" l="1"/>
  <c r="C55" i="30"/>
  <c r="C54" i="30" s="1"/>
  <c r="E56" i="30"/>
  <c r="E53" i="30"/>
  <c r="F92" i="30"/>
  <c r="F33" i="30"/>
  <c r="F74" i="30"/>
  <c r="F58" i="30"/>
  <c r="F66" i="30"/>
  <c r="F88" i="30"/>
  <c r="F26" i="30"/>
  <c r="F53" i="30" s="1"/>
  <c r="F51" i="30"/>
  <c r="F57" i="30"/>
  <c r="F49" i="30"/>
  <c r="F43" i="30"/>
  <c r="G25" i="30"/>
  <c r="K60" i="29"/>
  <c r="K61" i="29" s="1"/>
  <c r="L60" i="29"/>
  <c r="L61" i="29" s="1"/>
  <c r="J60" i="29"/>
  <c r="J61" i="29" s="1"/>
  <c r="I61" i="29"/>
  <c r="I66" i="29"/>
  <c r="I92" i="29"/>
  <c r="C92" i="29"/>
  <c r="A88" i="29"/>
  <c r="C88" i="29" s="1"/>
  <c r="A87" i="29"/>
  <c r="C87" i="29" s="1"/>
  <c r="A86" i="29"/>
  <c r="S85" i="29"/>
  <c r="P85" i="29"/>
  <c r="A85" i="29"/>
  <c r="S84" i="29"/>
  <c r="P84" i="29"/>
  <c r="A84" i="29"/>
  <c r="S83" i="29"/>
  <c r="P83" i="29" s="1"/>
  <c r="A83" i="29"/>
  <c r="S82" i="29"/>
  <c r="P82" i="29" s="1"/>
  <c r="S81" i="29"/>
  <c r="P81" i="29" s="1"/>
  <c r="A81" i="29"/>
  <c r="S80" i="29"/>
  <c r="P80" i="29" s="1"/>
  <c r="A80" i="29"/>
  <c r="S79" i="29"/>
  <c r="P79" i="29"/>
  <c r="A79" i="29"/>
  <c r="S78" i="29"/>
  <c r="P78" i="29"/>
  <c r="A78" i="29"/>
  <c r="A77" i="29"/>
  <c r="A76" i="29"/>
  <c r="I74" i="29"/>
  <c r="C74" i="29"/>
  <c r="A74" i="29"/>
  <c r="I73" i="29"/>
  <c r="C73" i="29"/>
  <c r="A73" i="29"/>
  <c r="A72" i="29"/>
  <c r="A71" i="29"/>
  <c r="A70" i="29"/>
  <c r="A69" i="29"/>
  <c r="C66" i="29"/>
  <c r="M65" i="29"/>
  <c r="A65" i="29"/>
  <c r="M64" i="29"/>
  <c r="A64" i="29"/>
  <c r="M63" i="29"/>
  <c r="A63" i="29"/>
  <c r="M62" i="29"/>
  <c r="A62" i="29"/>
  <c r="A61" i="29"/>
  <c r="A60" i="29"/>
  <c r="A58" i="29"/>
  <c r="K57" i="29"/>
  <c r="I57" i="29"/>
  <c r="C57" i="29"/>
  <c r="A57" i="29"/>
  <c r="A56" i="29"/>
  <c r="A55" i="29"/>
  <c r="A54" i="29"/>
  <c r="A53" i="29"/>
  <c r="I51" i="29"/>
  <c r="C51" i="29"/>
  <c r="A51" i="29"/>
  <c r="D50" i="29"/>
  <c r="A50" i="29"/>
  <c r="C50" i="29" s="1"/>
  <c r="I49" i="29"/>
  <c r="C49" i="29"/>
  <c r="A49" i="29"/>
  <c r="A48" i="29"/>
  <c r="B47" i="29"/>
  <c r="A47" i="29"/>
  <c r="A46" i="29"/>
  <c r="I43" i="29"/>
  <c r="C43" i="29"/>
  <c r="A43" i="29"/>
  <c r="J42" i="29"/>
  <c r="A42" i="29"/>
  <c r="I42" i="29" s="1"/>
  <c r="A41" i="29"/>
  <c r="A40" i="29"/>
  <c r="A39" i="29"/>
  <c r="A38" i="29"/>
  <c r="C37" i="29"/>
  <c r="C39" i="29" s="1"/>
  <c r="C36" i="29"/>
  <c r="B36" i="29"/>
  <c r="C35" i="29"/>
  <c r="I33" i="29"/>
  <c r="A33" i="29"/>
  <c r="C33" i="29" s="1"/>
  <c r="I32" i="29"/>
  <c r="C32" i="29"/>
  <c r="A32" i="29"/>
  <c r="A31" i="29"/>
  <c r="C30" i="29"/>
  <c r="A30" i="29"/>
  <c r="B29" i="29"/>
  <c r="C29" i="29" s="1"/>
  <c r="A29" i="29"/>
  <c r="B28" i="29"/>
  <c r="B27" i="29" s="1"/>
  <c r="A28" i="29"/>
  <c r="C27" i="29"/>
  <c r="K26" i="29"/>
  <c r="I26" i="29"/>
  <c r="C26" i="29"/>
  <c r="K25" i="29"/>
  <c r="J25" i="29"/>
  <c r="D25" i="29"/>
  <c r="F56" i="30" l="1"/>
  <c r="G51" i="30"/>
  <c r="G74" i="30"/>
  <c r="G66" i="30"/>
  <c r="G58" i="30"/>
  <c r="G53" i="30"/>
  <c r="G49" i="30"/>
  <c r="G88" i="30"/>
  <c r="G92" i="30"/>
  <c r="G33" i="30"/>
  <c r="G26" i="30"/>
  <c r="G56" i="30"/>
  <c r="G43" i="30"/>
  <c r="G57" i="30"/>
  <c r="C71" i="30"/>
  <c r="M60" i="29"/>
  <c r="M61" i="29"/>
  <c r="K50" i="29"/>
  <c r="K88" i="29"/>
  <c r="K74" i="29"/>
  <c r="K49" i="29"/>
  <c r="K43" i="29"/>
  <c r="K92" i="29"/>
  <c r="K87" i="29"/>
  <c r="K66" i="29"/>
  <c r="K33" i="29"/>
  <c r="L25" i="29"/>
  <c r="K73" i="29"/>
  <c r="K80" i="29" s="1"/>
  <c r="C44" i="29"/>
  <c r="C55" i="29" s="1"/>
  <c r="C54" i="29" s="1"/>
  <c r="C77" i="29"/>
  <c r="C93" i="29" s="1"/>
  <c r="C40" i="29"/>
  <c r="K51" i="29"/>
  <c r="J33" i="29"/>
  <c r="C42" i="29"/>
  <c r="K56" i="29"/>
  <c r="K32" i="29"/>
  <c r="D88" i="29"/>
  <c r="D58" i="29"/>
  <c r="D74" i="29"/>
  <c r="D92" i="29"/>
  <c r="D49" i="29"/>
  <c r="D43" i="29"/>
  <c r="D26" i="29"/>
  <c r="E25" i="29"/>
  <c r="D87" i="29"/>
  <c r="D66" i="29"/>
  <c r="D73" i="29"/>
  <c r="D57" i="29"/>
  <c r="D51" i="29"/>
  <c r="D42" i="29"/>
  <c r="D56" i="29"/>
  <c r="C38" i="29"/>
  <c r="C31" i="29"/>
  <c r="D33" i="29"/>
  <c r="K42" i="29"/>
  <c r="J32" i="29"/>
  <c r="J50" i="29"/>
  <c r="J88" i="29"/>
  <c r="J74" i="29"/>
  <c r="J92" i="29"/>
  <c r="J49" i="29"/>
  <c r="J43" i="29"/>
  <c r="J26" i="29"/>
  <c r="J66" i="29"/>
  <c r="J87" i="29"/>
  <c r="J73" i="29"/>
  <c r="J51" i="29"/>
  <c r="C28" i="29"/>
  <c r="D32" i="29"/>
  <c r="J57" i="29"/>
  <c r="I87" i="29"/>
  <c r="I53" i="29"/>
  <c r="I58" i="29"/>
  <c r="I88" i="29"/>
  <c r="J53" i="29"/>
  <c r="J58" i="29"/>
  <c r="I50" i="29"/>
  <c r="C53" i="29"/>
  <c r="K53" i="29"/>
  <c r="I56" i="29"/>
  <c r="C58" i="29"/>
  <c r="K58" i="29"/>
  <c r="J56" i="29"/>
  <c r="C56" i="29"/>
  <c r="D61" i="27"/>
  <c r="E61" i="27"/>
  <c r="C61" i="27"/>
  <c r="C66" i="27" s="1"/>
  <c r="L93" i="27"/>
  <c r="K93" i="27"/>
  <c r="J93" i="27"/>
  <c r="I93" i="27"/>
  <c r="H93" i="27"/>
  <c r="L92" i="27"/>
  <c r="K92" i="27"/>
  <c r="J92" i="27"/>
  <c r="I92" i="27"/>
  <c r="H92" i="27"/>
  <c r="C92" i="27"/>
  <c r="L90" i="27"/>
  <c r="K90" i="27"/>
  <c r="J90" i="27"/>
  <c r="I90" i="27"/>
  <c r="H90" i="27"/>
  <c r="L89" i="27"/>
  <c r="K89" i="27"/>
  <c r="J89" i="27"/>
  <c r="I89" i="27"/>
  <c r="H89" i="27"/>
  <c r="A88" i="27"/>
  <c r="L88" i="27" s="1"/>
  <c r="H87" i="27"/>
  <c r="A87" i="27"/>
  <c r="L87" i="27" s="1"/>
  <c r="K86" i="27"/>
  <c r="I86" i="27"/>
  <c r="H86" i="27"/>
  <c r="A86" i="27"/>
  <c r="J86" i="27" s="1"/>
  <c r="S85" i="27"/>
  <c r="P85" i="27" s="1"/>
  <c r="H85" i="27"/>
  <c r="A85" i="27"/>
  <c r="L85" i="27" s="1"/>
  <c r="S84" i="27"/>
  <c r="P84" i="27"/>
  <c r="A84" i="27"/>
  <c r="L84" i="27" s="1"/>
  <c r="S83" i="27"/>
  <c r="P83" i="27"/>
  <c r="A83" i="27"/>
  <c r="I83" i="27" s="1"/>
  <c r="S82" i="27"/>
  <c r="P82" i="27"/>
  <c r="S81" i="27"/>
  <c r="P81" i="27" s="1"/>
  <c r="A81" i="27"/>
  <c r="S80" i="27"/>
  <c r="P80" i="27" s="1"/>
  <c r="A80" i="27"/>
  <c r="S79" i="27"/>
  <c r="P79" i="27"/>
  <c r="A79" i="27"/>
  <c r="S78" i="27"/>
  <c r="P78" i="27"/>
  <c r="A78" i="27"/>
  <c r="A77" i="27"/>
  <c r="A76" i="27"/>
  <c r="L74" i="27"/>
  <c r="K74" i="27"/>
  <c r="I74" i="27"/>
  <c r="C74" i="27"/>
  <c r="A74" i="27"/>
  <c r="J74" i="27" s="1"/>
  <c r="A73" i="27"/>
  <c r="I73" i="27" s="1"/>
  <c r="A72" i="27"/>
  <c r="L72" i="27" s="1"/>
  <c r="H71" i="27"/>
  <c r="A71" i="27"/>
  <c r="L71" i="27" s="1"/>
  <c r="K70" i="27"/>
  <c r="I70" i="27"/>
  <c r="H70" i="27"/>
  <c r="A70" i="27"/>
  <c r="J70" i="27" s="1"/>
  <c r="L69" i="27"/>
  <c r="K69" i="27"/>
  <c r="H69" i="27"/>
  <c r="A69" i="27"/>
  <c r="J69" i="27" s="1"/>
  <c r="L66" i="27"/>
  <c r="K66" i="27"/>
  <c r="J66" i="27"/>
  <c r="I66" i="27"/>
  <c r="H66" i="27"/>
  <c r="M65" i="27"/>
  <c r="A65" i="27"/>
  <c r="M64" i="27"/>
  <c r="A64" i="27"/>
  <c r="M63" i="27"/>
  <c r="A63" i="27"/>
  <c r="M62" i="27"/>
  <c r="A62" i="27"/>
  <c r="A61" i="27"/>
  <c r="M60" i="27"/>
  <c r="A60" i="27"/>
  <c r="L58" i="27"/>
  <c r="I58" i="27"/>
  <c r="D58" i="27"/>
  <c r="A58" i="27"/>
  <c r="K58" i="27" s="1"/>
  <c r="A57" i="27"/>
  <c r="I57" i="27" s="1"/>
  <c r="A56" i="27"/>
  <c r="L56" i="27" s="1"/>
  <c r="J55" i="27"/>
  <c r="H55" i="27"/>
  <c r="A55" i="27"/>
  <c r="L55" i="27" s="1"/>
  <c r="L54" i="27"/>
  <c r="I54" i="27"/>
  <c r="A54" i="27"/>
  <c r="K54" i="27" s="1"/>
  <c r="L53" i="27"/>
  <c r="I53" i="27"/>
  <c r="A53" i="27"/>
  <c r="K53" i="27" s="1"/>
  <c r="A51" i="27"/>
  <c r="I51" i="27" s="1"/>
  <c r="A50" i="27"/>
  <c r="L50" i="27" s="1"/>
  <c r="H49" i="27"/>
  <c r="A49" i="27"/>
  <c r="L49" i="27" s="1"/>
  <c r="K48" i="27"/>
  <c r="H48" i="27"/>
  <c r="A48" i="27"/>
  <c r="J48" i="27" s="1"/>
  <c r="L47" i="27"/>
  <c r="B47" i="27"/>
  <c r="A47" i="27"/>
  <c r="K47" i="27" s="1"/>
  <c r="L46" i="27"/>
  <c r="K46" i="27"/>
  <c r="J46" i="27"/>
  <c r="I46" i="27"/>
  <c r="H46" i="27"/>
  <c r="A46" i="27"/>
  <c r="L44" i="27"/>
  <c r="K44" i="27"/>
  <c r="J44" i="27"/>
  <c r="I44" i="27"/>
  <c r="H44" i="27"/>
  <c r="H43" i="27"/>
  <c r="E43" i="27"/>
  <c r="A43" i="27"/>
  <c r="L43" i="27" s="1"/>
  <c r="K42" i="27"/>
  <c r="I42" i="27"/>
  <c r="H42" i="27"/>
  <c r="C42" i="27"/>
  <c r="A42" i="27"/>
  <c r="J42" i="27" s="1"/>
  <c r="L41" i="27"/>
  <c r="K41" i="27"/>
  <c r="I41" i="27"/>
  <c r="H41" i="27"/>
  <c r="A41" i="27"/>
  <c r="J41" i="27" s="1"/>
  <c r="L40" i="27"/>
  <c r="K40" i="27"/>
  <c r="I40" i="27"/>
  <c r="H40" i="27"/>
  <c r="A40" i="27"/>
  <c r="J40" i="27" s="1"/>
  <c r="I39" i="27"/>
  <c r="A39" i="27"/>
  <c r="K39" i="27" s="1"/>
  <c r="L38" i="27"/>
  <c r="I38" i="27"/>
  <c r="A38" i="27"/>
  <c r="K38" i="27" s="1"/>
  <c r="L37" i="27"/>
  <c r="K37" i="27"/>
  <c r="J37" i="27"/>
  <c r="I37" i="27"/>
  <c r="H37" i="27"/>
  <c r="L36" i="27"/>
  <c r="K36" i="27"/>
  <c r="J36" i="27"/>
  <c r="I36" i="27"/>
  <c r="C36" i="27"/>
  <c r="B36" i="27"/>
  <c r="L35" i="27"/>
  <c r="K35" i="27"/>
  <c r="J35" i="27"/>
  <c r="I35" i="27"/>
  <c r="H35" i="27"/>
  <c r="C35" i="27"/>
  <c r="L33" i="27"/>
  <c r="K33" i="27"/>
  <c r="I33" i="27"/>
  <c r="H33" i="27"/>
  <c r="C33" i="27"/>
  <c r="A33" i="27"/>
  <c r="J33" i="27" s="1"/>
  <c r="I32" i="27"/>
  <c r="A32" i="27"/>
  <c r="K32" i="27" s="1"/>
  <c r="L31" i="27"/>
  <c r="I31" i="27"/>
  <c r="A31" i="27"/>
  <c r="K31" i="27" s="1"/>
  <c r="A30" i="27"/>
  <c r="I30" i="27" s="1"/>
  <c r="L29" i="27"/>
  <c r="K29" i="27"/>
  <c r="J29" i="27"/>
  <c r="H29" i="27"/>
  <c r="B29" i="27"/>
  <c r="C29" i="27" s="1"/>
  <c r="A29" i="27"/>
  <c r="I29" i="27" s="1"/>
  <c r="B28" i="27"/>
  <c r="A28" i="27"/>
  <c r="H28" i="27" s="1"/>
  <c r="L27" i="27"/>
  <c r="K27" i="27"/>
  <c r="J27" i="27"/>
  <c r="I27" i="27"/>
  <c r="H27" i="27"/>
  <c r="C27" i="27"/>
  <c r="B27" i="27"/>
  <c r="L26" i="27"/>
  <c r="K26" i="27"/>
  <c r="J26" i="27"/>
  <c r="I26" i="27"/>
  <c r="H26" i="27"/>
  <c r="H36" i="27" s="1"/>
  <c r="E26" i="27"/>
  <c r="C26" i="27"/>
  <c r="E25" i="27"/>
  <c r="D25" i="27"/>
  <c r="I92" i="26"/>
  <c r="C92" i="26"/>
  <c r="A88" i="26"/>
  <c r="C88" i="26" s="1"/>
  <c r="I87" i="26"/>
  <c r="A87" i="26"/>
  <c r="C87" i="26" s="1"/>
  <c r="A86" i="26"/>
  <c r="S85" i="26"/>
  <c r="P85" i="26"/>
  <c r="A85" i="26"/>
  <c r="S84" i="26"/>
  <c r="P84" i="26"/>
  <c r="A84" i="26"/>
  <c r="S83" i="26"/>
  <c r="P83" i="26" s="1"/>
  <c r="A83" i="26"/>
  <c r="S82" i="26"/>
  <c r="P82" i="26" s="1"/>
  <c r="S81" i="26"/>
  <c r="P81" i="26" s="1"/>
  <c r="A81" i="26"/>
  <c r="S80" i="26"/>
  <c r="P80" i="26"/>
  <c r="A80" i="26"/>
  <c r="S79" i="26"/>
  <c r="P79" i="26" s="1"/>
  <c r="A79" i="26"/>
  <c r="S78" i="26"/>
  <c r="P78" i="26"/>
  <c r="A78" i="26"/>
  <c r="A77" i="26"/>
  <c r="A76" i="26"/>
  <c r="C74" i="26"/>
  <c r="A74" i="26"/>
  <c r="I74" i="26" s="1"/>
  <c r="I73" i="26"/>
  <c r="A73" i="26"/>
  <c r="C73" i="26" s="1"/>
  <c r="A72" i="26"/>
  <c r="A71" i="26"/>
  <c r="A70" i="26"/>
  <c r="A69" i="26"/>
  <c r="I66" i="26"/>
  <c r="C66" i="26"/>
  <c r="M65" i="26"/>
  <c r="A65" i="26"/>
  <c r="M64" i="26"/>
  <c r="A64" i="26"/>
  <c r="M63" i="26"/>
  <c r="A63" i="26"/>
  <c r="M62" i="26"/>
  <c r="A62" i="26"/>
  <c r="M61" i="26"/>
  <c r="A61" i="26"/>
  <c r="M60" i="26"/>
  <c r="A60" i="26"/>
  <c r="C58" i="26"/>
  <c r="A58" i="26"/>
  <c r="I57" i="26"/>
  <c r="A57" i="26"/>
  <c r="I56" i="26"/>
  <c r="D56" i="26"/>
  <c r="A56" i="26"/>
  <c r="A55" i="26"/>
  <c r="A54" i="26"/>
  <c r="C53" i="26"/>
  <c r="A53" i="26"/>
  <c r="I51" i="26"/>
  <c r="A51" i="26"/>
  <c r="C51" i="26" s="1"/>
  <c r="I50" i="26"/>
  <c r="C50" i="26"/>
  <c r="A50" i="26"/>
  <c r="I49" i="26"/>
  <c r="D49" i="26"/>
  <c r="C49" i="26"/>
  <c r="A49" i="26"/>
  <c r="A48" i="26"/>
  <c r="B47" i="26"/>
  <c r="A47" i="26"/>
  <c r="A46" i="26"/>
  <c r="D43" i="26"/>
  <c r="C43" i="26"/>
  <c r="A43" i="26"/>
  <c r="I43" i="26" s="1"/>
  <c r="A42" i="26"/>
  <c r="I42" i="26" s="1"/>
  <c r="A41" i="26"/>
  <c r="A40" i="26"/>
  <c r="A39" i="26"/>
  <c r="A38" i="26"/>
  <c r="C36" i="26"/>
  <c r="B36" i="26"/>
  <c r="C35" i="26"/>
  <c r="I33" i="26"/>
  <c r="C33" i="26"/>
  <c r="A33" i="26"/>
  <c r="C32" i="26"/>
  <c r="A32" i="26"/>
  <c r="J32" i="26" s="1"/>
  <c r="C31" i="26"/>
  <c r="A31" i="26"/>
  <c r="A30" i="26"/>
  <c r="C30" i="26" s="1"/>
  <c r="B29" i="26"/>
  <c r="A29" i="26"/>
  <c r="C29" i="26" s="1"/>
  <c r="B28" i="26"/>
  <c r="A28" i="26"/>
  <c r="C28" i="26" s="1"/>
  <c r="C27" i="26"/>
  <c r="B27" i="26"/>
  <c r="I26" i="26"/>
  <c r="D26" i="26"/>
  <c r="C26" i="26"/>
  <c r="C56" i="26" s="1"/>
  <c r="E25" i="26"/>
  <c r="E74" i="26" s="1"/>
  <c r="D25" i="26"/>
  <c r="D50" i="26" s="1"/>
  <c r="I92" i="25"/>
  <c r="E92" i="25"/>
  <c r="C92" i="25"/>
  <c r="E88" i="25"/>
  <c r="C88" i="25"/>
  <c r="A88" i="25"/>
  <c r="I88" i="25" s="1"/>
  <c r="A87" i="25"/>
  <c r="A86" i="25"/>
  <c r="S85" i="25"/>
  <c r="P85" i="25" s="1"/>
  <c r="A85" i="25"/>
  <c r="S84" i="25"/>
  <c r="P84" i="25"/>
  <c r="A84" i="25"/>
  <c r="S83" i="25"/>
  <c r="P83" i="25" s="1"/>
  <c r="A83" i="25"/>
  <c r="S82" i="25"/>
  <c r="P82" i="25"/>
  <c r="S81" i="25"/>
  <c r="P81" i="25" s="1"/>
  <c r="A81" i="25"/>
  <c r="S80" i="25"/>
  <c r="P80" i="25" s="1"/>
  <c r="A80" i="25"/>
  <c r="S79" i="25"/>
  <c r="P79" i="25"/>
  <c r="A79" i="25"/>
  <c r="S78" i="25"/>
  <c r="P78" i="25"/>
  <c r="A78" i="25"/>
  <c r="A77" i="25"/>
  <c r="A76" i="25"/>
  <c r="D74" i="25"/>
  <c r="C74" i="25"/>
  <c r="A74" i="25"/>
  <c r="I74" i="25" s="1"/>
  <c r="A73" i="25"/>
  <c r="A72" i="25"/>
  <c r="A71" i="25"/>
  <c r="A70" i="25"/>
  <c r="A69" i="25"/>
  <c r="I66" i="25"/>
  <c r="F66" i="25"/>
  <c r="E66" i="25"/>
  <c r="C66" i="25"/>
  <c r="M65" i="25"/>
  <c r="A65" i="25"/>
  <c r="M64" i="25"/>
  <c r="A64" i="25"/>
  <c r="M63" i="25"/>
  <c r="A63" i="25"/>
  <c r="M62" i="25"/>
  <c r="A62" i="25"/>
  <c r="M61" i="25"/>
  <c r="A61" i="25"/>
  <c r="M60" i="25"/>
  <c r="A60" i="25"/>
  <c r="D58" i="25"/>
  <c r="C58" i="25"/>
  <c r="A58" i="25"/>
  <c r="A57" i="25"/>
  <c r="C56" i="25"/>
  <c r="A56" i="25"/>
  <c r="A55" i="25"/>
  <c r="A54" i="25"/>
  <c r="I53" i="25"/>
  <c r="D53" i="25"/>
  <c r="A53" i="25"/>
  <c r="A51" i="25"/>
  <c r="I51" i="25" s="1"/>
  <c r="A50" i="25"/>
  <c r="D50" i="25" s="1"/>
  <c r="F49" i="25"/>
  <c r="E49" i="25"/>
  <c r="A49" i="25"/>
  <c r="C49" i="25" s="1"/>
  <c r="A48" i="25"/>
  <c r="B47" i="25"/>
  <c r="A47" i="25"/>
  <c r="A46" i="25"/>
  <c r="E43" i="25"/>
  <c r="A43" i="25"/>
  <c r="C43" i="25" s="1"/>
  <c r="A42" i="25"/>
  <c r="A41" i="25"/>
  <c r="A40" i="25"/>
  <c r="A39" i="25"/>
  <c r="A38" i="25"/>
  <c r="C36" i="25"/>
  <c r="B36" i="25"/>
  <c r="C35" i="25"/>
  <c r="I33" i="25"/>
  <c r="C33" i="25"/>
  <c r="A33" i="25"/>
  <c r="A32" i="25"/>
  <c r="C31" i="25"/>
  <c r="A31" i="25"/>
  <c r="A30" i="25"/>
  <c r="B29" i="25"/>
  <c r="B27" i="25" s="1"/>
  <c r="A29" i="25"/>
  <c r="B28" i="25"/>
  <c r="A28" i="25"/>
  <c r="C28" i="25" s="1"/>
  <c r="C27" i="25"/>
  <c r="I26" i="25"/>
  <c r="F26" i="25"/>
  <c r="E26" i="25"/>
  <c r="E53" i="25" s="1"/>
  <c r="D26" i="25"/>
  <c r="C26" i="25"/>
  <c r="C53" i="25" s="1"/>
  <c r="J25" i="25"/>
  <c r="F25" i="25"/>
  <c r="F43" i="25" s="1"/>
  <c r="E25" i="25"/>
  <c r="E74" i="25" s="1"/>
  <c r="D25" i="25"/>
  <c r="I92" i="24"/>
  <c r="C92" i="24"/>
  <c r="A88" i="24"/>
  <c r="C88" i="24" s="1"/>
  <c r="A87" i="24"/>
  <c r="A86" i="24"/>
  <c r="S85" i="24"/>
  <c r="P85" i="24"/>
  <c r="A85" i="24"/>
  <c r="S84" i="24"/>
  <c r="P84" i="24"/>
  <c r="A84" i="24"/>
  <c r="S83" i="24"/>
  <c r="P83" i="24" s="1"/>
  <c r="A83" i="24"/>
  <c r="S82" i="24"/>
  <c r="P82" i="24" s="1"/>
  <c r="S81" i="24"/>
  <c r="P81" i="24" s="1"/>
  <c r="A81" i="24"/>
  <c r="S80" i="24"/>
  <c r="P80" i="24"/>
  <c r="A80" i="24"/>
  <c r="S79" i="24"/>
  <c r="P79" i="24"/>
  <c r="A79" i="24"/>
  <c r="S78" i="24"/>
  <c r="A78" i="24"/>
  <c r="A77" i="24"/>
  <c r="A76" i="24"/>
  <c r="I74" i="24"/>
  <c r="C74" i="24"/>
  <c r="A74" i="24"/>
  <c r="A73" i="24"/>
  <c r="A72" i="24"/>
  <c r="A71" i="24"/>
  <c r="A70" i="24"/>
  <c r="A69" i="24"/>
  <c r="I66" i="24"/>
  <c r="C66" i="24"/>
  <c r="M65" i="24"/>
  <c r="A65" i="24"/>
  <c r="M64" i="24"/>
  <c r="A64" i="24"/>
  <c r="M63" i="24"/>
  <c r="A63" i="24"/>
  <c r="M62" i="24"/>
  <c r="A62" i="24"/>
  <c r="M61" i="24"/>
  <c r="A61" i="24"/>
  <c r="M60" i="24"/>
  <c r="A60" i="24"/>
  <c r="I58" i="24"/>
  <c r="A58" i="24"/>
  <c r="A57" i="24"/>
  <c r="A56" i="24"/>
  <c r="A55" i="24"/>
  <c r="A54" i="24"/>
  <c r="A53" i="24"/>
  <c r="I51" i="24"/>
  <c r="A51" i="24"/>
  <c r="C51" i="24" s="1"/>
  <c r="A50" i="24"/>
  <c r="C50" i="24" s="1"/>
  <c r="A49" i="24"/>
  <c r="C49" i="24" s="1"/>
  <c r="A48" i="24"/>
  <c r="B47" i="24"/>
  <c r="A47" i="24"/>
  <c r="A46" i="24"/>
  <c r="I43" i="24"/>
  <c r="C43" i="24"/>
  <c r="A43" i="24"/>
  <c r="A42" i="24"/>
  <c r="A41" i="24"/>
  <c r="A40" i="24"/>
  <c r="A39" i="24"/>
  <c r="A38" i="24"/>
  <c r="C36" i="24"/>
  <c r="C37" i="24" s="1"/>
  <c r="C39" i="24" s="1"/>
  <c r="B36" i="24"/>
  <c r="C35" i="24"/>
  <c r="I33" i="24"/>
  <c r="A33" i="24"/>
  <c r="C33" i="24" s="1"/>
  <c r="A32" i="24"/>
  <c r="C32" i="24" s="1"/>
  <c r="A31" i="24"/>
  <c r="C31" i="24" s="1"/>
  <c r="A30" i="24"/>
  <c r="C30" i="24" s="1"/>
  <c r="B29" i="24"/>
  <c r="A29" i="24"/>
  <c r="C29" i="24" s="1"/>
  <c r="B28" i="24"/>
  <c r="B27" i="24" s="1"/>
  <c r="A28" i="24"/>
  <c r="C27" i="24"/>
  <c r="I26" i="24"/>
  <c r="C26" i="24"/>
  <c r="E80" i="21"/>
  <c r="C78" i="21"/>
  <c r="M61" i="21"/>
  <c r="E25" i="21"/>
  <c r="E26" i="21" s="1"/>
  <c r="E56" i="21" s="1"/>
  <c r="F25" i="21"/>
  <c r="G25" i="21"/>
  <c r="D25" i="21"/>
  <c r="D92" i="21"/>
  <c r="C92" i="21"/>
  <c r="E88" i="21"/>
  <c r="A88" i="21"/>
  <c r="A87" i="21"/>
  <c r="A86" i="21"/>
  <c r="S85" i="21"/>
  <c r="P85" i="21" s="1"/>
  <c r="A85" i="21"/>
  <c r="S84" i="21"/>
  <c r="P84" i="21"/>
  <c r="A84" i="21"/>
  <c r="S83" i="21"/>
  <c r="P83" i="21"/>
  <c r="A83" i="21"/>
  <c r="S82" i="21"/>
  <c r="P82" i="21"/>
  <c r="S81" i="21"/>
  <c r="P81" i="21" s="1"/>
  <c r="A81" i="21"/>
  <c r="S80" i="21"/>
  <c r="P80" i="21" s="1"/>
  <c r="A80" i="21"/>
  <c r="S79" i="21"/>
  <c r="P79" i="21"/>
  <c r="A79" i="21"/>
  <c r="S78" i="21"/>
  <c r="P78" i="21"/>
  <c r="A78" i="21"/>
  <c r="A77" i="21"/>
  <c r="A76" i="21"/>
  <c r="E74" i="21"/>
  <c r="C74" i="21"/>
  <c r="A74" i="21"/>
  <c r="A73" i="21"/>
  <c r="A72" i="21"/>
  <c r="A71" i="21"/>
  <c r="A70" i="21"/>
  <c r="A69" i="21"/>
  <c r="E66" i="21"/>
  <c r="D66" i="21"/>
  <c r="C66" i="21"/>
  <c r="M65" i="21"/>
  <c r="A65" i="21"/>
  <c r="M64" i="21"/>
  <c r="A64" i="21"/>
  <c r="M63" i="21"/>
  <c r="A63" i="21"/>
  <c r="M62" i="21"/>
  <c r="A62" i="21"/>
  <c r="A61" i="21"/>
  <c r="M60" i="21"/>
  <c r="A60" i="21"/>
  <c r="A58" i="21"/>
  <c r="B57" i="21"/>
  <c r="A57" i="21"/>
  <c r="A56" i="21"/>
  <c r="A55" i="21"/>
  <c r="A54" i="21"/>
  <c r="C53" i="21"/>
  <c r="A53" i="21"/>
  <c r="A51" i="21"/>
  <c r="E50" i="21"/>
  <c r="A50" i="21"/>
  <c r="A49" i="21"/>
  <c r="D49" i="21" s="1"/>
  <c r="A48" i="21"/>
  <c r="B47" i="21"/>
  <c r="A47" i="21"/>
  <c r="A46" i="21"/>
  <c r="D43" i="21"/>
  <c r="A43" i="21"/>
  <c r="A42" i="21"/>
  <c r="A41" i="21"/>
  <c r="A40" i="21"/>
  <c r="A39" i="21"/>
  <c r="A38" i="21"/>
  <c r="C36" i="21"/>
  <c r="B36" i="21"/>
  <c r="C35" i="21"/>
  <c r="E33" i="21"/>
  <c r="D33" i="21"/>
  <c r="C33" i="21"/>
  <c r="A33" i="21"/>
  <c r="A32" i="21"/>
  <c r="C31" i="21"/>
  <c r="A31" i="21"/>
  <c r="A30" i="21"/>
  <c r="B29" i="21"/>
  <c r="A29" i="21"/>
  <c r="B28" i="21"/>
  <c r="A28" i="21"/>
  <c r="C27" i="21"/>
  <c r="B27" i="21"/>
  <c r="D26" i="21"/>
  <c r="D53" i="21" s="1"/>
  <c r="C26" i="21"/>
  <c r="C85" i="30" l="1"/>
  <c r="D30" i="30" s="1"/>
  <c r="C78" i="30"/>
  <c r="C69" i="30"/>
  <c r="C83" i="30" s="1"/>
  <c r="C70" i="30"/>
  <c r="C84" i="30" s="1"/>
  <c r="D29" i="30" s="1"/>
  <c r="E74" i="29"/>
  <c r="E49" i="29"/>
  <c r="E43" i="29"/>
  <c r="E92" i="29"/>
  <c r="E87" i="29"/>
  <c r="E66" i="29"/>
  <c r="E33" i="29"/>
  <c r="E57" i="29"/>
  <c r="E51" i="29"/>
  <c r="E73" i="29"/>
  <c r="E80" i="29" s="1"/>
  <c r="E48" i="29"/>
  <c r="E42" i="29"/>
  <c r="E50" i="29"/>
  <c r="E88" i="29"/>
  <c r="F25" i="29"/>
  <c r="E26" i="29"/>
  <c r="E32" i="29"/>
  <c r="D53" i="29"/>
  <c r="C41" i="29"/>
  <c r="C72" i="29" s="1"/>
  <c r="C86" i="29" s="1"/>
  <c r="D31" i="29" s="1"/>
  <c r="E58" i="29"/>
  <c r="L88" i="29"/>
  <c r="L58" i="29"/>
  <c r="L74" i="29"/>
  <c r="L92" i="29"/>
  <c r="L49" i="29"/>
  <c r="L43" i="29"/>
  <c r="L26" i="29"/>
  <c r="L87" i="29"/>
  <c r="L66" i="29"/>
  <c r="L73" i="29"/>
  <c r="L57" i="29"/>
  <c r="L51" i="29"/>
  <c r="L42" i="29"/>
  <c r="L56" i="29"/>
  <c r="L50" i="29"/>
  <c r="L48" i="29"/>
  <c r="L32" i="29"/>
  <c r="L33" i="29"/>
  <c r="B55" i="29"/>
  <c r="B48" i="29"/>
  <c r="E47" i="29" s="1"/>
  <c r="E46" i="29" s="1"/>
  <c r="M61" i="27"/>
  <c r="C44" i="27"/>
  <c r="C77" i="27"/>
  <c r="C93" i="27" s="1"/>
  <c r="I28" i="27"/>
  <c r="L39" i="27"/>
  <c r="J73" i="27"/>
  <c r="J83" i="27"/>
  <c r="E88" i="27"/>
  <c r="F25" i="27"/>
  <c r="J28" i="27"/>
  <c r="C30" i="27"/>
  <c r="K30" i="27"/>
  <c r="H31" i="27"/>
  <c r="E32" i="27"/>
  <c r="C37" i="27"/>
  <c r="H38" i="27"/>
  <c r="D42" i="27"/>
  <c r="L42" i="27"/>
  <c r="I43" i="27"/>
  <c r="H47" i="27"/>
  <c r="L48" i="27"/>
  <c r="I49" i="27"/>
  <c r="C51" i="27"/>
  <c r="K51" i="27"/>
  <c r="H53" i="27"/>
  <c r="I55" i="27"/>
  <c r="C57" i="27"/>
  <c r="K57" i="27"/>
  <c r="H58" i="27"/>
  <c r="L70" i="27"/>
  <c r="I71" i="27"/>
  <c r="C73" i="27"/>
  <c r="K73" i="27"/>
  <c r="K80" i="27" s="1"/>
  <c r="H74" i="27"/>
  <c r="K83" i="27"/>
  <c r="I85" i="27"/>
  <c r="L86" i="27"/>
  <c r="I87" i="27"/>
  <c r="K28" i="27"/>
  <c r="E42" i="27"/>
  <c r="J43" i="27"/>
  <c r="I47" i="27"/>
  <c r="J49" i="27"/>
  <c r="D51" i="27"/>
  <c r="L51" i="27"/>
  <c r="D57" i="27"/>
  <c r="L57" i="27"/>
  <c r="J71" i="27"/>
  <c r="D73" i="27"/>
  <c r="L73" i="27"/>
  <c r="L83" i="27"/>
  <c r="J85" i="27"/>
  <c r="J87" i="27"/>
  <c r="L32" i="27"/>
  <c r="E56" i="27"/>
  <c r="C28" i="27"/>
  <c r="L30" i="27"/>
  <c r="L28" i="27"/>
  <c r="J31" i="27"/>
  <c r="D33" i="27"/>
  <c r="J38" i="27"/>
  <c r="C43" i="27"/>
  <c r="K43" i="27"/>
  <c r="J47" i="27"/>
  <c r="C49" i="27"/>
  <c r="K49" i="27"/>
  <c r="H50" i="27"/>
  <c r="E51" i="27"/>
  <c r="J53" i="27"/>
  <c r="K55" i="27"/>
  <c r="H56" i="27"/>
  <c r="E57" i="27"/>
  <c r="J58" i="27"/>
  <c r="D66" i="27"/>
  <c r="I69" i="27"/>
  <c r="K71" i="27"/>
  <c r="H72" i="27"/>
  <c r="E73" i="27"/>
  <c r="E80" i="27" s="1"/>
  <c r="H84" i="27"/>
  <c r="K85" i="27"/>
  <c r="C87" i="27"/>
  <c r="K87" i="27"/>
  <c r="H88" i="27"/>
  <c r="J30" i="27"/>
  <c r="D32" i="27"/>
  <c r="E50" i="27"/>
  <c r="J51" i="27"/>
  <c r="J57" i="27"/>
  <c r="D26" i="27"/>
  <c r="C31" i="27"/>
  <c r="H32" i="27"/>
  <c r="E33" i="27"/>
  <c r="H39" i="27"/>
  <c r="D43" i="27"/>
  <c r="D49" i="27"/>
  <c r="I50" i="27"/>
  <c r="C53" i="27"/>
  <c r="H54" i="27"/>
  <c r="I56" i="27"/>
  <c r="F57" i="27"/>
  <c r="C58" i="27"/>
  <c r="E66" i="27"/>
  <c r="I72" i="27"/>
  <c r="I84" i="27"/>
  <c r="D87" i="27"/>
  <c r="I88" i="27"/>
  <c r="E49" i="27"/>
  <c r="J50" i="27"/>
  <c r="J56" i="27"/>
  <c r="J72" i="27"/>
  <c r="D74" i="27"/>
  <c r="J84" i="27"/>
  <c r="E87" i="27"/>
  <c r="J88" i="27"/>
  <c r="D92" i="27"/>
  <c r="H30" i="27"/>
  <c r="I48" i="27"/>
  <c r="C50" i="27"/>
  <c r="K50" i="27"/>
  <c r="H51" i="27"/>
  <c r="E53" i="27"/>
  <c r="J54" i="27"/>
  <c r="C56" i="27"/>
  <c r="K56" i="27"/>
  <c r="H57" i="27"/>
  <c r="E58" i="27"/>
  <c r="K72" i="27"/>
  <c r="H73" i="27"/>
  <c r="H80" i="27" s="1"/>
  <c r="E74" i="27"/>
  <c r="H83" i="27"/>
  <c r="K84" i="27"/>
  <c r="C88" i="27"/>
  <c r="K88" i="27"/>
  <c r="E92" i="27"/>
  <c r="J32" i="27"/>
  <c r="J39" i="27"/>
  <c r="C32" i="27"/>
  <c r="C39" i="27"/>
  <c r="D50" i="27"/>
  <c r="D56" i="27"/>
  <c r="D88" i="27"/>
  <c r="C44" i="26"/>
  <c r="C77" i="26"/>
  <c r="C93" i="26" s="1"/>
  <c r="E88" i="26"/>
  <c r="D32" i="26"/>
  <c r="C42" i="26"/>
  <c r="E50" i="26"/>
  <c r="J51" i="26"/>
  <c r="J57" i="26"/>
  <c r="J73" i="26"/>
  <c r="E32" i="26"/>
  <c r="J33" i="26"/>
  <c r="C37" i="26"/>
  <c r="C40" i="26" s="1"/>
  <c r="D42" i="26"/>
  <c r="C57" i="26"/>
  <c r="J66" i="26"/>
  <c r="J87" i="26"/>
  <c r="J26" i="26"/>
  <c r="E42" i="26"/>
  <c r="J43" i="26"/>
  <c r="J49" i="26"/>
  <c r="D51" i="26"/>
  <c r="I53" i="26"/>
  <c r="D57" i="26"/>
  <c r="I58" i="26"/>
  <c r="D73" i="26"/>
  <c r="J92" i="26"/>
  <c r="D33" i="26"/>
  <c r="E51" i="26"/>
  <c r="J53" i="26"/>
  <c r="E57" i="26"/>
  <c r="J58" i="26"/>
  <c r="D66" i="26"/>
  <c r="E73" i="26"/>
  <c r="E80" i="26" s="1"/>
  <c r="J74" i="26"/>
  <c r="D87" i="26"/>
  <c r="I88" i="26"/>
  <c r="E33" i="26"/>
  <c r="E66" i="26"/>
  <c r="E87" i="26"/>
  <c r="J88" i="26"/>
  <c r="D92" i="26"/>
  <c r="J42" i="26"/>
  <c r="F25" i="26"/>
  <c r="E26" i="26"/>
  <c r="I32" i="26"/>
  <c r="E43" i="26"/>
  <c r="E49" i="26"/>
  <c r="J50" i="26"/>
  <c r="D53" i="26"/>
  <c r="D58" i="26"/>
  <c r="D74" i="26"/>
  <c r="E92" i="26"/>
  <c r="E53" i="26"/>
  <c r="E58" i="26"/>
  <c r="D88" i="26"/>
  <c r="C50" i="25"/>
  <c r="E50" i="25"/>
  <c r="C29" i="25"/>
  <c r="G25" i="25"/>
  <c r="G58" i="25" s="1"/>
  <c r="C30" i="25"/>
  <c r="E56" i="25"/>
  <c r="C39" i="25"/>
  <c r="J88" i="25"/>
  <c r="J50" i="25"/>
  <c r="J74" i="25"/>
  <c r="J92" i="25"/>
  <c r="J66" i="25"/>
  <c r="J49" i="25"/>
  <c r="J43" i="25"/>
  <c r="J26" i="25"/>
  <c r="J33" i="25"/>
  <c r="K25" i="25"/>
  <c r="J51" i="25"/>
  <c r="J58" i="25"/>
  <c r="F92" i="25"/>
  <c r="F53" i="25"/>
  <c r="F33" i="25"/>
  <c r="F51" i="25"/>
  <c r="F58" i="25"/>
  <c r="F88" i="25"/>
  <c r="F50" i="25"/>
  <c r="F74" i="25"/>
  <c r="C32" i="25"/>
  <c r="C37" i="25"/>
  <c r="I43" i="25"/>
  <c r="I49" i="25"/>
  <c r="C51" i="25"/>
  <c r="F56" i="25"/>
  <c r="D51" i="25"/>
  <c r="C57" i="25"/>
  <c r="D33" i="25"/>
  <c r="E51" i="25"/>
  <c r="D57" i="25"/>
  <c r="I58" i="25"/>
  <c r="I57" i="25"/>
  <c r="E33" i="25"/>
  <c r="D43" i="25"/>
  <c r="D49" i="25"/>
  <c r="I50" i="25"/>
  <c r="I56" i="25"/>
  <c r="E57" i="25"/>
  <c r="D66" i="25"/>
  <c r="F57" i="25"/>
  <c r="D92" i="25"/>
  <c r="D56" i="25"/>
  <c r="E58" i="25"/>
  <c r="D88" i="25"/>
  <c r="I49" i="24"/>
  <c r="D50" i="24"/>
  <c r="C73" i="24"/>
  <c r="C87" i="24" s="1"/>
  <c r="D32" i="24" s="1"/>
  <c r="C40" i="24"/>
  <c r="C42" i="24"/>
  <c r="C44" i="24"/>
  <c r="C93" i="24"/>
  <c r="C41" i="24"/>
  <c r="J33" i="24"/>
  <c r="J51" i="24"/>
  <c r="I57" i="24"/>
  <c r="J26" i="24"/>
  <c r="C28" i="24"/>
  <c r="C38" i="24" s="1"/>
  <c r="J43" i="24"/>
  <c r="J49" i="24"/>
  <c r="D51" i="24"/>
  <c r="I53" i="24"/>
  <c r="C57" i="24"/>
  <c r="J66" i="24"/>
  <c r="D33" i="24"/>
  <c r="J53" i="24"/>
  <c r="J92" i="24"/>
  <c r="E58" i="24"/>
  <c r="D26" i="24"/>
  <c r="D43" i="24"/>
  <c r="D49" i="24"/>
  <c r="I50" i="24"/>
  <c r="C53" i="24"/>
  <c r="I56" i="24"/>
  <c r="J58" i="24"/>
  <c r="D66" i="24"/>
  <c r="J74" i="24"/>
  <c r="I88" i="24"/>
  <c r="J50" i="24"/>
  <c r="J56" i="24"/>
  <c r="C58" i="24"/>
  <c r="K58" i="24"/>
  <c r="J88" i="24"/>
  <c r="D92" i="24"/>
  <c r="C56" i="24"/>
  <c r="C72" i="24" s="1"/>
  <c r="C86" i="24" s="1"/>
  <c r="D31" i="24" s="1"/>
  <c r="D58" i="24"/>
  <c r="D74" i="24"/>
  <c r="D88" i="24"/>
  <c r="E92" i="21"/>
  <c r="G33" i="21"/>
  <c r="F48" i="21"/>
  <c r="G50" i="21"/>
  <c r="G66" i="21"/>
  <c r="F92" i="21"/>
  <c r="G47" i="21"/>
  <c r="G46" i="21" s="1"/>
  <c r="F33" i="21"/>
  <c r="F66" i="21"/>
  <c r="F26" i="21"/>
  <c r="F53" i="21" s="1"/>
  <c r="G48" i="21"/>
  <c r="G56" i="21"/>
  <c r="G92" i="21"/>
  <c r="G26" i="21"/>
  <c r="G53" i="21" s="1"/>
  <c r="F51" i="21"/>
  <c r="H25" i="21"/>
  <c r="F58" i="21"/>
  <c r="F74" i="21"/>
  <c r="E51" i="21"/>
  <c r="C51" i="21"/>
  <c r="G51" i="21"/>
  <c r="C29" i="21"/>
  <c r="C49" i="21"/>
  <c r="C72" i="21" s="1"/>
  <c r="C86" i="21" s="1"/>
  <c r="D31" i="21" s="1"/>
  <c r="G49" i="21"/>
  <c r="F49" i="21"/>
  <c r="E49" i="21"/>
  <c r="D57" i="21"/>
  <c r="G57" i="21"/>
  <c r="C28" i="21"/>
  <c r="H49" i="21"/>
  <c r="D51" i="21"/>
  <c r="C57" i="21"/>
  <c r="C30" i="21"/>
  <c r="E57" i="21"/>
  <c r="F47" i="21"/>
  <c r="F46" i="21" s="1"/>
  <c r="C43" i="21"/>
  <c r="G43" i="21"/>
  <c r="F43" i="21"/>
  <c r="E43" i="21"/>
  <c r="G58" i="21"/>
  <c r="E58" i="21"/>
  <c r="D58" i="21"/>
  <c r="C58" i="21"/>
  <c r="E53" i="21"/>
  <c r="C37" i="21"/>
  <c r="C41" i="21" s="1"/>
  <c r="D74" i="21"/>
  <c r="F88" i="21"/>
  <c r="C50" i="21"/>
  <c r="C56" i="21"/>
  <c r="C32" i="21"/>
  <c r="D50" i="21"/>
  <c r="D56" i="21"/>
  <c r="G88" i="21"/>
  <c r="F50" i="21"/>
  <c r="F56" i="21"/>
  <c r="G74" i="21"/>
  <c r="C88" i="21"/>
  <c r="D88" i="21"/>
  <c r="D93" i="30" l="1"/>
  <c r="D44" i="30"/>
  <c r="D55" i="30" s="1"/>
  <c r="D54" i="30" s="1"/>
  <c r="C89" i="30"/>
  <c r="D28" i="30"/>
  <c r="F92" i="29"/>
  <c r="F49" i="29"/>
  <c r="F43" i="29"/>
  <c r="F26" i="29"/>
  <c r="F53" i="29" s="1"/>
  <c r="G25" i="29"/>
  <c r="F87" i="29"/>
  <c r="F66" i="29"/>
  <c r="F73" i="29"/>
  <c r="F57" i="29"/>
  <c r="F51" i="29"/>
  <c r="F48" i="29"/>
  <c r="F42" i="29"/>
  <c r="F32" i="29"/>
  <c r="F88" i="29"/>
  <c r="F74" i="29"/>
  <c r="F33" i="29"/>
  <c r="F58" i="29"/>
  <c r="F50" i="29"/>
  <c r="F47" i="29"/>
  <c r="F46" i="29" s="1"/>
  <c r="E56" i="29"/>
  <c r="L47" i="29"/>
  <c r="L46" i="29" s="1"/>
  <c r="C47" i="29"/>
  <c r="D48" i="29"/>
  <c r="J47" i="29"/>
  <c r="J46" i="29" s="1"/>
  <c r="C48" i="29"/>
  <c r="C71" i="29" s="1"/>
  <c r="K47" i="29"/>
  <c r="K48" i="29"/>
  <c r="D47" i="29"/>
  <c r="D46" i="29" s="1"/>
  <c r="I48" i="29"/>
  <c r="J48" i="29"/>
  <c r="I47" i="29"/>
  <c r="I46" i="29" s="1"/>
  <c r="L53" i="29"/>
  <c r="E53" i="29"/>
  <c r="C72" i="27"/>
  <c r="C86" i="27" s="1"/>
  <c r="D31" i="27" s="1"/>
  <c r="B48" i="27"/>
  <c r="F48" i="27" s="1"/>
  <c r="B55" i="27"/>
  <c r="F92" i="27"/>
  <c r="F74" i="27"/>
  <c r="F58" i="27"/>
  <c r="F87" i="27"/>
  <c r="F49" i="27"/>
  <c r="F43" i="27"/>
  <c r="F26" i="27"/>
  <c r="F53" i="27" s="1"/>
  <c r="F66" i="27"/>
  <c r="F73" i="27"/>
  <c r="F51" i="27"/>
  <c r="F32" i="27"/>
  <c r="F42" i="27"/>
  <c r="G25" i="27"/>
  <c r="F33" i="27"/>
  <c r="F88" i="27"/>
  <c r="F50" i="27"/>
  <c r="D53" i="27"/>
  <c r="C55" i="27"/>
  <c r="C54" i="27" s="1"/>
  <c r="C41" i="27"/>
  <c r="C40" i="27"/>
  <c r="C38" i="27"/>
  <c r="C55" i="26"/>
  <c r="C54" i="26" s="1"/>
  <c r="B55" i="26"/>
  <c r="B48" i="26"/>
  <c r="F47" i="26" s="1"/>
  <c r="K50" i="26"/>
  <c r="K32" i="26"/>
  <c r="K88" i="26"/>
  <c r="K74" i="26"/>
  <c r="K58" i="26"/>
  <c r="K47" i="26"/>
  <c r="K92" i="26"/>
  <c r="K49" i="26"/>
  <c r="K43" i="26"/>
  <c r="K26" i="26"/>
  <c r="K87" i="26"/>
  <c r="K66" i="26"/>
  <c r="K33" i="26"/>
  <c r="K73" i="26"/>
  <c r="K80" i="26" s="1"/>
  <c r="K51" i="26"/>
  <c r="K48" i="26"/>
  <c r="K46" i="26"/>
  <c r="K42" i="26"/>
  <c r="C41" i="26"/>
  <c r="C72" i="26" s="1"/>
  <c r="C86" i="26" s="1"/>
  <c r="D31" i="26" s="1"/>
  <c r="J56" i="26"/>
  <c r="K57" i="26"/>
  <c r="E56" i="26"/>
  <c r="C38" i="26"/>
  <c r="C39" i="26"/>
  <c r="F92" i="26"/>
  <c r="F49" i="26"/>
  <c r="F43" i="26"/>
  <c r="F26" i="26"/>
  <c r="G25" i="26"/>
  <c r="F87" i="26"/>
  <c r="F66" i="26"/>
  <c r="F33" i="26"/>
  <c r="F73" i="26"/>
  <c r="F57" i="26"/>
  <c r="F51" i="26"/>
  <c r="F42" i="26"/>
  <c r="F32" i="26"/>
  <c r="F50" i="26"/>
  <c r="F74" i="26"/>
  <c r="F58" i="26"/>
  <c r="F53" i="26"/>
  <c r="F88" i="26"/>
  <c r="C41" i="25"/>
  <c r="C72" i="25" s="1"/>
  <c r="C86" i="25" s="1"/>
  <c r="D31" i="25" s="1"/>
  <c r="C38" i="25"/>
  <c r="C40" i="25"/>
  <c r="C42" i="25"/>
  <c r="C73" i="25"/>
  <c r="C87" i="25" s="1"/>
  <c r="D32" i="25" s="1"/>
  <c r="J56" i="25"/>
  <c r="J53" i="25"/>
  <c r="C44" i="25"/>
  <c r="C77" i="25"/>
  <c r="C93" i="25" s="1"/>
  <c r="J57" i="25"/>
  <c r="K88" i="25"/>
  <c r="K74" i="25"/>
  <c r="K58" i="25"/>
  <c r="K92" i="25"/>
  <c r="K53" i="25"/>
  <c r="L25" i="25"/>
  <c r="K66" i="25"/>
  <c r="K49" i="25"/>
  <c r="K43" i="25"/>
  <c r="K26" i="25"/>
  <c r="K33" i="25"/>
  <c r="K51" i="25"/>
  <c r="K50" i="25"/>
  <c r="K56" i="25"/>
  <c r="G66" i="25"/>
  <c r="G49" i="25"/>
  <c r="G43" i="25"/>
  <c r="G26" i="25"/>
  <c r="G53" i="25" s="1"/>
  <c r="H25" i="25"/>
  <c r="G51" i="25"/>
  <c r="G88" i="25"/>
  <c r="G50" i="25"/>
  <c r="G74" i="25"/>
  <c r="G92" i="25"/>
  <c r="G57" i="25"/>
  <c r="G33" i="25"/>
  <c r="E74" i="24"/>
  <c r="E92" i="24"/>
  <c r="E47" i="24"/>
  <c r="E88" i="24"/>
  <c r="E66" i="24"/>
  <c r="E49" i="24"/>
  <c r="E43" i="24"/>
  <c r="E26" i="24"/>
  <c r="E57" i="24" s="1"/>
  <c r="E33" i="24"/>
  <c r="E51" i="24"/>
  <c r="E56" i="24"/>
  <c r="E50" i="24"/>
  <c r="D56" i="24"/>
  <c r="D53" i="24"/>
  <c r="J57" i="24"/>
  <c r="K88" i="24"/>
  <c r="K50" i="24"/>
  <c r="K74" i="24"/>
  <c r="K92" i="24"/>
  <c r="K66" i="24"/>
  <c r="K49" i="24"/>
  <c r="K43" i="24"/>
  <c r="K26" i="24"/>
  <c r="K33" i="24"/>
  <c r="K51" i="24"/>
  <c r="D57" i="24"/>
  <c r="E48" i="24"/>
  <c r="C55" i="24"/>
  <c r="C54" i="24" s="1"/>
  <c r="H56" i="21"/>
  <c r="H57" i="21"/>
  <c r="H50" i="21"/>
  <c r="F57" i="21"/>
  <c r="H88" i="21"/>
  <c r="H26" i="21"/>
  <c r="H92" i="21"/>
  <c r="H48" i="21"/>
  <c r="H66" i="21"/>
  <c r="H33" i="21"/>
  <c r="H74" i="21"/>
  <c r="H46" i="21"/>
  <c r="H58" i="21"/>
  <c r="H47" i="21"/>
  <c r="H43" i="21"/>
  <c r="H51" i="21"/>
  <c r="C39" i="21"/>
  <c r="C38" i="21"/>
  <c r="C40" i="21"/>
  <c r="C42" i="21"/>
  <c r="C73" i="21"/>
  <c r="C87" i="21" s="1"/>
  <c r="D32" i="21" s="1"/>
  <c r="C77" i="21"/>
  <c r="C93" i="21" s="1"/>
  <c r="C44" i="21"/>
  <c r="D27" i="30" l="1"/>
  <c r="C90" i="30"/>
  <c r="C78" i="29"/>
  <c r="C85" i="29"/>
  <c r="D30" i="29" s="1"/>
  <c r="F56" i="29"/>
  <c r="G87" i="29"/>
  <c r="G66" i="29"/>
  <c r="G33" i="29"/>
  <c r="G57" i="29"/>
  <c r="G51" i="29"/>
  <c r="G73" i="29"/>
  <c r="G48" i="29"/>
  <c r="G42" i="29"/>
  <c r="G50" i="29"/>
  <c r="G88" i="29"/>
  <c r="G74" i="29"/>
  <c r="G47" i="29"/>
  <c r="G46" i="29" s="1"/>
  <c r="G92" i="29"/>
  <c r="G49" i="29"/>
  <c r="G26" i="29"/>
  <c r="G43" i="29"/>
  <c r="G32" i="29"/>
  <c r="H25" i="29"/>
  <c r="G53" i="29"/>
  <c r="G58" i="29"/>
  <c r="C46" i="29"/>
  <c r="C69" i="29" s="1"/>
  <c r="C70" i="29"/>
  <c r="C84" i="29" s="1"/>
  <c r="D29" i="29" s="1"/>
  <c r="K46" i="29"/>
  <c r="G87" i="27"/>
  <c r="G49" i="27"/>
  <c r="G43" i="27"/>
  <c r="G26" i="27"/>
  <c r="G33" i="27"/>
  <c r="G66" i="27"/>
  <c r="G73" i="27"/>
  <c r="G51" i="27"/>
  <c r="G48" i="27"/>
  <c r="G42" i="27"/>
  <c r="G53" i="27"/>
  <c r="G32" i="27"/>
  <c r="G58" i="27"/>
  <c r="G88" i="27"/>
  <c r="G50" i="27"/>
  <c r="G92" i="27"/>
  <c r="G74" i="27"/>
  <c r="G47" i="27"/>
  <c r="G46" i="27" s="1"/>
  <c r="G57" i="27"/>
  <c r="F56" i="27"/>
  <c r="D47" i="27"/>
  <c r="D46" i="27" s="1"/>
  <c r="C48" i="27"/>
  <c r="C71" i="27" s="1"/>
  <c r="E48" i="27"/>
  <c r="D48" i="27"/>
  <c r="C47" i="27"/>
  <c r="E47" i="27"/>
  <c r="E46" i="27" s="1"/>
  <c r="F47" i="27"/>
  <c r="F46" i="27" s="1"/>
  <c r="F46" i="26"/>
  <c r="F48" i="26"/>
  <c r="F56" i="26"/>
  <c r="L88" i="26"/>
  <c r="L74" i="26"/>
  <c r="L47" i="26"/>
  <c r="L46" i="26" s="1"/>
  <c r="L26" i="26"/>
  <c r="L92" i="26"/>
  <c r="L49" i="26"/>
  <c r="L43" i="26"/>
  <c r="L87" i="26"/>
  <c r="L66" i="26"/>
  <c r="L33" i="26"/>
  <c r="L50" i="26"/>
  <c r="L73" i="26"/>
  <c r="L51" i="26"/>
  <c r="L56" i="26"/>
  <c r="L48" i="26"/>
  <c r="L42" i="26"/>
  <c r="L32" i="26"/>
  <c r="L57" i="26"/>
  <c r="L58" i="26"/>
  <c r="L53" i="26"/>
  <c r="K53" i="26"/>
  <c r="G87" i="26"/>
  <c r="G66" i="26"/>
  <c r="G33" i="26"/>
  <c r="G73" i="26"/>
  <c r="G51" i="26"/>
  <c r="G43" i="26"/>
  <c r="G48" i="26"/>
  <c r="G42" i="26"/>
  <c r="G32" i="26"/>
  <c r="G50" i="26"/>
  <c r="G92" i="26"/>
  <c r="G88" i="26"/>
  <c r="G49" i="26"/>
  <c r="G26" i="26"/>
  <c r="G56" i="26" s="1"/>
  <c r="G74" i="26"/>
  <c r="G58" i="26"/>
  <c r="G47" i="26"/>
  <c r="G46" i="26" s="1"/>
  <c r="G57" i="26"/>
  <c r="K56" i="26"/>
  <c r="C47" i="26"/>
  <c r="J48" i="26"/>
  <c r="E47" i="26"/>
  <c r="I48" i="26"/>
  <c r="D47" i="26"/>
  <c r="I47" i="26"/>
  <c r="I46" i="26" s="1"/>
  <c r="E48" i="26"/>
  <c r="C48" i="26"/>
  <c r="C71" i="26" s="1"/>
  <c r="D48" i="26"/>
  <c r="J47" i="26"/>
  <c r="J46" i="26" s="1"/>
  <c r="H33" i="25"/>
  <c r="H88" i="25"/>
  <c r="H50" i="25"/>
  <c r="H74" i="25"/>
  <c r="H58" i="25"/>
  <c r="H92" i="25"/>
  <c r="H66" i="25"/>
  <c r="H51" i="25"/>
  <c r="H43" i="25"/>
  <c r="H49" i="25"/>
  <c r="H26" i="25"/>
  <c r="L88" i="25"/>
  <c r="L50" i="25"/>
  <c r="L74" i="25"/>
  <c r="L92" i="25"/>
  <c r="L53" i="25"/>
  <c r="L66" i="25"/>
  <c r="L49" i="25"/>
  <c r="L43" i="25"/>
  <c r="L26" i="25"/>
  <c r="L33" i="25"/>
  <c r="L51" i="25"/>
  <c r="L58" i="25"/>
  <c r="L56" i="25"/>
  <c r="L57" i="25"/>
  <c r="B48" i="25"/>
  <c r="H47" i="25" s="1"/>
  <c r="B55" i="25"/>
  <c r="C55" i="25"/>
  <c r="C54" i="25" s="1"/>
  <c r="K57" i="25"/>
  <c r="G56" i="25"/>
  <c r="K47" i="24"/>
  <c r="K48" i="24"/>
  <c r="E46" i="24"/>
  <c r="F92" i="24"/>
  <c r="F66" i="24"/>
  <c r="F49" i="24"/>
  <c r="F43" i="24"/>
  <c r="F26" i="24"/>
  <c r="F53" i="24"/>
  <c r="F47" i="24"/>
  <c r="F46" i="24" s="1"/>
  <c r="F33" i="24"/>
  <c r="F51" i="24"/>
  <c r="F48" i="24"/>
  <c r="F74" i="24"/>
  <c r="F88" i="24"/>
  <c r="F56" i="24"/>
  <c r="F50" i="24"/>
  <c r="F58" i="24"/>
  <c r="F57" i="24"/>
  <c r="L88" i="24"/>
  <c r="L74" i="24"/>
  <c r="L92" i="24"/>
  <c r="L47" i="24"/>
  <c r="L66" i="24"/>
  <c r="L49" i="24"/>
  <c r="L43" i="24"/>
  <c r="L26" i="24"/>
  <c r="L33" i="24"/>
  <c r="L51" i="24"/>
  <c r="L48" i="24"/>
  <c r="L46" i="24"/>
  <c r="L50" i="24"/>
  <c r="L57" i="24"/>
  <c r="L53" i="24"/>
  <c r="L58" i="24"/>
  <c r="L56" i="24"/>
  <c r="C48" i="24"/>
  <c r="C71" i="24" s="1"/>
  <c r="J48" i="24"/>
  <c r="D48" i="24"/>
  <c r="D47" i="24"/>
  <c r="D46" i="24" s="1"/>
  <c r="I48" i="24"/>
  <c r="C47" i="24"/>
  <c r="I47" i="24"/>
  <c r="J47" i="24"/>
  <c r="J46" i="24" s="1"/>
  <c r="E53" i="24"/>
  <c r="K53" i="24"/>
  <c r="K57" i="24"/>
  <c r="K56" i="24"/>
  <c r="I92" i="21"/>
  <c r="I66" i="21"/>
  <c r="I33" i="21"/>
  <c r="I26" i="21"/>
  <c r="I56" i="21" s="1"/>
  <c r="J25" i="21"/>
  <c r="I50" i="21"/>
  <c r="I47" i="21"/>
  <c r="I74" i="21"/>
  <c r="I51" i="21"/>
  <c r="I48" i="21"/>
  <c r="I88" i="21"/>
  <c r="I43" i="21"/>
  <c r="I49" i="21"/>
  <c r="I58" i="21"/>
  <c r="H53" i="21"/>
  <c r="C55" i="21"/>
  <c r="C54" i="21" s="1"/>
  <c r="B48" i="21"/>
  <c r="B55" i="21"/>
  <c r="D36" i="30" l="1"/>
  <c r="D35" i="30"/>
  <c r="D77" i="29"/>
  <c r="D93" i="29" s="1"/>
  <c r="D44" i="29"/>
  <c r="D55" i="29" s="1"/>
  <c r="D54" i="29" s="1"/>
  <c r="H73" i="29"/>
  <c r="H80" i="29" s="1"/>
  <c r="H57" i="29"/>
  <c r="H51" i="29"/>
  <c r="H48" i="29"/>
  <c r="H42" i="29"/>
  <c r="H32" i="29"/>
  <c r="H50" i="29"/>
  <c r="H88" i="29"/>
  <c r="H74" i="29"/>
  <c r="H92" i="29"/>
  <c r="H49" i="29"/>
  <c r="H87" i="29"/>
  <c r="H66" i="29"/>
  <c r="H47" i="29"/>
  <c r="H46" i="29" s="1"/>
  <c r="H26" i="29"/>
  <c r="H53" i="29"/>
  <c r="H43" i="29"/>
  <c r="H33" i="29"/>
  <c r="H58" i="29"/>
  <c r="H56" i="29"/>
  <c r="C76" i="29"/>
  <c r="C83" i="29" s="1"/>
  <c r="G56" i="29"/>
  <c r="C46" i="27"/>
  <c r="C69" i="27" s="1"/>
  <c r="C70" i="27"/>
  <c r="C84" i="27" s="1"/>
  <c r="D29" i="27" s="1"/>
  <c r="G56" i="27"/>
  <c r="C78" i="27"/>
  <c r="C85" i="27"/>
  <c r="D30" i="27" s="1"/>
  <c r="D46" i="26"/>
  <c r="E46" i="26"/>
  <c r="G53" i="26"/>
  <c r="C46" i="26"/>
  <c r="C69" i="26" s="1"/>
  <c r="C70" i="26"/>
  <c r="C84" i="26" s="1"/>
  <c r="D29" i="26" s="1"/>
  <c r="C78" i="26"/>
  <c r="C85" i="26"/>
  <c r="D30" i="26" s="1"/>
  <c r="H73" i="26"/>
  <c r="H80" i="26" s="1"/>
  <c r="H57" i="26"/>
  <c r="H51" i="26"/>
  <c r="H33" i="26"/>
  <c r="H48" i="26"/>
  <c r="H46" i="26"/>
  <c r="H42" i="26"/>
  <c r="H32" i="26"/>
  <c r="H50" i="26"/>
  <c r="H66" i="26"/>
  <c r="H88" i="26"/>
  <c r="H87" i="26"/>
  <c r="H74" i="26"/>
  <c r="H47" i="26"/>
  <c r="H92" i="26"/>
  <c r="H49" i="26"/>
  <c r="H43" i="26"/>
  <c r="H26" i="26"/>
  <c r="H58" i="26"/>
  <c r="H53" i="26"/>
  <c r="L48" i="25"/>
  <c r="H48" i="25"/>
  <c r="H46" i="25" s="1"/>
  <c r="D47" i="25"/>
  <c r="E47" i="25"/>
  <c r="C48" i="25"/>
  <c r="C71" i="25" s="1"/>
  <c r="F48" i="25"/>
  <c r="I48" i="25"/>
  <c r="J47" i="25"/>
  <c r="J48" i="25"/>
  <c r="D48" i="25"/>
  <c r="I47" i="25"/>
  <c r="I46" i="25" s="1"/>
  <c r="E48" i="25"/>
  <c r="F47" i="25"/>
  <c r="C47" i="25"/>
  <c r="G47" i="25"/>
  <c r="K48" i="25"/>
  <c r="K47" i="25"/>
  <c r="G48" i="25"/>
  <c r="H53" i="25"/>
  <c r="H56" i="25"/>
  <c r="L47" i="25"/>
  <c r="H57" i="25"/>
  <c r="K46" i="24"/>
  <c r="I46" i="24"/>
  <c r="G66" i="24"/>
  <c r="G33" i="24"/>
  <c r="G51" i="24"/>
  <c r="G49" i="24"/>
  <c r="G48" i="24"/>
  <c r="G88" i="24"/>
  <c r="G50" i="24"/>
  <c r="G92" i="24"/>
  <c r="G53" i="24"/>
  <c r="G47" i="24"/>
  <c r="G74" i="24"/>
  <c r="G58" i="24"/>
  <c r="G43" i="24"/>
  <c r="G26" i="24"/>
  <c r="G57" i="24"/>
  <c r="C46" i="24"/>
  <c r="C69" i="24" s="1"/>
  <c r="C70" i="24"/>
  <c r="C84" i="24" s="1"/>
  <c r="D29" i="24" s="1"/>
  <c r="C85" i="24"/>
  <c r="D30" i="24" s="1"/>
  <c r="I46" i="21"/>
  <c r="J26" i="21"/>
  <c r="J56" i="21" s="1"/>
  <c r="J92" i="21"/>
  <c r="J66" i="21"/>
  <c r="K25" i="21"/>
  <c r="J49" i="21"/>
  <c r="J58" i="21"/>
  <c r="J47" i="21"/>
  <c r="J51" i="21"/>
  <c r="J74" i="21"/>
  <c r="J57" i="21"/>
  <c r="J48" i="21"/>
  <c r="J88" i="21"/>
  <c r="J33" i="21"/>
  <c r="J43" i="21"/>
  <c r="J50" i="21"/>
  <c r="I57" i="21"/>
  <c r="I53" i="21"/>
  <c r="C47" i="21"/>
  <c r="E48" i="21"/>
  <c r="C48" i="21"/>
  <c r="C71" i="21" s="1"/>
  <c r="C85" i="21" s="1"/>
  <c r="D30" i="21" s="1"/>
  <c r="D48" i="21"/>
  <c r="E47" i="21"/>
  <c r="E46" i="21" s="1"/>
  <c r="D47" i="21"/>
  <c r="D46" i="21" s="1"/>
  <c r="D37" i="30" l="1"/>
  <c r="D42" i="30" s="1"/>
  <c r="C89" i="29"/>
  <c r="D27" i="29" s="1"/>
  <c r="D28" i="29"/>
  <c r="C90" i="29"/>
  <c r="D44" i="27"/>
  <c r="D55" i="27" s="1"/>
  <c r="D54" i="27" s="1"/>
  <c r="D77" i="27"/>
  <c r="D93" i="27" s="1"/>
  <c r="C83" i="27"/>
  <c r="D44" i="26"/>
  <c r="D55" i="26" s="1"/>
  <c r="D54" i="26" s="1"/>
  <c r="D93" i="26"/>
  <c r="H56" i="26"/>
  <c r="C76" i="26"/>
  <c r="C83" i="26" s="1"/>
  <c r="J46" i="25"/>
  <c r="L46" i="25"/>
  <c r="E46" i="25"/>
  <c r="K46" i="25"/>
  <c r="G46" i="25"/>
  <c r="C46" i="25"/>
  <c r="C69" i="25" s="1"/>
  <c r="C70" i="25"/>
  <c r="C84" i="25" s="1"/>
  <c r="D29" i="25" s="1"/>
  <c r="F46" i="25"/>
  <c r="C78" i="25"/>
  <c r="C85" i="25"/>
  <c r="D30" i="25" s="1"/>
  <c r="D46" i="25"/>
  <c r="G46" i="24"/>
  <c r="H51" i="24"/>
  <c r="H49" i="24"/>
  <c r="H48" i="24"/>
  <c r="H88" i="24"/>
  <c r="H50" i="24"/>
  <c r="H74" i="24"/>
  <c r="H58" i="24"/>
  <c r="H92" i="24"/>
  <c r="H47" i="24"/>
  <c r="H46" i="24" s="1"/>
  <c r="H66" i="24"/>
  <c r="H43" i="24"/>
  <c r="H26" i="24"/>
  <c r="H33" i="24"/>
  <c r="D93" i="24"/>
  <c r="D44" i="24"/>
  <c r="D55" i="24" s="1"/>
  <c r="D54" i="24" s="1"/>
  <c r="C83" i="24"/>
  <c r="G56" i="24"/>
  <c r="J46" i="21"/>
  <c r="J53" i="21"/>
  <c r="K48" i="21"/>
  <c r="K33" i="21"/>
  <c r="K26" i="21"/>
  <c r="K53" i="21"/>
  <c r="K92" i="21"/>
  <c r="K74" i="21"/>
  <c r="L25" i="21"/>
  <c r="K66" i="21"/>
  <c r="K43" i="21"/>
  <c r="K49" i="21"/>
  <c r="K58" i="21"/>
  <c r="K50" i="21"/>
  <c r="K57" i="21"/>
  <c r="K47" i="21"/>
  <c r="K46" i="21" s="1"/>
  <c r="K51" i="21"/>
  <c r="K56" i="21"/>
  <c r="K88" i="21"/>
  <c r="C46" i="21"/>
  <c r="C69" i="21" s="1"/>
  <c r="C70" i="21"/>
  <c r="C84" i="21" s="1"/>
  <c r="D29" i="21" s="1"/>
  <c r="D50" i="30" l="1"/>
  <c r="D39" i="30"/>
  <c r="D38" i="30"/>
  <c r="D40" i="30"/>
  <c r="D41" i="30"/>
  <c r="D72" i="30" s="1"/>
  <c r="D86" i="30" s="1"/>
  <c r="E31" i="30" s="1"/>
  <c r="D35" i="29"/>
  <c r="D36" i="29"/>
  <c r="C89" i="27"/>
  <c r="D27" i="27" s="1"/>
  <c r="D28" i="27"/>
  <c r="C90" i="27"/>
  <c r="C89" i="26"/>
  <c r="D27" i="26" s="1"/>
  <c r="D28" i="26"/>
  <c r="C90" i="26"/>
  <c r="D77" i="25"/>
  <c r="D93" i="25" s="1"/>
  <c r="D44" i="25"/>
  <c r="D55" i="25" s="1"/>
  <c r="D54" i="25" s="1"/>
  <c r="C76" i="25"/>
  <c r="C83" i="25"/>
  <c r="H53" i="24"/>
  <c r="H57" i="24"/>
  <c r="H56" i="24"/>
  <c r="C89" i="24"/>
  <c r="D27" i="24" s="1"/>
  <c r="D28" i="24"/>
  <c r="L92" i="21"/>
  <c r="L51" i="21"/>
  <c r="L26" i="21"/>
  <c r="L57" i="21" s="1"/>
  <c r="L66" i="21"/>
  <c r="L33" i="21"/>
  <c r="L58" i="21"/>
  <c r="L50" i="21"/>
  <c r="L56" i="21"/>
  <c r="L74" i="21"/>
  <c r="L48" i="21"/>
  <c r="L47" i="21"/>
  <c r="L49" i="21"/>
  <c r="L43" i="21"/>
  <c r="L88" i="21"/>
  <c r="C76" i="21"/>
  <c r="D77" i="21"/>
  <c r="D93" i="21" s="1"/>
  <c r="D44" i="21"/>
  <c r="D73" i="30" l="1"/>
  <c r="D87" i="30" s="1"/>
  <c r="E32" i="30" s="1"/>
  <c r="D48" i="30"/>
  <c r="D47" i="30" s="1"/>
  <c r="D46" i="30" s="1"/>
  <c r="D69" i="30" s="1"/>
  <c r="D83" i="30" s="1"/>
  <c r="D37" i="29"/>
  <c r="D35" i="27"/>
  <c r="D36" i="27"/>
  <c r="D36" i="26"/>
  <c r="D35" i="26"/>
  <c r="C89" i="25"/>
  <c r="D27" i="25" s="1"/>
  <c r="D28" i="25"/>
  <c r="D35" i="24"/>
  <c r="D36" i="24"/>
  <c r="C90" i="24"/>
  <c r="L46" i="21"/>
  <c r="L53" i="21"/>
  <c r="D55" i="21"/>
  <c r="C83" i="21"/>
  <c r="D70" i="30" l="1"/>
  <c r="D84" i="30" s="1"/>
  <c r="E29" i="30" s="1"/>
  <c r="D71" i="30"/>
  <c r="D78" i="30" s="1"/>
  <c r="D85" i="30" s="1"/>
  <c r="E30" i="30" s="1"/>
  <c r="E28" i="30"/>
  <c r="D39" i="29"/>
  <c r="D70" i="29" s="1"/>
  <c r="D84" i="29" s="1"/>
  <c r="E29" i="29" s="1"/>
  <c r="D40" i="29"/>
  <c r="D71" i="29" s="1"/>
  <c r="D38" i="29"/>
  <c r="D41" i="29"/>
  <c r="D72" i="29" s="1"/>
  <c r="D86" i="29" s="1"/>
  <c r="E31" i="29" s="1"/>
  <c r="D37" i="27"/>
  <c r="D37" i="26"/>
  <c r="C90" i="25"/>
  <c r="D35" i="25"/>
  <c r="D36" i="25"/>
  <c r="D37" i="24"/>
  <c r="D54" i="21"/>
  <c r="C89" i="21"/>
  <c r="D28" i="21"/>
  <c r="D89" i="30" l="1"/>
  <c r="E27" i="30" s="1"/>
  <c r="E93" i="30"/>
  <c r="E44" i="30"/>
  <c r="E55" i="30" s="1"/>
  <c r="E54" i="30" s="1"/>
  <c r="D69" i="29"/>
  <c r="D78" i="29"/>
  <c r="D85" i="29"/>
  <c r="E30" i="29" s="1"/>
  <c r="E77" i="29"/>
  <c r="E93" i="29" s="1"/>
  <c r="E44" i="29"/>
  <c r="E55" i="29" s="1"/>
  <c r="E54" i="29" s="1"/>
  <c r="D41" i="27"/>
  <c r="D72" i="27" s="1"/>
  <c r="D86" i="27" s="1"/>
  <c r="E31" i="27" s="1"/>
  <c r="D38" i="27"/>
  <c r="D40" i="27"/>
  <c r="D71" i="27" s="1"/>
  <c r="D39" i="27"/>
  <c r="D70" i="27" s="1"/>
  <c r="D84" i="27" s="1"/>
  <c r="E29" i="27" s="1"/>
  <c r="D41" i="26"/>
  <c r="D72" i="26" s="1"/>
  <c r="D86" i="26" s="1"/>
  <c r="E31" i="26" s="1"/>
  <c r="D40" i="26"/>
  <c r="D71" i="26" s="1"/>
  <c r="D39" i="26"/>
  <c r="D70" i="26" s="1"/>
  <c r="D84" i="26" s="1"/>
  <c r="E29" i="26" s="1"/>
  <c r="D38" i="26"/>
  <c r="D37" i="25"/>
  <c r="D39" i="24"/>
  <c r="D70" i="24" s="1"/>
  <c r="D84" i="24" s="1"/>
  <c r="E29" i="24" s="1"/>
  <c r="D42" i="24"/>
  <c r="D73" i="24" s="1"/>
  <c r="D87" i="24" s="1"/>
  <c r="E32" i="24" s="1"/>
  <c r="D41" i="24"/>
  <c r="D72" i="24" s="1"/>
  <c r="D86" i="24" s="1"/>
  <c r="E31" i="24" s="1"/>
  <c r="D40" i="24"/>
  <c r="D71" i="24" s="1"/>
  <c r="D38" i="24"/>
  <c r="D27" i="21"/>
  <c r="C90" i="2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D90" i="30" l="1"/>
  <c r="E35" i="30"/>
  <c r="E36" i="30"/>
  <c r="D76" i="29"/>
  <c r="D83" i="29" s="1"/>
  <c r="E77" i="27"/>
  <c r="E93" i="27" s="1"/>
  <c r="E44" i="27"/>
  <c r="E55" i="27" s="1"/>
  <c r="E54" i="27" s="1"/>
  <c r="D78" i="27"/>
  <c r="D85" i="27" s="1"/>
  <c r="E30" i="27" s="1"/>
  <c r="D69" i="27"/>
  <c r="D69" i="26"/>
  <c r="E77" i="26"/>
  <c r="E93" i="26" s="1"/>
  <c r="E44" i="26"/>
  <c r="E55" i="26" s="1"/>
  <c r="E54" i="26" s="1"/>
  <c r="D78" i="26"/>
  <c r="D85" i="26"/>
  <c r="E30" i="26" s="1"/>
  <c r="D38" i="25"/>
  <c r="D41" i="25"/>
  <c r="D72" i="25" s="1"/>
  <c r="D86" i="25" s="1"/>
  <c r="E31" i="25" s="1"/>
  <c r="D39" i="25"/>
  <c r="D70" i="25" s="1"/>
  <c r="D84" i="25" s="1"/>
  <c r="E29" i="25" s="1"/>
  <c r="D42" i="25"/>
  <c r="D73" i="25" s="1"/>
  <c r="D87" i="25" s="1"/>
  <c r="E32" i="25" s="1"/>
  <c r="D40" i="25"/>
  <c r="D71" i="25" s="1"/>
  <c r="D69" i="24"/>
  <c r="D85" i="24"/>
  <c r="E30" i="24" s="1"/>
  <c r="E93" i="24"/>
  <c r="E44" i="24"/>
  <c r="E55" i="24" s="1"/>
  <c r="E54" i="24" s="1"/>
  <c r="D35" i="21"/>
  <c r="D36" i="21"/>
  <c r="D38" i="16"/>
  <c r="D37" i="16" s="1"/>
  <c r="C37" i="16"/>
  <c r="C32" i="16"/>
  <c r="C33" i="16"/>
  <c r="C55" i="16" s="1"/>
  <c r="D26" i="16" s="1"/>
  <c r="C34" i="16"/>
  <c r="C47" i="16" s="1"/>
  <c r="C56" i="16" s="1"/>
  <c r="D51" i="16"/>
  <c r="E22" i="16"/>
  <c r="E37" i="30" l="1"/>
  <c r="E42" i="30" s="1"/>
  <c r="D89" i="29"/>
  <c r="E27" i="29" s="1"/>
  <c r="E28" i="29"/>
  <c r="D83" i="27"/>
  <c r="D76" i="26"/>
  <c r="D83" i="26"/>
  <c r="D78" i="25"/>
  <c r="D85" i="25" s="1"/>
  <c r="E30" i="25" s="1"/>
  <c r="E44" i="25"/>
  <c r="E55" i="25" s="1"/>
  <c r="E54" i="25" s="1"/>
  <c r="E77" i="25"/>
  <c r="E93" i="25" s="1"/>
  <c r="D69" i="25"/>
  <c r="D83" i="24"/>
  <c r="D37" i="21"/>
  <c r="D50" i="16"/>
  <c r="D60" i="16" s="1"/>
  <c r="E59" i="16"/>
  <c r="E23" i="16"/>
  <c r="E35" i="16"/>
  <c r="E36" i="16" s="1"/>
  <c r="F22" i="16"/>
  <c r="E51" i="16"/>
  <c r="E50" i="30" l="1"/>
  <c r="E48" i="30" s="1"/>
  <c r="E39" i="30"/>
  <c r="E41" i="30"/>
  <c r="E72" i="30" s="1"/>
  <c r="E86" i="30" s="1"/>
  <c r="F31" i="30" s="1"/>
  <c r="E38" i="30"/>
  <c r="E40" i="30"/>
  <c r="E35" i="29"/>
  <c r="E36" i="29"/>
  <c r="D90" i="29"/>
  <c r="D89" i="27"/>
  <c r="E27" i="27" s="1"/>
  <c r="E28" i="27"/>
  <c r="E28" i="26"/>
  <c r="D89" i="26"/>
  <c r="E27" i="26" s="1"/>
  <c r="D90" i="26"/>
  <c r="D76" i="25"/>
  <c r="D83" i="25" s="1"/>
  <c r="D89" i="24"/>
  <c r="E27" i="24" s="1"/>
  <c r="E28" i="24"/>
  <c r="D40" i="21"/>
  <c r="D71" i="21" s="1"/>
  <c r="D38" i="21"/>
  <c r="D39" i="21"/>
  <c r="D70" i="21" s="1"/>
  <c r="D84" i="21" s="1"/>
  <c r="E29" i="21" s="1"/>
  <c r="D41" i="21"/>
  <c r="D72" i="21" s="1"/>
  <c r="D86" i="21" s="1"/>
  <c r="E31" i="21" s="1"/>
  <c r="D42" i="21"/>
  <c r="D73" i="21" s="1"/>
  <c r="C49" i="16"/>
  <c r="C54" i="16" s="1"/>
  <c r="E38" i="16"/>
  <c r="E37" i="16" s="1"/>
  <c r="F35" i="16"/>
  <c r="G22" i="16"/>
  <c r="F51" i="16"/>
  <c r="F23" i="16"/>
  <c r="F36" i="16"/>
  <c r="F38" i="16" s="1"/>
  <c r="F59" i="16"/>
  <c r="E71" i="30" l="1"/>
  <c r="E78" i="30" s="1"/>
  <c r="E85" i="30" s="1"/>
  <c r="F30" i="30" s="1"/>
  <c r="E73" i="30"/>
  <c r="E87" i="30" s="1"/>
  <c r="F32" i="30" s="1"/>
  <c r="E47" i="30"/>
  <c r="E46" i="30" s="1"/>
  <c r="E69" i="30" s="1"/>
  <c r="E83" i="30" s="1"/>
  <c r="E37" i="29"/>
  <c r="D90" i="27"/>
  <c r="E35" i="27"/>
  <c r="E36" i="27"/>
  <c r="E35" i="26"/>
  <c r="E36" i="26"/>
  <c r="D89" i="25"/>
  <c r="E27" i="25" s="1"/>
  <c r="E28" i="25"/>
  <c r="D90" i="24"/>
  <c r="E35" i="24"/>
  <c r="E36" i="24"/>
  <c r="D78" i="21"/>
  <c r="D85" i="21" s="1"/>
  <c r="E30" i="21" s="1"/>
  <c r="D87" i="21"/>
  <c r="E32" i="21" s="1"/>
  <c r="E44" i="21"/>
  <c r="E77" i="21"/>
  <c r="E93" i="21" s="1"/>
  <c r="D69" i="21"/>
  <c r="D76" i="21" s="1"/>
  <c r="D25" i="16"/>
  <c r="C57" i="16"/>
  <c r="D24" i="16" s="1"/>
  <c r="D29" i="16" s="1"/>
  <c r="F37" i="16"/>
  <c r="G51" i="16"/>
  <c r="H22" i="16"/>
  <c r="G35" i="16"/>
  <c r="G23" i="16"/>
  <c r="G36" i="16"/>
  <c r="G59" i="16"/>
  <c r="E70" i="30" l="1"/>
  <c r="E84" i="30" s="1"/>
  <c r="F29" i="30" s="1"/>
  <c r="F28" i="30"/>
  <c r="E40" i="29"/>
  <c r="E71" i="29" s="1"/>
  <c r="E39" i="29"/>
  <c r="E70" i="29" s="1"/>
  <c r="E84" i="29" s="1"/>
  <c r="F29" i="29" s="1"/>
  <c r="E41" i="29"/>
  <c r="E72" i="29" s="1"/>
  <c r="E86" i="29" s="1"/>
  <c r="F31" i="29" s="1"/>
  <c r="E38" i="29"/>
  <c r="E37" i="27"/>
  <c r="E37" i="26"/>
  <c r="D90" i="25"/>
  <c r="E35" i="25"/>
  <c r="E36" i="25"/>
  <c r="E37" i="24"/>
  <c r="E55" i="21"/>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E89" i="30" l="1"/>
  <c r="E90" i="30" s="1"/>
  <c r="F44" i="30"/>
  <c r="F55" i="30" s="1"/>
  <c r="F54" i="30" s="1"/>
  <c r="F93" i="30"/>
  <c r="E69" i="29"/>
  <c r="F77" i="29"/>
  <c r="F93" i="29" s="1"/>
  <c r="F44" i="29"/>
  <c r="F55" i="29" s="1"/>
  <c r="F54" i="29" s="1"/>
  <c r="E78" i="29"/>
  <c r="E85" i="29" s="1"/>
  <c r="F30" i="29" s="1"/>
  <c r="E40" i="27"/>
  <c r="E71" i="27" s="1"/>
  <c r="E41" i="27"/>
  <c r="E72" i="27" s="1"/>
  <c r="E86" i="27" s="1"/>
  <c r="F31" i="27" s="1"/>
  <c r="E38" i="27"/>
  <c r="E39" i="27"/>
  <c r="E70" i="27" s="1"/>
  <c r="E84" i="27" s="1"/>
  <c r="F29" i="27" s="1"/>
  <c r="E41" i="26"/>
  <c r="E72" i="26" s="1"/>
  <c r="E86" i="26" s="1"/>
  <c r="F31" i="26" s="1"/>
  <c r="E39" i="26"/>
  <c r="E70" i="26" s="1"/>
  <c r="E84" i="26" s="1"/>
  <c r="F29" i="26" s="1"/>
  <c r="E38" i="26"/>
  <c r="E40" i="26"/>
  <c r="E71" i="26" s="1"/>
  <c r="E37" i="25"/>
  <c r="E38" i="24"/>
  <c r="E39" i="24"/>
  <c r="E70" i="24" s="1"/>
  <c r="E84" i="24" s="1"/>
  <c r="F29" i="24" s="1"/>
  <c r="E40" i="24"/>
  <c r="E71" i="24" s="1"/>
  <c r="E42" i="24"/>
  <c r="E73" i="24" s="1"/>
  <c r="E41" i="24"/>
  <c r="E72" i="24" s="1"/>
  <c r="E86" i="24" s="1"/>
  <c r="F31" i="24" s="1"/>
  <c r="E54" i="21"/>
  <c r="D83" i="21"/>
  <c r="D32" i="16"/>
  <c r="D45" i="16" s="1"/>
  <c r="D49" i="16" s="1"/>
  <c r="D54" i="16" s="1"/>
  <c r="D34" i="16"/>
  <c r="D47" i="16" s="1"/>
  <c r="D56" i="16" s="1"/>
  <c r="D33" i="16"/>
  <c r="D46" i="16" s="1"/>
  <c r="D55" i="16" s="1"/>
  <c r="E26" i="16" s="1"/>
  <c r="E50" i="16" s="1"/>
  <c r="E60" i="16" s="1"/>
  <c r="H38" i="16"/>
  <c r="H37" i="16" s="1"/>
  <c r="I23" i="16"/>
  <c r="I59" i="16"/>
  <c r="I51" i="16"/>
  <c r="I35" i="16"/>
  <c r="I36" i="16" s="1"/>
  <c r="J22" i="16"/>
  <c r="F27" i="30" l="1"/>
  <c r="F36" i="30" s="1"/>
  <c r="E76" i="29"/>
  <c r="F77" i="27"/>
  <c r="F93" i="27" s="1"/>
  <c r="F44" i="27"/>
  <c r="F55" i="27" s="1"/>
  <c r="F54" i="27" s="1"/>
  <c r="E69" i="27"/>
  <c r="E78" i="27"/>
  <c r="E85" i="27"/>
  <c r="F30" i="27" s="1"/>
  <c r="E78" i="26"/>
  <c r="E85" i="26" s="1"/>
  <c r="F30" i="26" s="1"/>
  <c r="E69" i="26"/>
  <c r="F77" i="26"/>
  <c r="F93" i="26" s="1"/>
  <c r="F44" i="26"/>
  <c r="F55" i="26" s="1"/>
  <c r="F54" i="26" s="1"/>
  <c r="E41" i="25"/>
  <c r="E72" i="25" s="1"/>
  <c r="E86" i="25" s="1"/>
  <c r="F31" i="25" s="1"/>
  <c r="E42" i="25"/>
  <c r="E73" i="25" s="1"/>
  <c r="E38" i="25"/>
  <c r="E39" i="25"/>
  <c r="E70" i="25" s="1"/>
  <c r="E84" i="25" s="1"/>
  <c r="F29" i="25" s="1"/>
  <c r="E40" i="25"/>
  <c r="E71" i="25" s="1"/>
  <c r="E69" i="24"/>
  <c r="E85" i="24"/>
  <c r="F30" i="24" s="1"/>
  <c r="E80" i="24"/>
  <c r="E87" i="24"/>
  <c r="F32" i="24" s="1"/>
  <c r="F93" i="24"/>
  <c r="F44" i="24"/>
  <c r="F55" i="24" s="1"/>
  <c r="F54" i="24" s="1"/>
  <c r="D89" i="21"/>
  <c r="E28" i="21"/>
  <c r="I38" i="16"/>
  <c r="I37" i="16" s="1"/>
  <c r="D57" i="16"/>
  <c r="E24" i="16" s="1"/>
  <c r="E25" i="16"/>
  <c r="J36" i="16"/>
  <c r="J38" i="16" s="1"/>
  <c r="J23" i="16"/>
  <c r="J35" i="16"/>
  <c r="J59" i="16"/>
  <c r="K22" i="16"/>
  <c r="J51" i="16"/>
  <c r="F35" i="30" l="1"/>
  <c r="F37" i="30" s="1"/>
  <c r="F42" i="30" s="1"/>
  <c r="E83" i="29"/>
  <c r="E83" i="27"/>
  <c r="E76" i="26"/>
  <c r="E83" i="26" s="1"/>
  <c r="E78" i="25"/>
  <c r="E85" i="25" s="1"/>
  <c r="F30" i="25" s="1"/>
  <c r="F77" i="25"/>
  <c r="F93" i="25" s="1"/>
  <c r="F44" i="25"/>
  <c r="F55" i="25" s="1"/>
  <c r="F54" i="25" s="1"/>
  <c r="E69" i="25"/>
  <c r="E80" i="25"/>
  <c r="E87" i="25" s="1"/>
  <c r="F32" i="25" s="1"/>
  <c r="E83" i="24"/>
  <c r="E27" i="21"/>
  <c r="D90" i="21"/>
  <c r="J37" i="16"/>
  <c r="K36" i="16"/>
  <c r="K59" i="16"/>
  <c r="K23" i="16"/>
  <c r="K35" i="16"/>
  <c r="L22" i="16"/>
  <c r="K51" i="16"/>
  <c r="E27" i="16"/>
  <c r="E29" i="16"/>
  <c r="E31" i="16" s="1"/>
  <c r="E30" i="16"/>
  <c r="F50" i="30" l="1"/>
  <c r="F48" i="30" s="1"/>
  <c r="F40" i="30"/>
  <c r="F41" i="30"/>
  <c r="F72" i="30" s="1"/>
  <c r="F86" i="30" s="1"/>
  <c r="G31" i="30" s="1"/>
  <c r="F39" i="30"/>
  <c r="F38" i="30"/>
  <c r="E89" i="29"/>
  <c r="F28" i="29"/>
  <c r="E89" i="27"/>
  <c r="F27" i="27" s="1"/>
  <c r="F28" i="27"/>
  <c r="E90" i="27"/>
  <c r="E89" i="26"/>
  <c r="F27" i="26" s="1"/>
  <c r="F28" i="26"/>
  <c r="E76" i="25"/>
  <c r="E83" i="25" s="1"/>
  <c r="E89" i="24"/>
  <c r="F27" i="24" s="1"/>
  <c r="F28" i="24"/>
  <c r="E35" i="21"/>
  <c r="E36" i="21"/>
  <c r="L36" i="16"/>
  <c r="L59" i="16"/>
  <c r="L23" i="16"/>
  <c r="L35" i="16"/>
  <c r="L38" i="16"/>
  <c r="L51" i="16"/>
  <c r="L37" i="16"/>
  <c r="K38" i="16"/>
  <c r="K37" i="16" s="1"/>
  <c r="E33" i="16"/>
  <c r="E46" i="16" s="1"/>
  <c r="E55" i="16" s="1"/>
  <c r="F26" i="16" s="1"/>
  <c r="E32" i="16"/>
  <c r="E45" i="16" s="1"/>
  <c r="E34" i="16"/>
  <c r="E47" i="16" s="1"/>
  <c r="E56" i="16" s="1"/>
  <c r="F71" i="30" l="1"/>
  <c r="F78" i="30" s="1"/>
  <c r="F85" i="30" s="1"/>
  <c r="G30" i="30" s="1"/>
  <c r="F73" i="30"/>
  <c r="F87" i="30" s="1"/>
  <c r="G32" i="30" s="1"/>
  <c r="F47" i="30"/>
  <c r="F46" i="30" s="1"/>
  <c r="F69" i="30" s="1"/>
  <c r="F83" i="30" s="1"/>
  <c r="F27" i="29"/>
  <c r="E90" i="29"/>
  <c r="F35" i="27"/>
  <c r="F36" i="27"/>
  <c r="E90" i="26"/>
  <c r="F35" i="26"/>
  <c r="F36" i="26"/>
  <c r="E89" i="25"/>
  <c r="F27" i="25" s="1"/>
  <c r="F28" i="25"/>
  <c r="E90" i="24"/>
  <c r="F35" i="24"/>
  <c r="F36" i="24"/>
  <c r="E37" i="21"/>
  <c r="E49" i="16"/>
  <c r="E54" i="16" s="1"/>
  <c r="F50" i="16"/>
  <c r="F60" i="16" s="1"/>
  <c r="F70" i="30" l="1"/>
  <c r="F84" i="30" s="1"/>
  <c r="G29" i="30" s="1"/>
  <c r="G93" i="30" s="1"/>
  <c r="G28" i="30"/>
  <c r="F35" i="29"/>
  <c r="F36" i="29"/>
  <c r="F37" i="27"/>
  <c r="F37" i="26"/>
  <c r="E90" i="25"/>
  <c r="F35" i="25"/>
  <c r="F36" i="25"/>
  <c r="F37" i="24"/>
  <c r="E38" i="21"/>
  <c r="E40" i="21"/>
  <c r="E71" i="21" s="1"/>
  <c r="E42" i="21"/>
  <c r="E73" i="21" s="1"/>
  <c r="E41" i="21"/>
  <c r="E72" i="21" s="1"/>
  <c r="E86" i="21" s="1"/>
  <c r="F31" i="21" s="1"/>
  <c r="E39" i="21"/>
  <c r="E70" i="21" s="1"/>
  <c r="E84" i="21" s="1"/>
  <c r="F29" i="21" s="1"/>
  <c r="E57" i="16"/>
  <c r="F24" i="16" s="1"/>
  <c r="F25" i="16"/>
  <c r="F89" i="30" l="1"/>
  <c r="G27" i="30" s="1"/>
  <c r="G44" i="30"/>
  <c r="G55" i="30" s="1"/>
  <c r="G54" i="30" s="1"/>
  <c r="F37" i="29"/>
  <c r="F39" i="27"/>
  <c r="F70" i="27" s="1"/>
  <c r="F84" i="27" s="1"/>
  <c r="G29" i="27" s="1"/>
  <c r="F41" i="27"/>
  <c r="F72" i="27" s="1"/>
  <c r="F86" i="27" s="1"/>
  <c r="G31" i="27" s="1"/>
  <c r="F40" i="27"/>
  <c r="F71" i="27" s="1"/>
  <c r="F38" i="27"/>
  <c r="F40" i="26"/>
  <c r="F71" i="26" s="1"/>
  <c r="F38" i="26"/>
  <c r="F41" i="26"/>
  <c r="F72" i="26" s="1"/>
  <c r="F86" i="26" s="1"/>
  <c r="G31" i="26" s="1"/>
  <c r="F39" i="26"/>
  <c r="F70" i="26" s="1"/>
  <c r="F84" i="26" s="1"/>
  <c r="G29" i="26" s="1"/>
  <c r="F37" i="25"/>
  <c r="F40" i="24"/>
  <c r="F71" i="24" s="1"/>
  <c r="F39" i="24"/>
  <c r="F70" i="24" s="1"/>
  <c r="F84" i="24" s="1"/>
  <c r="G29" i="24" s="1"/>
  <c r="F38" i="24"/>
  <c r="F41" i="24"/>
  <c r="F72" i="24" s="1"/>
  <c r="F86" i="24" s="1"/>
  <c r="G31" i="24" s="1"/>
  <c r="F42" i="24"/>
  <c r="F73" i="24" s="1"/>
  <c r="F87" i="24" s="1"/>
  <c r="G32" i="24" s="1"/>
  <c r="E78" i="21"/>
  <c r="E85" i="21" s="1"/>
  <c r="F30" i="21" s="1"/>
  <c r="E87" i="21"/>
  <c r="F32" i="21" s="1"/>
  <c r="F77" i="21"/>
  <c r="F93" i="21" s="1"/>
  <c r="F44" i="21"/>
  <c r="E69" i="21"/>
  <c r="F27" i="16"/>
  <c r="F29" i="16"/>
  <c r="F31" i="16" s="1"/>
  <c r="F30" i="16"/>
  <c r="F90" i="30" l="1"/>
  <c r="G35" i="30"/>
  <c r="G36" i="30"/>
  <c r="F40" i="29"/>
  <c r="F71" i="29" s="1"/>
  <c r="F39" i="29"/>
  <c r="F70" i="29" s="1"/>
  <c r="F84" i="29" s="1"/>
  <c r="G29" i="29" s="1"/>
  <c r="F38" i="29"/>
  <c r="F41" i="29"/>
  <c r="F72" i="29" s="1"/>
  <c r="F86" i="29" s="1"/>
  <c r="G31" i="29" s="1"/>
  <c r="F69" i="27"/>
  <c r="F78" i="27"/>
  <c r="F85" i="27"/>
  <c r="G30" i="27" s="1"/>
  <c r="G77" i="27"/>
  <c r="G93" i="27" s="1"/>
  <c r="G44" i="27"/>
  <c r="G55" i="27" s="1"/>
  <c r="G54" i="27" s="1"/>
  <c r="G77" i="26"/>
  <c r="G93" i="26" s="1"/>
  <c r="G44" i="26"/>
  <c r="G55" i="26" s="1"/>
  <c r="G54" i="26" s="1"/>
  <c r="F69" i="26"/>
  <c r="F78" i="26"/>
  <c r="F85" i="26" s="1"/>
  <c r="G30" i="26" s="1"/>
  <c r="F38" i="25"/>
  <c r="F41" i="25"/>
  <c r="F72" i="25" s="1"/>
  <c r="F86" i="25" s="1"/>
  <c r="G31" i="25" s="1"/>
  <c r="F42" i="25"/>
  <c r="F73" i="25" s="1"/>
  <c r="F87" i="25" s="1"/>
  <c r="G32" i="25" s="1"/>
  <c r="F39" i="25"/>
  <c r="F70" i="25" s="1"/>
  <c r="F84" i="25" s="1"/>
  <c r="G29" i="25" s="1"/>
  <c r="F40" i="25"/>
  <c r="F71" i="25" s="1"/>
  <c r="F69" i="24"/>
  <c r="G93" i="24"/>
  <c r="G44" i="24"/>
  <c r="G55" i="24" s="1"/>
  <c r="G54" i="24" s="1"/>
  <c r="F85" i="24"/>
  <c r="G30" i="24" s="1"/>
  <c r="F55" i="21"/>
  <c r="E76" i="21"/>
  <c r="E83" i="21" s="1"/>
  <c r="F32" i="16"/>
  <c r="F45" i="16" s="1"/>
  <c r="F34" i="16"/>
  <c r="F47" i="16" s="1"/>
  <c r="F56" i="16" s="1"/>
  <c r="F33" i="16"/>
  <c r="F46" i="16" s="1"/>
  <c r="F55" i="16" s="1"/>
  <c r="G26" i="16" s="1"/>
  <c r="G37" i="30" l="1"/>
  <c r="G42" i="30" s="1"/>
  <c r="F69" i="29"/>
  <c r="G77" i="29"/>
  <c r="G93" i="29" s="1"/>
  <c r="G44" i="29"/>
  <c r="G55" i="29" s="1"/>
  <c r="G54" i="29" s="1"/>
  <c r="F78" i="29"/>
  <c r="F85" i="29"/>
  <c r="G30" i="29" s="1"/>
  <c r="F83" i="27"/>
  <c r="F76" i="26"/>
  <c r="F83" i="26" s="1"/>
  <c r="F78" i="25"/>
  <c r="F85" i="25" s="1"/>
  <c r="G30" i="25" s="1"/>
  <c r="G77" i="25"/>
  <c r="G93" i="25" s="1"/>
  <c r="G44" i="25"/>
  <c r="G55" i="25" s="1"/>
  <c r="G54" i="25" s="1"/>
  <c r="F69" i="25"/>
  <c r="F54" i="21"/>
  <c r="E89" i="21"/>
  <c r="F27" i="21" s="1"/>
  <c r="F28" i="21"/>
  <c r="G50" i="16"/>
  <c r="F49" i="16"/>
  <c r="F54" i="16" s="1"/>
  <c r="G50" i="30" l="1"/>
  <c r="G48" i="30" s="1"/>
  <c r="G41" i="30"/>
  <c r="G72" i="30" s="1"/>
  <c r="G86" i="30" s="1"/>
  <c r="G40" i="30"/>
  <c r="G39" i="30"/>
  <c r="G38" i="30"/>
  <c r="F76" i="29"/>
  <c r="F83" i="29"/>
  <c r="F89" i="27"/>
  <c r="G27" i="27" s="1"/>
  <c r="G28" i="27"/>
  <c r="F89" i="26"/>
  <c r="G27" i="26" s="1"/>
  <c r="G28" i="26"/>
  <c r="F90" i="26"/>
  <c r="F76" i="25"/>
  <c r="F83" i="25" s="1"/>
  <c r="F83" i="24"/>
  <c r="E90" i="21"/>
  <c r="F35" i="21"/>
  <c r="F36" i="21"/>
  <c r="F57" i="16"/>
  <c r="G24" i="16" s="1"/>
  <c r="G25" i="16"/>
  <c r="H50" i="16"/>
  <c r="G60" i="16"/>
  <c r="G71" i="30" l="1"/>
  <c r="G78" i="30" s="1"/>
  <c r="G85" i="30" s="1"/>
  <c r="G73" i="30"/>
  <c r="G87" i="30" s="1"/>
  <c r="G47" i="30"/>
  <c r="G46" i="30" s="1"/>
  <c r="G69" i="30" s="1"/>
  <c r="G83" i="30" s="1"/>
  <c r="F89" i="29"/>
  <c r="G27" i="29" s="1"/>
  <c r="G28" i="29"/>
  <c r="F90" i="29"/>
  <c r="G35" i="27"/>
  <c r="G36" i="27"/>
  <c r="F90" i="27"/>
  <c r="G35" i="26"/>
  <c r="G36" i="26"/>
  <c r="F89" i="25"/>
  <c r="G27" i="25" s="1"/>
  <c r="G28" i="25"/>
  <c r="F89" i="24"/>
  <c r="G28" i="24"/>
  <c r="F37" i="21"/>
  <c r="I50" i="16"/>
  <c r="H60" i="16"/>
  <c r="G27" i="16"/>
  <c r="G29" i="16"/>
  <c r="G31" i="16" s="1"/>
  <c r="G30" i="16"/>
  <c r="G70" i="30" l="1"/>
  <c r="G84" i="30" s="1"/>
  <c r="G89" i="30" s="1"/>
  <c r="G90" i="30" s="1"/>
  <c r="G35" i="29"/>
  <c r="G36" i="29"/>
  <c r="G37" i="27"/>
  <c r="G37" i="26"/>
  <c r="G35" i="25"/>
  <c r="G36" i="25"/>
  <c r="F90" i="25"/>
  <c r="G27" i="24"/>
  <c r="F90" i="24"/>
  <c r="F42" i="21"/>
  <c r="F73" i="21" s="1"/>
  <c r="F87" i="21" s="1"/>
  <c r="G32" i="21" s="1"/>
  <c r="F41" i="21"/>
  <c r="F72" i="21" s="1"/>
  <c r="F86" i="21" s="1"/>
  <c r="G31" i="21" s="1"/>
  <c r="F39" i="21"/>
  <c r="F70" i="21" s="1"/>
  <c r="F84" i="21" s="1"/>
  <c r="G29" i="21" s="1"/>
  <c r="F38" i="21"/>
  <c r="F40" i="21"/>
  <c r="F71" i="21" s="1"/>
  <c r="G33" i="16"/>
  <c r="G46" i="16" s="1"/>
  <c r="G55" i="16" s="1"/>
  <c r="H26" i="16" s="1"/>
  <c r="G32" i="16"/>
  <c r="G45" i="16" s="1"/>
  <c r="G34" i="16"/>
  <c r="G47" i="16" s="1"/>
  <c r="G56" i="16" s="1"/>
  <c r="J50" i="16"/>
  <c r="I60" i="16"/>
  <c r="G37" i="29" l="1"/>
  <c r="G38" i="27"/>
  <c r="G40" i="27"/>
  <c r="G71" i="27" s="1"/>
  <c r="G39" i="27"/>
  <c r="G70" i="27" s="1"/>
  <c r="G84" i="27" s="1"/>
  <c r="G41" i="27"/>
  <c r="G72" i="27" s="1"/>
  <c r="G86" i="27" s="1"/>
  <c r="G38" i="26"/>
  <c r="G39" i="26"/>
  <c r="G70" i="26" s="1"/>
  <c r="G84" i="26" s="1"/>
  <c r="H29" i="26" s="1"/>
  <c r="G40" i="26"/>
  <c r="G71" i="26" s="1"/>
  <c r="G41" i="26"/>
  <c r="G72" i="26" s="1"/>
  <c r="G86" i="26" s="1"/>
  <c r="H31" i="26" s="1"/>
  <c r="G37" i="25"/>
  <c r="G35" i="24"/>
  <c r="G36" i="24"/>
  <c r="F78" i="21"/>
  <c r="F85" i="21" s="1"/>
  <c r="G30" i="21" s="1"/>
  <c r="F69" i="21"/>
  <c r="G77" i="21"/>
  <c r="G93" i="21" s="1"/>
  <c r="G44" i="21"/>
  <c r="K50" i="16"/>
  <c r="J60" i="16"/>
  <c r="G49" i="16"/>
  <c r="G54" i="16" s="1"/>
  <c r="G38" i="29" l="1"/>
  <c r="G40" i="29"/>
  <c r="G71" i="29" s="1"/>
  <c r="G41" i="29"/>
  <c r="G72" i="29" s="1"/>
  <c r="G86" i="29" s="1"/>
  <c r="H31" i="29" s="1"/>
  <c r="G39" i="29"/>
  <c r="G70" i="29" s="1"/>
  <c r="G84" i="29" s="1"/>
  <c r="H29" i="29" s="1"/>
  <c r="G78" i="27"/>
  <c r="G85" i="27" s="1"/>
  <c r="G69" i="27"/>
  <c r="H93" i="26"/>
  <c r="H44" i="26"/>
  <c r="H55" i="26" s="1"/>
  <c r="H54" i="26" s="1"/>
  <c r="G78" i="26"/>
  <c r="G85" i="26"/>
  <c r="H30" i="26" s="1"/>
  <c r="G69" i="26"/>
  <c r="G41" i="25"/>
  <c r="G72" i="25" s="1"/>
  <c r="G86" i="25" s="1"/>
  <c r="H31" i="25" s="1"/>
  <c r="G42" i="25"/>
  <c r="G73" i="25" s="1"/>
  <c r="G87" i="25" s="1"/>
  <c r="H32" i="25" s="1"/>
  <c r="G40" i="25"/>
  <c r="G71" i="25" s="1"/>
  <c r="G39" i="25"/>
  <c r="G70" i="25" s="1"/>
  <c r="G84" i="25" s="1"/>
  <c r="H29" i="25" s="1"/>
  <c r="G38" i="25"/>
  <c r="G37" i="24"/>
  <c r="G55" i="21"/>
  <c r="F76" i="21"/>
  <c r="F83" i="21" s="1"/>
  <c r="G57" i="16"/>
  <c r="H24" i="16" s="1"/>
  <c r="H25" i="16"/>
  <c r="L50" i="16"/>
  <c r="L60" i="16" s="1"/>
  <c r="K60" i="16"/>
  <c r="H77" i="29" l="1"/>
  <c r="H93" i="29" s="1"/>
  <c r="H44" i="29"/>
  <c r="H55" i="29" s="1"/>
  <c r="H54" i="29" s="1"/>
  <c r="G78" i="29"/>
  <c r="G85" i="29" s="1"/>
  <c r="H30" i="29" s="1"/>
  <c r="G69" i="29"/>
  <c r="G83" i="27"/>
  <c r="G89" i="27" s="1"/>
  <c r="G76" i="26"/>
  <c r="G83" i="26" s="1"/>
  <c r="G69" i="25"/>
  <c r="H77" i="25"/>
  <c r="H93" i="25" s="1"/>
  <c r="H44" i="25"/>
  <c r="H55" i="25" s="1"/>
  <c r="H54" i="25" s="1"/>
  <c r="G78" i="25"/>
  <c r="G85" i="25"/>
  <c r="H30" i="25" s="1"/>
  <c r="G39" i="24"/>
  <c r="G70" i="24" s="1"/>
  <c r="G84" i="24" s="1"/>
  <c r="H29" i="24" s="1"/>
  <c r="G41" i="24"/>
  <c r="G72" i="24" s="1"/>
  <c r="G86" i="24" s="1"/>
  <c r="H31" i="24" s="1"/>
  <c r="G40" i="24"/>
  <c r="G71" i="24" s="1"/>
  <c r="G42" i="24"/>
  <c r="G73" i="24" s="1"/>
  <c r="G87" i="24" s="1"/>
  <c r="H32" i="24" s="1"/>
  <c r="G38" i="24"/>
  <c r="F89" i="21"/>
  <c r="G27" i="21" s="1"/>
  <c r="G28" i="21"/>
  <c r="G54" i="21"/>
  <c r="H27" i="16"/>
  <c r="H29" i="16"/>
  <c r="H30" i="16"/>
  <c r="G76" i="29" l="1"/>
  <c r="G83" i="29" s="1"/>
  <c r="G90" i="27"/>
  <c r="G89" i="26"/>
  <c r="H27" i="26" s="1"/>
  <c r="H28" i="26"/>
  <c r="G90" i="26"/>
  <c r="G76" i="25"/>
  <c r="G83" i="25" s="1"/>
  <c r="G69" i="24"/>
  <c r="G85" i="24"/>
  <c r="H30" i="24" s="1"/>
  <c r="H93" i="24"/>
  <c r="H44" i="24"/>
  <c r="H55" i="24" s="1"/>
  <c r="H54" i="24" s="1"/>
  <c r="F90" i="21"/>
  <c r="G35" i="21"/>
  <c r="G36" i="21"/>
  <c r="H31" i="16"/>
  <c r="H34" i="16" s="1"/>
  <c r="H47" i="16" s="1"/>
  <c r="H56" i="16" s="1"/>
  <c r="G89" i="29" l="1"/>
  <c r="H27" i="29" s="1"/>
  <c r="H28" i="29"/>
  <c r="H35" i="26"/>
  <c r="H36" i="26"/>
  <c r="G89" i="25"/>
  <c r="H27" i="25" s="1"/>
  <c r="H28" i="25"/>
  <c r="G83" i="24"/>
  <c r="G37" i="21"/>
  <c r="H33" i="16"/>
  <c r="H46" i="16" s="1"/>
  <c r="H55" i="16" s="1"/>
  <c r="I26" i="16" s="1"/>
  <c r="H32" i="16"/>
  <c r="H45" i="16" s="1"/>
  <c r="H54" i="16" s="1"/>
  <c r="G90" i="29" l="1"/>
  <c r="H35" i="29"/>
  <c r="H36" i="29"/>
  <c r="H37" i="26"/>
  <c r="H35" i="25"/>
  <c r="H36" i="25"/>
  <c r="G90" i="25"/>
  <c r="G89" i="24"/>
  <c r="H27" i="24" s="1"/>
  <c r="H28" i="24"/>
  <c r="G40" i="21"/>
  <c r="G71" i="21" s="1"/>
  <c r="G42" i="21"/>
  <c r="G73" i="21" s="1"/>
  <c r="G87" i="21" s="1"/>
  <c r="H32" i="21" s="1"/>
  <c r="G38" i="21"/>
  <c r="G41" i="21"/>
  <c r="G72" i="21" s="1"/>
  <c r="G86" i="21" s="1"/>
  <c r="H31" i="21" s="1"/>
  <c r="G39" i="21"/>
  <c r="G70" i="21" s="1"/>
  <c r="G84" i="21" s="1"/>
  <c r="H29" i="21" s="1"/>
  <c r="H57" i="16"/>
  <c r="I24" i="16" s="1"/>
  <c r="I27" i="16" s="1"/>
  <c r="I25" i="16"/>
  <c r="H37" i="29" l="1"/>
  <c r="H38" i="26"/>
  <c r="H39" i="26"/>
  <c r="H70" i="26" s="1"/>
  <c r="H84" i="26" s="1"/>
  <c r="I29" i="26" s="1"/>
  <c r="H41" i="26"/>
  <c r="H72" i="26" s="1"/>
  <c r="H86" i="26" s="1"/>
  <c r="I31" i="26" s="1"/>
  <c r="H40" i="26"/>
  <c r="H71" i="26" s="1"/>
  <c r="H37" i="25"/>
  <c r="G90" i="24"/>
  <c r="H35" i="24"/>
  <c r="H36" i="24"/>
  <c r="G78" i="21"/>
  <c r="G85" i="21" s="1"/>
  <c r="H30" i="21" s="1"/>
  <c r="H77" i="21"/>
  <c r="H93" i="21" s="1"/>
  <c r="H44" i="21"/>
  <c r="G69" i="21"/>
  <c r="I30" i="16"/>
  <c r="I29" i="16"/>
  <c r="I31" i="16" s="1"/>
  <c r="I34" i="16" s="1"/>
  <c r="I47" i="16" s="1"/>
  <c r="I56" i="16" s="1"/>
  <c r="H39" i="29" l="1"/>
  <c r="H70" i="29" s="1"/>
  <c r="H84" i="29" s="1"/>
  <c r="I29" i="29" s="1"/>
  <c r="H41" i="29"/>
  <c r="H72" i="29" s="1"/>
  <c r="H86" i="29" s="1"/>
  <c r="I31" i="29" s="1"/>
  <c r="H40" i="29"/>
  <c r="H71" i="29" s="1"/>
  <c r="H38" i="29"/>
  <c r="H85" i="26"/>
  <c r="I30" i="26" s="1"/>
  <c r="I44" i="26"/>
  <c r="I55" i="26" s="1"/>
  <c r="I54" i="26" s="1"/>
  <c r="I93" i="26"/>
  <c r="H69" i="26"/>
  <c r="H42" i="25"/>
  <c r="H73" i="25" s="1"/>
  <c r="H41" i="25"/>
  <c r="H72" i="25" s="1"/>
  <c r="H86" i="25" s="1"/>
  <c r="I31" i="25" s="1"/>
  <c r="H39" i="25"/>
  <c r="H70" i="25" s="1"/>
  <c r="H84" i="25" s="1"/>
  <c r="I29" i="25" s="1"/>
  <c r="H38" i="25"/>
  <c r="H40" i="25"/>
  <c r="H71" i="25" s="1"/>
  <c r="H37" i="24"/>
  <c r="G76" i="21"/>
  <c r="G83" i="21" s="1"/>
  <c r="H55" i="21"/>
  <c r="I32" i="16"/>
  <c r="I45" i="16" s="1"/>
  <c r="I54" i="16" s="1"/>
  <c r="J25" i="16" s="1"/>
  <c r="I33" i="16"/>
  <c r="I46" i="16" s="1"/>
  <c r="I55" i="16" s="1"/>
  <c r="J26" i="16" s="1"/>
  <c r="H69" i="29" l="1"/>
  <c r="H78" i="29"/>
  <c r="H85" i="29" s="1"/>
  <c r="I30" i="29" s="1"/>
  <c r="I44" i="29"/>
  <c r="I55" i="29" s="1"/>
  <c r="I54" i="29" s="1"/>
  <c r="I77" i="29"/>
  <c r="I93" i="29" s="1"/>
  <c r="H83" i="26"/>
  <c r="H78" i="25"/>
  <c r="H85" i="25" s="1"/>
  <c r="I30" i="25" s="1"/>
  <c r="H69" i="25"/>
  <c r="I44" i="25"/>
  <c r="I55" i="25" s="1"/>
  <c r="I54" i="25" s="1"/>
  <c r="I77" i="25"/>
  <c r="I93" i="25" s="1"/>
  <c r="H80" i="25"/>
  <c r="H87" i="25"/>
  <c r="I32" i="25" s="1"/>
  <c r="H40" i="24"/>
  <c r="H71" i="24" s="1"/>
  <c r="H38" i="24"/>
  <c r="H42" i="24"/>
  <c r="H73" i="24" s="1"/>
  <c r="H41" i="24"/>
  <c r="H72" i="24" s="1"/>
  <c r="H86" i="24" s="1"/>
  <c r="I31" i="24" s="1"/>
  <c r="H39" i="24"/>
  <c r="H70" i="24" s="1"/>
  <c r="H84" i="24" s="1"/>
  <c r="I29" i="24" s="1"/>
  <c r="G89" i="21"/>
  <c r="H27" i="21" s="1"/>
  <c r="H28" i="21"/>
  <c r="H54" i="21"/>
  <c r="I57" i="16"/>
  <c r="J24" i="16" s="1"/>
  <c r="J27" i="16" s="1"/>
  <c r="H76" i="29" l="1"/>
  <c r="H83" i="29" s="1"/>
  <c r="I28" i="26"/>
  <c r="H89" i="26"/>
  <c r="I27" i="26" s="1"/>
  <c r="H90" i="26"/>
  <c r="H76" i="25"/>
  <c r="H83" i="25" s="1"/>
  <c r="I44" i="24"/>
  <c r="I55" i="24" s="1"/>
  <c r="I54" i="24" s="1"/>
  <c r="I93" i="24"/>
  <c r="H80" i="24"/>
  <c r="H87" i="24"/>
  <c r="I32" i="24" s="1"/>
  <c r="H69" i="24"/>
  <c r="H85" i="24"/>
  <c r="I30" i="24" s="1"/>
  <c r="G90" i="21"/>
  <c r="H35" i="21"/>
  <c r="H36" i="21"/>
  <c r="J30" i="16"/>
  <c r="J29" i="16"/>
  <c r="J31" i="16" s="1"/>
  <c r="J34" i="16" s="1"/>
  <c r="J47" i="16" s="1"/>
  <c r="J56" i="16" s="1"/>
  <c r="I28" i="29" l="1"/>
  <c r="H89" i="29"/>
  <c r="I27" i="29" s="1"/>
  <c r="I35" i="26"/>
  <c r="I36" i="26"/>
  <c r="I28" i="25"/>
  <c r="H89" i="25"/>
  <c r="I27" i="25" s="1"/>
  <c r="H83" i="24"/>
  <c r="H37" i="21"/>
  <c r="J32" i="16"/>
  <c r="J45" i="16" s="1"/>
  <c r="J54" i="16" s="1"/>
  <c r="K25" i="16" s="1"/>
  <c r="J33" i="16"/>
  <c r="J46" i="16" s="1"/>
  <c r="J55" i="16" s="1"/>
  <c r="K26" i="16" s="1"/>
  <c r="H90" i="29" l="1"/>
  <c r="I35" i="29"/>
  <c r="I36" i="29"/>
  <c r="I37" i="26"/>
  <c r="H90" i="25"/>
  <c r="I35" i="25"/>
  <c r="I36" i="25"/>
  <c r="I28" i="24"/>
  <c r="H89" i="24"/>
  <c r="I27" i="24" s="1"/>
  <c r="H39" i="21"/>
  <c r="H70" i="21" s="1"/>
  <c r="H84" i="21" s="1"/>
  <c r="I29" i="21" s="1"/>
  <c r="H38" i="21"/>
  <c r="H40" i="21"/>
  <c r="H71" i="21" s="1"/>
  <c r="H42" i="21"/>
  <c r="H73" i="21" s="1"/>
  <c r="H41" i="21"/>
  <c r="H72" i="21" s="1"/>
  <c r="H86" i="21" s="1"/>
  <c r="I31" i="21" s="1"/>
  <c r="J57" i="16"/>
  <c r="K24" i="16" s="1"/>
  <c r="K27" i="16" s="1"/>
  <c r="I37" i="29" l="1"/>
  <c r="I40" i="26"/>
  <c r="I71" i="26" s="1"/>
  <c r="I39" i="26"/>
  <c r="I70" i="26" s="1"/>
  <c r="I84" i="26" s="1"/>
  <c r="J29" i="26" s="1"/>
  <c r="I41" i="26"/>
  <c r="I72" i="26" s="1"/>
  <c r="I86" i="26" s="1"/>
  <c r="J31" i="26" s="1"/>
  <c r="I38" i="26"/>
  <c r="I37" i="25"/>
  <c r="I35" i="24"/>
  <c r="I36" i="24"/>
  <c r="H90" i="24"/>
  <c r="H78" i="21"/>
  <c r="H85" i="21" s="1"/>
  <c r="I30" i="21" s="1"/>
  <c r="H80" i="21"/>
  <c r="H87" i="21" s="1"/>
  <c r="I32" i="21" s="1"/>
  <c r="H69" i="21"/>
  <c r="I77" i="21"/>
  <c r="I93" i="21" s="1"/>
  <c r="I44" i="21"/>
  <c r="K29" i="16"/>
  <c r="K30" i="16"/>
  <c r="I41" i="29" l="1"/>
  <c r="I72" i="29" s="1"/>
  <c r="I86" i="29" s="1"/>
  <c r="J31" i="29" s="1"/>
  <c r="I39" i="29"/>
  <c r="I70" i="29" s="1"/>
  <c r="I84" i="29" s="1"/>
  <c r="J29" i="29" s="1"/>
  <c r="I38" i="29"/>
  <c r="I40" i="29"/>
  <c r="I71" i="29" s="1"/>
  <c r="I69" i="26"/>
  <c r="J44" i="26"/>
  <c r="J55" i="26" s="1"/>
  <c r="J54" i="26" s="1"/>
  <c r="J93" i="26"/>
  <c r="I85" i="26"/>
  <c r="J30" i="26" s="1"/>
  <c r="I38" i="25"/>
  <c r="I42" i="25"/>
  <c r="I73" i="25" s="1"/>
  <c r="I87" i="25" s="1"/>
  <c r="J32" i="25" s="1"/>
  <c r="I40" i="25"/>
  <c r="I71" i="25" s="1"/>
  <c r="I41" i="25"/>
  <c r="I72" i="25" s="1"/>
  <c r="I86" i="25" s="1"/>
  <c r="J31" i="25" s="1"/>
  <c r="I39" i="25"/>
  <c r="I70" i="25" s="1"/>
  <c r="I84" i="25" s="1"/>
  <c r="J29" i="25" s="1"/>
  <c r="I37" i="24"/>
  <c r="I55" i="21"/>
  <c r="H76" i="21"/>
  <c r="H83" i="21" s="1"/>
  <c r="K31" i="16"/>
  <c r="K32" i="16" s="1"/>
  <c r="K45" i="16" s="1"/>
  <c r="K54" i="16" s="1"/>
  <c r="L25" i="16" s="1"/>
  <c r="I78" i="29" l="1"/>
  <c r="I85" i="29"/>
  <c r="J30" i="29" s="1"/>
  <c r="I69" i="29"/>
  <c r="J77" i="29"/>
  <c r="J93" i="29" s="1"/>
  <c r="J44" i="29"/>
  <c r="J55" i="29" s="1"/>
  <c r="J54" i="29" s="1"/>
  <c r="I83" i="26"/>
  <c r="J77" i="25"/>
  <c r="J93" i="25" s="1"/>
  <c r="J44" i="25"/>
  <c r="J55" i="25" s="1"/>
  <c r="J54" i="25" s="1"/>
  <c r="I78" i="25"/>
  <c r="I85" i="25" s="1"/>
  <c r="J30" i="25" s="1"/>
  <c r="I69" i="25"/>
  <c r="I41" i="24"/>
  <c r="I72" i="24" s="1"/>
  <c r="I86" i="24" s="1"/>
  <c r="J31" i="24" s="1"/>
  <c r="I40" i="24"/>
  <c r="I71" i="24" s="1"/>
  <c r="I42" i="24"/>
  <c r="I73" i="24" s="1"/>
  <c r="I87" i="24" s="1"/>
  <c r="J32" i="24" s="1"/>
  <c r="I38" i="24"/>
  <c r="I39" i="24"/>
  <c r="I70" i="24" s="1"/>
  <c r="I84" i="24" s="1"/>
  <c r="J29" i="24" s="1"/>
  <c r="I54" i="21"/>
  <c r="H89" i="21"/>
  <c r="I27" i="21" s="1"/>
  <c r="I28" i="21"/>
  <c r="K33" i="16"/>
  <c r="K46" i="16" s="1"/>
  <c r="K55" i="16" s="1"/>
  <c r="L26" i="16" s="1"/>
  <c r="K34" i="16"/>
  <c r="K47" i="16" s="1"/>
  <c r="K56" i="16" s="1"/>
  <c r="I76" i="29" l="1"/>
  <c r="I83" i="29" s="1"/>
  <c r="I89" i="26"/>
  <c r="J27" i="26" s="1"/>
  <c r="J28" i="26"/>
  <c r="I90" i="26"/>
  <c r="I76" i="25"/>
  <c r="I83" i="25" s="1"/>
  <c r="J93" i="24"/>
  <c r="J44" i="24"/>
  <c r="J55" i="24" s="1"/>
  <c r="J54" i="24" s="1"/>
  <c r="I69" i="24"/>
  <c r="I85" i="24"/>
  <c r="J30" i="24" s="1"/>
  <c r="H90" i="21"/>
  <c r="I35" i="21"/>
  <c r="I36" i="21"/>
  <c r="K57" i="16"/>
  <c r="L24" i="16" s="1"/>
  <c r="L30" i="16" s="1"/>
  <c r="I89" i="29" l="1"/>
  <c r="J27" i="29" s="1"/>
  <c r="J28" i="29"/>
  <c r="I90" i="29"/>
  <c r="J35" i="26"/>
  <c r="J36" i="26"/>
  <c r="I89" i="25"/>
  <c r="J27" i="25" s="1"/>
  <c r="J28" i="25"/>
  <c r="I83" i="24"/>
  <c r="I37" i="21"/>
  <c r="L27" i="16"/>
  <c r="L29" i="16"/>
  <c r="L31" i="16" s="1"/>
  <c r="L32" i="16" s="1"/>
  <c r="L45" i="16" s="1"/>
  <c r="L54" i="16" s="1"/>
  <c r="J35" i="29" l="1"/>
  <c r="J36" i="29"/>
  <c r="J37" i="26"/>
  <c r="I90" i="25"/>
  <c r="J35" i="25"/>
  <c r="J36" i="25"/>
  <c r="I89" i="24"/>
  <c r="J27" i="24" s="1"/>
  <c r="J28" i="24"/>
  <c r="I41" i="21"/>
  <c r="I72" i="21" s="1"/>
  <c r="I86" i="21" s="1"/>
  <c r="J31" i="21" s="1"/>
  <c r="I42" i="21"/>
  <c r="I73" i="21" s="1"/>
  <c r="I87" i="21" s="1"/>
  <c r="J32" i="21" s="1"/>
  <c r="I38" i="21"/>
  <c r="I39" i="21"/>
  <c r="I70" i="21" s="1"/>
  <c r="I84" i="21" s="1"/>
  <c r="J29" i="21" s="1"/>
  <c r="I40" i="21"/>
  <c r="I71" i="21" s="1"/>
  <c r="L33" i="16"/>
  <c r="L46" i="16" s="1"/>
  <c r="L55" i="16" s="1"/>
  <c r="L34" i="16"/>
  <c r="L47" i="16" s="1"/>
  <c r="L56" i="16" s="1"/>
  <c r="J37" i="29" l="1"/>
  <c r="J40" i="26"/>
  <c r="J71" i="26" s="1"/>
  <c r="J41" i="26"/>
  <c r="J72" i="26" s="1"/>
  <c r="J86" i="26" s="1"/>
  <c r="K31" i="26" s="1"/>
  <c r="J39" i="26"/>
  <c r="J70" i="26" s="1"/>
  <c r="J84" i="26" s="1"/>
  <c r="K29" i="26" s="1"/>
  <c r="J38" i="26"/>
  <c r="J37" i="25"/>
  <c r="I90" i="24"/>
  <c r="J35" i="24"/>
  <c r="J36" i="24"/>
  <c r="I78" i="21"/>
  <c r="I85" i="21" s="1"/>
  <c r="J30" i="21" s="1"/>
  <c r="J77" i="21"/>
  <c r="J93" i="21" s="1"/>
  <c r="J44" i="21"/>
  <c r="I69" i="21"/>
  <c r="L57" i="16"/>
  <c r="J40" i="29" l="1"/>
  <c r="J71" i="29" s="1"/>
  <c r="J38" i="29"/>
  <c r="J39" i="29"/>
  <c r="J70" i="29" s="1"/>
  <c r="J84" i="29" s="1"/>
  <c r="K29" i="29" s="1"/>
  <c r="J41" i="29"/>
  <c r="J72" i="29" s="1"/>
  <c r="J86" i="29" s="1"/>
  <c r="K31" i="29" s="1"/>
  <c r="J69" i="26"/>
  <c r="K93" i="26"/>
  <c r="K44" i="26"/>
  <c r="K55" i="26" s="1"/>
  <c r="K54" i="26" s="1"/>
  <c r="J85" i="26"/>
  <c r="K30" i="26" s="1"/>
  <c r="J41" i="25"/>
  <c r="J72" i="25" s="1"/>
  <c r="J86" i="25" s="1"/>
  <c r="K31" i="25" s="1"/>
  <c r="J40" i="25"/>
  <c r="J71" i="25" s="1"/>
  <c r="J39" i="25"/>
  <c r="J70" i="25" s="1"/>
  <c r="J84" i="25" s="1"/>
  <c r="K29" i="25" s="1"/>
  <c r="J38" i="25"/>
  <c r="J42" i="25"/>
  <c r="J73" i="25" s="1"/>
  <c r="J87" i="25" s="1"/>
  <c r="K32" i="25" s="1"/>
  <c r="J37" i="24"/>
  <c r="I76" i="21"/>
  <c r="I83" i="21" s="1"/>
  <c r="J55" i="2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77" i="29" l="1"/>
  <c r="K93" i="29" s="1"/>
  <c r="K44" i="29"/>
  <c r="K55" i="29" s="1"/>
  <c r="K54" i="29" s="1"/>
  <c r="J69" i="29"/>
  <c r="J78" i="29"/>
  <c r="J85" i="29"/>
  <c r="K30" i="29" s="1"/>
  <c r="J83" i="26"/>
  <c r="J69" i="25"/>
  <c r="K77" i="25"/>
  <c r="K93" i="25" s="1"/>
  <c r="K44" i="25"/>
  <c r="K55" i="25" s="1"/>
  <c r="K54" i="25" s="1"/>
  <c r="J78" i="25"/>
  <c r="J85" i="25"/>
  <c r="K30" i="25" s="1"/>
  <c r="J42" i="24"/>
  <c r="J73" i="24" s="1"/>
  <c r="J87" i="24" s="1"/>
  <c r="K32" i="24" s="1"/>
  <c r="J39" i="24"/>
  <c r="J70" i="24" s="1"/>
  <c r="J84" i="24" s="1"/>
  <c r="K29" i="24" s="1"/>
  <c r="J41" i="24"/>
  <c r="J72" i="24" s="1"/>
  <c r="J86" i="24" s="1"/>
  <c r="K31" i="24" s="1"/>
  <c r="J40" i="24"/>
  <c r="J71" i="24" s="1"/>
  <c r="J38" i="24"/>
  <c r="J54" i="21"/>
  <c r="I89" i="21"/>
  <c r="J27" i="21" s="1"/>
  <c r="J28" i="21"/>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J76" i="29" l="1"/>
  <c r="J89" i="26"/>
  <c r="K27" i="26" s="1"/>
  <c r="K28" i="26"/>
  <c r="J76" i="25"/>
  <c r="J83" i="25" s="1"/>
  <c r="J69" i="24"/>
  <c r="J85" i="24"/>
  <c r="K30" i="24" s="1"/>
  <c r="K93" i="24"/>
  <c r="K44" i="24"/>
  <c r="K55" i="24" s="1"/>
  <c r="K54" i="24" s="1"/>
  <c r="J35" i="21"/>
  <c r="J36" i="21"/>
  <c r="I90" i="21"/>
  <c r="V11" i="7"/>
  <c r="W11" i="7"/>
  <c r="V6" i="7"/>
  <c r="W6" i="7"/>
  <c r="J83" i="29" l="1"/>
  <c r="K35" i="26"/>
  <c r="K36" i="26"/>
  <c r="J90" i="26"/>
  <c r="J89" i="25"/>
  <c r="K27" i="25" s="1"/>
  <c r="K28" i="25"/>
  <c r="J83" i="24"/>
  <c r="J37" i="21"/>
  <c r="V8" i="7"/>
  <c r="W8" i="7"/>
  <c r="K28" i="29" l="1"/>
  <c r="J89" i="29"/>
  <c r="K37" i="26"/>
  <c r="J90" i="25"/>
  <c r="K35" i="25"/>
  <c r="K36" i="25"/>
  <c r="J89" i="24"/>
  <c r="K27" i="24" s="1"/>
  <c r="K28" i="24"/>
  <c r="J41" i="21"/>
  <c r="J72" i="21" s="1"/>
  <c r="J86" i="21" s="1"/>
  <c r="K31" i="21" s="1"/>
  <c r="J42" i="21"/>
  <c r="J73" i="21" s="1"/>
  <c r="J87" i="21" s="1"/>
  <c r="K32" i="21" s="1"/>
  <c r="J39" i="21"/>
  <c r="J70" i="21" s="1"/>
  <c r="J84" i="21" s="1"/>
  <c r="K29" i="21" s="1"/>
  <c r="J38" i="21"/>
  <c r="J40" i="21"/>
  <c r="J71" i="21"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27" i="29" l="1"/>
  <c r="J90" i="29"/>
  <c r="K40" i="26"/>
  <c r="K71" i="26" s="1"/>
  <c r="K39" i="26"/>
  <c r="K70" i="26" s="1"/>
  <c r="K84" i="26" s="1"/>
  <c r="L29" i="26" s="1"/>
  <c r="K38" i="26"/>
  <c r="K41" i="26"/>
  <c r="K72" i="26" s="1"/>
  <c r="K86" i="26" s="1"/>
  <c r="L31" i="26" s="1"/>
  <c r="K37" i="25"/>
  <c r="J90" i="24"/>
  <c r="K35" i="24"/>
  <c r="K36" i="24"/>
  <c r="J78" i="21"/>
  <c r="J85" i="21" s="1"/>
  <c r="K30" i="21" s="1"/>
  <c r="J69" i="21"/>
  <c r="K77" i="21"/>
  <c r="K93" i="21" s="1"/>
  <c r="K44" i="21"/>
  <c r="V10" i="7"/>
  <c r="W10" i="7"/>
  <c r="K13" i="2"/>
  <c r="L13" i="2" s="1"/>
  <c r="K8" i="2"/>
  <c r="K36" i="29" l="1"/>
  <c r="K35" i="29"/>
  <c r="K69" i="26"/>
  <c r="L93" i="26"/>
  <c r="L44" i="26"/>
  <c r="L55" i="26" s="1"/>
  <c r="L54" i="26" s="1"/>
  <c r="K85" i="26"/>
  <c r="L30" i="26" s="1"/>
  <c r="K38" i="25"/>
  <c r="K42" i="25"/>
  <c r="K73" i="25" s="1"/>
  <c r="K40" i="25"/>
  <c r="K71" i="25" s="1"/>
  <c r="K39" i="25"/>
  <c r="K70" i="25" s="1"/>
  <c r="K84" i="25" s="1"/>
  <c r="L29" i="25" s="1"/>
  <c r="K41" i="25"/>
  <c r="K72" i="25" s="1"/>
  <c r="K86" i="25" s="1"/>
  <c r="L31" i="25" s="1"/>
  <c r="K37" i="24"/>
  <c r="K55" i="21"/>
  <c r="J76" i="21"/>
  <c r="J83" i="21" s="1"/>
  <c r="N13" i="2"/>
  <c r="O13" i="2"/>
  <c r="M13" i="2"/>
  <c r="K37" i="29" l="1"/>
  <c r="K83" i="26"/>
  <c r="L77" i="25"/>
  <c r="L93" i="25" s="1"/>
  <c r="L44" i="25"/>
  <c r="L55" i="25" s="1"/>
  <c r="L54" i="25" s="1"/>
  <c r="K78" i="25"/>
  <c r="K85" i="25"/>
  <c r="L30" i="25" s="1"/>
  <c r="K80" i="25"/>
  <c r="K87" i="25"/>
  <c r="L32" i="25" s="1"/>
  <c r="K69" i="25"/>
  <c r="K41" i="24"/>
  <c r="K72" i="24" s="1"/>
  <c r="K86" i="24" s="1"/>
  <c r="L31" i="24" s="1"/>
  <c r="K40" i="24"/>
  <c r="K71" i="24" s="1"/>
  <c r="K39" i="24"/>
  <c r="K70" i="24" s="1"/>
  <c r="K84" i="24" s="1"/>
  <c r="L29" i="24" s="1"/>
  <c r="K38" i="24"/>
  <c r="K42" i="24"/>
  <c r="K73" i="24" s="1"/>
  <c r="K54" i="21"/>
  <c r="J89" i="21"/>
  <c r="K27" i="21" s="1"/>
  <c r="K28" i="21"/>
  <c r="P13" i="2"/>
  <c r="K39" i="29" l="1"/>
  <c r="K70" i="29" s="1"/>
  <c r="K84" i="29" s="1"/>
  <c r="L29" i="29" s="1"/>
  <c r="K38" i="29"/>
  <c r="K40" i="29"/>
  <c r="K71" i="29" s="1"/>
  <c r="K41" i="29"/>
  <c r="K72" i="29" s="1"/>
  <c r="K86" i="29" s="1"/>
  <c r="L31" i="29" s="1"/>
  <c r="K89" i="26"/>
  <c r="L27" i="26" s="1"/>
  <c r="L28" i="26"/>
  <c r="K90" i="26"/>
  <c r="K76" i="25"/>
  <c r="K83" i="25" s="1"/>
  <c r="K80" i="24"/>
  <c r="K87" i="24"/>
  <c r="L32" i="24" s="1"/>
  <c r="K69" i="24"/>
  <c r="L93" i="24"/>
  <c r="L44" i="24"/>
  <c r="L55" i="24" s="1"/>
  <c r="L54" i="24" s="1"/>
  <c r="K85" i="24"/>
  <c r="L30" i="24" s="1"/>
  <c r="K35" i="21"/>
  <c r="K36" i="21"/>
  <c r="J90" i="21"/>
  <c r="K78" i="29" l="1"/>
  <c r="K85" i="29" s="1"/>
  <c r="L30" i="29" s="1"/>
  <c r="K69" i="29"/>
  <c r="L77" i="29"/>
  <c r="L93" i="29" s="1"/>
  <c r="L44" i="29"/>
  <c r="L55" i="29" s="1"/>
  <c r="L54" i="29" s="1"/>
  <c r="L35" i="26"/>
  <c r="L36" i="26"/>
  <c r="K89" i="25"/>
  <c r="L27" i="25" s="1"/>
  <c r="L28" i="25"/>
  <c r="K83" i="24"/>
  <c r="K37" i="21"/>
  <c r="K76" i="29" l="1"/>
  <c r="K83" i="29" s="1"/>
  <c r="L37" i="26"/>
  <c r="K90" i="25"/>
  <c r="L35" i="25"/>
  <c r="L36" i="25"/>
  <c r="K89" i="24"/>
  <c r="L27" i="24" s="1"/>
  <c r="L28" i="24"/>
  <c r="K41" i="21"/>
  <c r="K72" i="21" s="1"/>
  <c r="K86" i="21" s="1"/>
  <c r="L31" i="21" s="1"/>
  <c r="K42" i="21"/>
  <c r="K73" i="21" s="1"/>
  <c r="K40" i="21"/>
  <c r="K71" i="21" s="1"/>
  <c r="K39" i="21"/>
  <c r="K70" i="21" s="1"/>
  <c r="K84" i="21" s="1"/>
  <c r="L29" i="21" s="1"/>
  <c r="L77" i="21" s="1"/>
  <c r="K38" i="21"/>
  <c r="K89" i="29" l="1"/>
  <c r="L27" i="29" s="1"/>
  <c r="L28" i="29"/>
  <c r="L38" i="26"/>
  <c r="L39" i="26"/>
  <c r="L70" i="26" s="1"/>
  <c r="L84" i="26" s="1"/>
  <c r="L41" i="26"/>
  <c r="L72" i="26" s="1"/>
  <c r="L86" i="26" s="1"/>
  <c r="L40" i="26"/>
  <c r="L71" i="26" s="1"/>
  <c r="L37" i="25"/>
  <c r="K90" i="24"/>
  <c r="L35" i="24"/>
  <c r="L36" i="24"/>
  <c r="K80" i="21"/>
  <c r="K87" i="21" s="1"/>
  <c r="L32" i="21" s="1"/>
  <c r="K78" i="21"/>
  <c r="K85" i="21" s="1"/>
  <c r="L30" i="21" s="1"/>
  <c r="K69" i="21"/>
  <c r="L93" i="21"/>
  <c r="L44" i="21"/>
  <c r="K90" i="29" l="1"/>
  <c r="L35" i="29"/>
  <c r="L36" i="29"/>
  <c r="L85" i="26"/>
  <c r="L69" i="26"/>
  <c r="L40" i="25"/>
  <c r="L71" i="25" s="1"/>
  <c r="L38" i="25"/>
  <c r="L42" i="25"/>
  <c r="L73" i="25" s="1"/>
  <c r="L87" i="25" s="1"/>
  <c r="L41" i="25"/>
  <c r="L72" i="25" s="1"/>
  <c r="L86" i="25" s="1"/>
  <c r="L39" i="25"/>
  <c r="L70" i="25" s="1"/>
  <c r="L84" i="25" s="1"/>
  <c r="L37" i="24"/>
  <c r="L55" i="21"/>
  <c r="K76" i="21"/>
  <c r="K83" i="21" s="1"/>
  <c r="L37" i="29" l="1"/>
  <c r="L83" i="26"/>
  <c r="L89" i="26" s="1"/>
  <c r="L69" i="25"/>
  <c r="L78" i="25"/>
  <c r="L85" i="25" s="1"/>
  <c r="L41" i="24"/>
  <c r="L72" i="24" s="1"/>
  <c r="L86" i="24" s="1"/>
  <c r="L40" i="24"/>
  <c r="L71" i="24" s="1"/>
  <c r="L39" i="24"/>
  <c r="L70" i="24" s="1"/>
  <c r="L84" i="24" s="1"/>
  <c r="L38" i="24"/>
  <c r="L42" i="24"/>
  <c r="L73" i="24" s="1"/>
  <c r="L87" i="24" s="1"/>
  <c r="K89" i="21"/>
  <c r="L27" i="21" s="1"/>
  <c r="L28" i="21"/>
  <c r="L54" i="21"/>
  <c r="L41" i="29" l="1"/>
  <c r="L72" i="29" s="1"/>
  <c r="L86" i="29" s="1"/>
  <c r="L39" i="29"/>
  <c r="L70" i="29" s="1"/>
  <c r="L84" i="29" s="1"/>
  <c r="L38" i="29"/>
  <c r="L40" i="29"/>
  <c r="L71" i="29" s="1"/>
  <c r="L90" i="26"/>
  <c r="L76" i="25"/>
  <c r="L83" i="25" s="1"/>
  <c r="L89" i="25" s="1"/>
  <c r="L69" i="24"/>
  <c r="L85" i="24"/>
  <c r="K90" i="21"/>
  <c r="L35" i="21"/>
  <c r="L36" i="21"/>
  <c r="L78" i="29" l="1"/>
  <c r="L85" i="29" s="1"/>
  <c r="L69" i="29"/>
  <c r="L90" i="25"/>
  <c r="L83" i="24"/>
  <c r="L89" i="24" s="1"/>
  <c r="L37" i="21"/>
  <c r="L76" i="29" l="1"/>
  <c r="L83" i="29" s="1"/>
  <c r="L89" i="29" s="1"/>
  <c r="L90" i="24"/>
  <c r="L40" i="21"/>
  <c r="L71" i="21" s="1"/>
  <c r="L42" i="21"/>
  <c r="L73" i="21" s="1"/>
  <c r="L87" i="21" s="1"/>
  <c r="L38" i="21"/>
  <c r="L39" i="21"/>
  <c r="L70" i="21" s="1"/>
  <c r="L84" i="21" s="1"/>
  <c r="L41" i="21"/>
  <c r="L72" i="21" s="1"/>
  <c r="L86" i="21" s="1"/>
  <c r="L90" i="29" l="1"/>
  <c r="L78" i="21"/>
  <c r="L85" i="21" s="1"/>
  <c r="L69" i="21"/>
  <c r="L76" i="21" s="1"/>
  <c r="L83" i="21" l="1"/>
  <c r="L89" i="21" s="1"/>
  <c r="L90" i="21" l="1"/>
</calcChain>
</file>

<file path=xl/sharedStrings.xml><?xml version="1.0" encoding="utf-8"?>
<sst xmlns="http://schemas.openxmlformats.org/spreadsheetml/2006/main" count="782" uniqueCount="227">
  <si>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</si>
  <si>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</si>
  <si>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</si>
  <si>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</si>
  <si>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</si>
  <si>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</si>
  <si>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</si>
  <si>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</si>
  <si>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</si>
  <si>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</si>
  <si>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</si>
  <si>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</si>
  <si>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</si>
  <si>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</si>
  <si>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</si>
  <si>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</si>
  <si>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</si>
  <si>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</si>
  <si>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</si>
  <si>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</si>
  <si>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</si>
  <si>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</si>
  <si>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</si>
  <si>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</si>
  <si>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</si>
  <si>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</si>
  <si>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</si>
  <si>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</si>
  <si>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</si>
  <si>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</si>
  <si>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</si>
  <si>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</si>
  <si>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</si>
  <si>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</si>
  <si>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</si>
  <si>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</si>
  <si>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</si>
  <si>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</si>
  <si>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Overview</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</si>
  <si>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</si>
  <si>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</si>
  <si>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</si>
  <si>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</si>
  <si>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</si>
  <si>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</si>
  <si>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</si>
  <si>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</si>
  <si>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</si>
  <si>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</si>
  <si>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</si>
  <si>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</si>
  <si>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</si>
  <si>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</si>
  <si>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</si>
  <si>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</si>
  <si>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</si>
  <si>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</si>
  <si>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</si>
  <si>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</si>
  <si>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</si>
  <si>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</si>
  <si>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</si>
  <si>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</si>
  <si>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</si>
  <si>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</si>
  <si>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</si>
  <si>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</si>
  <si>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</si>
  <si>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</si>
  <si>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</si>
  <si>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</si>
  <si>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</si>
  <si>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</si>
  <si>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</si>
  <si>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</si>
  <si>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</si>
  <si>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</si>
  <si>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</si>
  <si>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</si>
  <si>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</si>
  <si>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</si>
  <si>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</si>
  <si>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</si>
  <si>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</si>
  <si>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</si>
  <si>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</si>
  <si>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</si>
  <si>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</si>
  <si>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</si>
  <si>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</si>
  <si>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</si>
  <si>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</si>
  <si>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</si>
  <si>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</si>
  <si>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</si>
  <si>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</si>
  <si>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</si>
  <si>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</si>
  <si>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</si>
  <si>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</si>
  <si>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</si>
  <si>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</si>
  <si>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</si>
  <si>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</si>
  <si>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</si>
  <si>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</si>
  <si>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</si>
  <si>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</si>
  <si>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</si>
  <si>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Directions to complete the Interactive Water Budget:</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</si>
  <si>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</si>
  <si>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</si>
  <si>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</si>
  <si>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</si>
  <si>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</si>
  <si>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</si>
  <si>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</si>
  <si>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</si>
  <si>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</si>
  <si>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</si>
  <si>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</si>
  <si>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</si>
  <si>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</si>
  <si>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</si>
  <si>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</si>
  <si>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</si>
  <si>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</si>
  <si>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</si>
  <si>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</si>
  <si>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</si>
  <si>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</si>
  <si>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</si>
  <si>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</si>
  <si>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</si>
  <si>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</si>
  <si>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</si>
  <si>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</si>
  <si>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</si>
  <si>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</si>
  <si>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</si>
  <si>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</si>
  <si>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</si>
  <si>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</si>
  <si>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</si>
  <si>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</si>
  <si>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</si>
  <si>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</si>
  <si>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</si>
  <si>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</si>
  <si>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Repeat Steps #6-#11 for as many years  (columns D, E, F, …) as desired. Stop when you no longer gain new insights about the system.</t>
  </si>
  <si>
    <t>Role play again (steps #2-12) for different management decisions, hydrologic scenarios, or different political decisions regarding physical split of combined storage, allocations of natural flow, etc.</t>
  </si>
  <si>
    <t>David E. Rosenberg (2021). "Interactive Water Budget and Role Play for Lake Powell, Colorado River." Utah State University, Logan, UT. https://github.com/dzeke/ColoradoRiverFutures/tree/master/InteractiveWaterBudget</t>
  </si>
  <si>
    <t>A completed role play with Lee Ferry natural flow of 11.0 maf every year for 5 years and all political decisions follow the existing Law of the River operations (DCP, Equalization, Curtailment)</t>
  </si>
  <si>
    <t>Plots of Lower and Upper Basin Consumptive Use and Account Balances that compare results for 11.0-Trade and 11.0-LawOfRiver operations</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</si>
  <si>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</si>
  <si>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</si>
  <si>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</si>
  <si>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MX Cutback Minute 319</t>
  </si>
  <si>
    <t>Total Cutback (af/year)</t>
  </si>
  <si>
    <t xml:space="preserve">    Net transactions (should be zero)</t>
  </si>
  <si>
    <t xml:space="preserve">    Price ($/acre-foot)</t>
  </si>
  <si>
    <t>U.S. Treaty Comittment to Mexico</t>
  </si>
  <si>
    <t>Split of Lake Powell Natural Inflow</t>
  </si>
  <si>
    <t>Split of Grand Canyon Tributary Flow</t>
  </si>
  <si>
    <t>Remain</t>
  </si>
  <si>
    <t>Mohave &amp; Havasu Evap &amp; ET</t>
  </si>
  <si>
    <t>Colorado River Delta</t>
  </si>
  <si>
    <t>Sales (+) and Purchases (-) [in maf]</t>
  </si>
  <si>
    <t>Total ($ Mill)</t>
  </si>
  <si>
    <t>Define the Roles (water users), the person playing, and each user's strategy in Cells A5 to C11 (Up to 6 players):</t>
  </si>
  <si>
    <t>On the new worksheet, name each role (water user) and assign to a person (Rows 4-11). There can be up to 6 users. Leave a cell in Column A empty to exclude the user.</t>
  </si>
  <si>
    <t>This interactive water budget allows a facilitator and representatives of water users to role play Lake Powell and Lake Mead management year by year. A facilitator decides the hydrology to use (see HydrologicScenarios worksheet) and reveals natural inflow to Lake Powell and intervening flows along the Grand Canyon reach between Lake Powell and Lake Mead year-by-year to the players. Each player has a water storage account in the combined Lake Powell-Lake Mead system. Each year, each player’s account is credited with a portion of that year’s natural flow. The credit depends on the political decision about how to partition natural flow among the players and subtracts the player's share of reservoir evaporation. The player’s share of reservoir evaporation is prorated by their and aggregate account balances. Each year, each player decides the volume to consumptively use (deduct from their account) and water to store/conserve (remains in the account). A player’s consumptive use must stay within their available water. Additionally, players can voluntarily sell or buy stored water to the Lower Basin player with compensation so long as another play is willing to buy/sell at an agreed price. Sales and purchases move water from one account to another; they do not change physical storage. Finally, the interactive water budget calculates each player’s end-of-the-year account balance. The tool also applies a political decision of how to physically split and move the total storage – sum of all account balances – between Lake Powell and Lake Mead. The players then move to the next year and repeat the decision steps.</t>
  </si>
  <si>
    <t>Facilitator chooses a Hydrologic Scenario in Row 18. Facilitator may or may not reveal the hydrologic scenario to the players. See HydrologicScenarios worksheet for some potential hydrologies.</t>
  </si>
  <si>
    <t>Enter starting storages for Lake Powell and Lake Mead in Row 22.</t>
  </si>
  <si>
    <t>In Year 1, Facilitator enters the natural inflow to Lake Powell in Cell C25 and Grand Canyon tributary inflow in Cell C26.</t>
  </si>
  <si>
    <t>Specify political decisions to split starting storage among users (Cells B28 to B33), split combined storage between Powell and Mead (Cells B35 and B36),  partition the natural flow to Lake Powell among users (Cells B46 to B51), and partition the Grand Canyon tributary flow among users (Cells B53 to B58).</t>
  </si>
  <si>
    <t>Users can additionally sell and purchase water from other users with compensation. The net of all sales and purchases must equal 0 (Row 66). Enter the sale price in Row 67.</t>
  </si>
  <si>
    <t>Each player enters their account withdrawal/consumptive use in Rows 76 to 81. The spreadsheet will show a red background if a player tries to consume more than their available water (account balance) shown in Rows 69 to 74.</t>
  </si>
  <si>
    <t>Observe the ending storages in accounts, combined storage, and Lake Powell release in Rows 83 ot 88.</t>
  </si>
  <si>
    <t>Continue to Year 2 in Column D. Facilitator enters next natural Inflow to Lake Powell in Cell D25 and Grand Canyon tributary flow in Cell D26.</t>
  </si>
  <si>
    <t>Save up to make a 0.06 maf pulse flood</t>
  </si>
  <si>
    <t>Law of River operations</t>
  </si>
  <si>
    <t>Regular 0.6 maf per year operation</t>
  </si>
  <si>
    <t>Law of River operations + sell a small amount to Delta</t>
  </si>
  <si>
    <t>David R.</t>
  </si>
  <si>
    <t>Millennium drought years 1-6. In years 7-10, 14.4 maf each year Lake Powell natural inflow</t>
  </si>
  <si>
    <t>Available water (Account Balance + Available Inflow - Evaporation + Sales - Purchases + Grand Canyon Tributary flow)</t>
  </si>
  <si>
    <t>0.6 maf every year</t>
  </si>
  <si>
    <t>11.0 maf every year natural flow to Lake Powell</t>
  </si>
  <si>
    <t>Law of River operations + sell some to Lower Basin to build conservation ethic</t>
  </si>
  <si>
    <t>Law of River operations + purchase some from Upper Basint to delay shortage onset</t>
  </si>
  <si>
    <t>MellenniumRecover-LawOfRiver</t>
  </si>
  <si>
    <t>MellenniumRecover-Delta</t>
  </si>
  <si>
    <t>Add Colorado River Delta account, pulse flows, and purchases to MillenniumRecover-LawOfRiver scenario. The Delta account gets 0.21/9 maf each year. The user saves water, purchases 0.016 maf from Mexico in Years 3 and 6,  and makes pulse releases in Years 3 and 6 of 0.06 maf. The user also purchases 0.04 maf in Year 9 and makes a pulse release of 0.08 maf.</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</si>
  <si>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</si>
  <si>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</si>
  <si>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MellenniumRecover-Trade</t>
  </si>
  <si>
    <t>A completed role play of the Millennium Drought (12.4 maf every year natural flow at Lee Ferry) for 6 years followed by 14.4 maf every year in Years 7, 8, 9, and 10. This operations scenario assumes equalization expires in year 5. Upper Basin sales to the Lower basin in years 7-10 help the Lower Basin recover its account balance whereas with out sales the Lower Basin's account balance continues to fall and consumptive use starts to fall in Year 10.</t>
  </si>
  <si>
    <t>Millennium-Plots</t>
  </si>
  <si>
    <t>Plots of Lower and Upper Basin Consumptive Use and Account Balances that compare results for MillenniumRecover-Trade and MillenniumRecover-LawOfRiver operations</t>
  </si>
  <si>
    <t>Shared, Reserve</t>
  </si>
  <si>
    <t>12 maf initial, inflow is evap</t>
  </si>
  <si>
    <t>11.0-TradeReserve</t>
  </si>
  <si>
    <t>A completed role play with Lee ferry natural flow of 11.0 maf, trade, and a combined share reserve account with 12 maf</t>
  </si>
  <si>
    <t>Versions</t>
  </si>
  <si>
    <t>List of the versions and changes made</t>
  </si>
  <si>
    <t>Date Implimented</t>
  </si>
  <si>
    <t>Changes</t>
  </si>
  <si>
    <t>Suggested By</t>
  </si>
  <si>
    <t>Implemented By</t>
  </si>
  <si>
    <t>Date Suggested</t>
  </si>
  <si>
    <t>1) Give Mexico share of initial storage, 2) Rearrange available water, sales/trades, release so user can see all at once, 3) Allow variable price sales</t>
  </si>
  <si>
    <t>Jennifer Pitt</t>
  </si>
  <si>
    <t>Add version control worksheet. List versions</t>
  </si>
  <si>
    <t>David Tarboton, Homa Salahebadi</t>
  </si>
  <si>
    <t>Chris Harris</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</si>
  <si>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</si>
  <si>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</si>
  <si>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</si>
  <si>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</si>
  <si>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</si>
  <si>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File Number</t>
  </si>
  <si>
    <t>Lake Powell system</t>
  </si>
  <si>
    <t>3.2.1</t>
  </si>
  <si>
    <t xml:space="preserve">Show what is happening for Lake Mead and lower in system. This is Powell-Mead long-form. </t>
  </si>
  <si>
    <t>Mead-1.0</t>
  </si>
  <si>
    <t>Separate budget just for Lake Mead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</si>
</sst>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cellStyleXfs>
  <cellXfs count="10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0" fontId="0" fillId="0" borderId="9" xfId="0" applyFill="1" applyBorder="1" applyAlignment="1">
      <alignment horizontal="left"/>
    </xf>
    <xf numFmtId="166" fontId="0" fillId="0" borderId="9" xfId="1" applyNumberFormat="1" applyFont="1" applyBorder="1"/>
    <xf numFmtId="0" fontId="4" fillId="3" borderId="1" xfId="3" applyAlignment="1">
      <alignment horizontal="center"/>
    </xf>
    <xf numFmtId="44" fontId="4" fillId="3" borderId="1" xfId="4" applyFont="1" applyFill="1" applyBorder="1"/>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2" fontId="5" fillId="5" borderId="0" xfId="5" applyNumberFormat="1" applyFont="1" applyFill="1" applyAlignment="1">
      <alignment horizontal="center"/>
    </xf>
    <xf numFmtId="2" fontId="5" fillId="5" borderId="1" xfId="4" applyNumberFormat="1" applyFont="1" applyFill="1" applyBorder="1" applyAlignment="1">
      <alignment horizontal="center"/>
    </xf>
    <xf numFmtId="0" fontId="1" fillId="0" borderId="0" xfId="0" applyFont="1" applyAlignment="1">
      <alignment horizontal="left" wrapText="1"/>
    </xf>
    <xf numFmtId="0" fontId="1" fillId="0" borderId="9" xfId="0" applyFont="1" applyBorder="1" applyAlignment="1">
      <alignment horizontal="center"/>
    </xf>
    <xf numFmtId="0" fontId="3" fillId="2" borderId="9" xfId="2" applyBorder="1" applyAlignment="1">
      <alignment horizontal="center"/>
    </xf>
    <xf numFmtId="0" fontId="5" fillId="5" borderId="9" xfId="6" applyBorder="1" applyAlignment="1">
      <alignment horizontal="center"/>
    </xf>
    <xf numFmtId="170" fontId="5" fillId="5" borderId="1" xfId="4" applyNumberFormat="1" applyFont="1" applyFill="1" applyBorder="1" applyAlignment="1">
      <alignment horizontal="center"/>
    </xf>
    <xf numFmtId="170" fontId="5" fillId="5" borderId="1" xfId="6" applyNumberFormat="1" applyBorder="1" applyAlignment="1">
      <alignment horizontal="center"/>
    </xf>
    <xf numFmtId="171" fontId="0" fillId="0" borderId="0" xfId="0" applyNumberFormat="1" applyAlignment="1">
      <alignment horizontal="center"/>
    </xf>
    <xf numFmtId="164" fontId="5" fillId="5" borderId="1" xfId="4" applyNumberFormat="1" applyFont="1" applyFill="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70" fontId="5" fillId="5" borderId="0" xfId="5" applyNumberFormat="1" applyFont="1" applyFill="1" applyAlignment="1">
      <alignment horizontal="center"/>
    </xf>
    <xf numFmtId="2" fontId="0" fillId="0" borderId="0" xfId="0" applyNumberFormat="1"/>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0" fontId="0" fillId="0" borderId="0" xfId="0" applyFont="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5" fillId="5" borderId="9" xfId="6" applyBorder="1" applyAlignment="1">
      <alignment horizontal="left"/>
    </xf>
    <xf numFmtId="0" fontId="6" fillId="0" borderId="0" xfId="0" applyFont="1" applyAlignment="1">
      <alignment horizontal="center"/>
    </xf>
    <xf numFmtId="0" fontId="3" fillId="2" borderId="1" xfId="2" applyAlignment="1">
      <alignment horizontal="center"/>
    </xf>
    <xf numFmtId="0" fontId="1" fillId="6" borderId="9" xfId="0" applyFont="1" applyFill="1" applyBorder="1" applyAlignment="1">
      <alignment horizontal="center" vertical="top" wrapText="1"/>
    </xf>
    <xf numFmtId="164" fontId="0" fillId="0" borderId="9" xfId="0" applyNumberFormat="1" applyBorder="1" applyAlignment="1">
      <alignment horizontal="center" vertical="top"/>
    </xf>
  </cellXfs>
  <cellStyles count="7">
    <cellStyle name="Accent2" xfId="6" builtinId="33"/>
    <cellStyle name="Calculation" xfId="3" builtinId="22"/>
    <cellStyle name="Comma" xfId="1" builtinId="3"/>
    <cellStyle name="Currency" xfId="4" builtinId="4"/>
    <cellStyle name="Input" xfId="2" builtinId="20"/>
    <cellStyle name="Normal" xfId="0" builtinId="0"/>
    <cellStyle name="Percent" xfId="5" builtinId="5"/>
  </cellStyles>
  <dxfs count="4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'11.0-LawOfRiver'!$C$76:$G$76</c:f>
              <c:numCache>
                <c:formatCode>0.0</c:formatCode>
                <c:ptCount val="5"/>
                <c:pt idx="0">
                  <c:v>4.2</c:v>
                </c:pt>
                <c:pt idx="1">
                  <c:v>4.2</c:v>
                </c:pt>
                <c:pt idx="2">
                  <c:v>3.4214833101213369</c:v>
                </c:pt>
                <c:pt idx="3">
                  <c:v>2.4263859058039525</c:v>
                </c:pt>
                <c:pt idx="4">
                  <c:v>2.4238385487219354</c:v>
                </c:pt>
              </c:numCache>
            </c:numRef>
          </c:val>
          <c:smooth val="0"/>
          <c:extLst>
            <c:ext xmlns:c16="http://schemas.microsoft.com/office/drawing/2014/chart" uri="{C3380CC4-5D6E-409C-BE32-E72D297353CC}">
              <c16:uniqueId val="{00000000-CC4C-4AEA-B975-7C4A7FB55AED}"/>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'11.0-Trade'!$C$76:$G$76</c:f>
              <c:numCache>
                <c:formatCode>0.0</c:formatCode>
                <c:ptCount val="5"/>
                <c:pt idx="0">
                  <c:v>3.7</c:v>
                </c:pt>
                <c:pt idx="1">
                  <c:v>3.3</c:v>
                </c:pt>
                <c:pt idx="2">
                  <c:v>3</c:v>
                </c:pt>
                <c:pt idx="3">
                  <c:v>2.8</c:v>
                </c:pt>
                <c:pt idx="4">
                  <c:v>2.8</c:v>
                </c:pt>
              </c:numCache>
            </c:numRef>
          </c:val>
          <c:smooth val="0"/>
          <c:extLst>
            <c:ext xmlns:c16="http://schemas.microsoft.com/office/drawing/2014/chart" uri="{C3380CC4-5D6E-409C-BE32-E72D297353CC}">
              <c16:uniqueId val="{00000001-CC4C-4AEA-B975-7C4A7FB55AED}"/>
            </c:ext>
          </c:extLst>
        </c:ser>
        <c:ser>
          <c:idx val="2"/>
          <c:order val="2"/>
          <c:tx>
            <c:v>Trade, Reserve</c:v>
          </c:tx>
          <c:spPr>
            <a:ln w="19050" cap="rnd">
              <a:solidFill>
                <a:schemeClr val="tx1"/>
              </a:solidFill>
              <a:prstDash val="lgDash"/>
              <a:round/>
            </a:ln>
            <a:effectLst/>
          </c:spPr>
          <c:marker>
            <c:symbol val="x"/>
            <c:size val="7"/>
            <c:spPr>
              <a:noFill/>
              <a:ln w="9525">
                <a:solidFill>
                  <a:schemeClr val="tx1"/>
                </a:solidFill>
              </a:ln>
              <a:effectLst/>
            </c:spPr>
          </c:marker>
          <c:val>
            <c:numRef>
              <c:f>'11.0-TradeReserve'!$C$76:$G$76</c:f>
              <c:numCache>
                <c:formatCode>0.0</c:formatCode>
                <c:ptCount val="5"/>
                <c:pt idx="0">
                  <c:v>3.7</c:v>
                </c:pt>
                <c:pt idx="1">
                  <c:v>3.3</c:v>
                </c:pt>
                <c:pt idx="2">
                  <c:v>3</c:v>
                </c:pt>
                <c:pt idx="3">
                  <c:v>2.8</c:v>
                </c:pt>
                <c:pt idx="4">
                  <c:v>2.8</c:v>
                </c:pt>
              </c:numCache>
            </c:numRef>
          </c:val>
          <c:smooth val="0"/>
          <c:extLst>
            <c:ext xmlns:c16="http://schemas.microsoft.com/office/drawing/2014/chart" uri="{C3380CC4-5D6E-409C-BE32-E72D297353CC}">
              <c16:uniqueId val="{00000000-70C4-4BB9-9852-15FB71419EF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3067390379738842"/>
          <c:h val="0.3503138787144244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'11.0-Trade'!$C$28:$G$28</c:f>
              <c:numCache>
                <c:formatCode>0.0</c:formatCode>
                <c:ptCount val="5"/>
                <c:pt idx="0">
                  <c:v>11</c:v>
                </c:pt>
                <c:pt idx="1">
                  <c:v>9.0322571336493027</c:v>
                </c:pt>
                <c:pt idx="2">
                  <c:v>7.6434827441332986</c:v>
                </c:pt>
                <c:pt idx="3">
                  <c:v>6.6124524678486694</c:v>
                </c:pt>
                <c:pt idx="4">
                  <c:v>6.2263917092955738</c:v>
                </c:pt>
              </c:numCache>
            </c:numRef>
          </c:val>
          <c:smooth val="0"/>
          <c:extLst>
            <c:ext xmlns:c16="http://schemas.microsoft.com/office/drawing/2014/chart" uri="{C3380CC4-5D6E-409C-BE32-E72D297353CC}">
              <c16:uniqueId val="{00000000-A243-4D6A-9A25-2CBF47155BF4}"/>
            </c:ext>
          </c:extLst>
        </c:ser>
        <c:ser>
          <c:idx val="1"/>
          <c:order val="1"/>
          <c:tx>
            <c:v>With Trade</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'11.0-LawOfRiver'!$C$28:$G$28</c:f>
              <c:numCache>
                <c:formatCode>0.0</c:formatCode>
                <c:ptCount val="5"/>
                <c:pt idx="0">
                  <c:v>11</c:v>
                </c:pt>
                <c:pt idx="1">
                  <c:v>9.0322571336493027</c:v>
                </c:pt>
                <c:pt idx="2">
                  <c:v>7.1383410513710048</c:v>
                </c:pt>
                <c:pt idx="3">
                  <c:v>6.1</c:v>
                </c:pt>
                <c:pt idx="4">
                  <c:v>6.1</c:v>
                </c:pt>
              </c:numCache>
            </c:numRef>
          </c:val>
          <c:smooth val="0"/>
          <c:extLst>
            <c:ext xmlns:c16="http://schemas.microsoft.com/office/drawing/2014/chart" uri="{C3380CC4-5D6E-409C-BE32-E72D297353CC}">
              <c16:uniqueId val="{00000001-A243-4D6A-9A25-2CBF47155BF4}"/>
            </c:ext>
          </c:extLst>
        </c:ser>
        <c:ser>
          <c:idx val="2"/>
          <c:order val="2"/>
          <c:tx>
            <c:v>Trade, Reserve</c:v>
          </c:tx>
          <c:spPr>
            <a:ln w="19050" cap="rnd">
              <a:solidFill>
                <a:schemeClr val="tx1"/>
              </a:solidFill>
              <a:prstDash val="lgDash"/>
              <a:round/>
            </a:ln>
            <a:effectLst/>
          </c:spPr>
          <c:marker>
            <c:symbol val="x"/>
            <c:size val="6"/>
            <c:spPr>
              <a:noFill/>
              <a:ln w="9525">
                <a:solidFill>
                  <a:schemeClr val="tx1"/>
                </a:solidFill>
              </a:ln>
              <a:effectLst/>
            </c:spPr>
          </c:marker>
          <c:val>
            <c:numRef>
              <c:f>'11.0-TradeReserve'!$C$83:$G$83</c:f>
              <c:numCache>
                <c:formatCode>0.0</c:formatCode>
                <c:ptCount val="5"/>
                <c:pt idx="0">
                  <c:v>3.1841016642426663</c:v>
                </c:pt>
                <c:pt idx="1">
                  <c:v>2.5432464755189956</c:v>
                </c:pt>
                <c:pt idx="2">
                  <c:v>2.2370907183780364</c:v>
                </c:pt>
                <c:pt idx="3">
                  <c:v>2.5475834362304477</c:v>
                </c:pt>
                <c:pt idx="4">
                  <c:v>2.8428493582043544</c:v>
                </c:pt>
              </c:numCache>
            </c:numRef>
          </c:val>
          <c:smooth val="0"/>
          <c:extLst>
            <c:ext xmlns:c16="http://schemas.microsoft.com/office/drawing/2014/chart" uri="{C3380CC4-5D6E-409C-BE32-E72D297353CC}">
              <c16:uniqueId val="{00000000-04A7-4822-A6EB-C6AA51C40F6F}"/>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'11.0-Trade'!$C$77:$G$77</c:f>
              <c:numCache>
                <c:formatCode>0.0</c:formatCode>
                <c:ptCount val="5"/>
                <c:pt idx="0">
                  <c:v>6.867</c:v>
                </c:pt>
                <c:pt idx="1">
                  <c:v>6.867</c:v>
                </c:pt>
                <c:pt idx="2">
                  <c:v>6.867</c:v>
                </c:pt>
                <c:pt idx="3">
                  <c:v>6.867</c:v>
                </c:pt>
                <c:pt idx="4">
                  <c:v>6.867</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'11.0-LawOfRiver'!$C$77:$G$77</c:f>
              <c:numCache>
                <c:formatCode>0.0</c:formatCode>
                <c:ptCount val="5"/>
                <c:pt idx="0">
                  <c:v>6.867</c:v>
                </c:pt>
                <c:pt idx="1">
                  <c:v>6.867</c:v>
                </c:pt>
                <c:pt idx="2">
                  <c:v>6.7830000000000004</c:v>
                </c:pt>
                <c:pt idx="3">
                  <c:v>6.7830000000000004</c:v>
                </c:pt>
                <c:pt idx="4">
                  <c:v>6.7830000000000004</c:v>
                </c:pt>
              </c:numCache>
            </c:numRef>
          </c:val>
          <c:smooth val="0"/>
          <c:extLst>
            <c:ext xmlns:c16="http://schemas.microsoft.com/office/drawing/2014/chart" uri="{C3380CC4-5D6E-409C-BE32-E72D297353CC}">
              <c16:uniqueId val="{00000001-B987-46E0-BA8D-5A8EF0E19845}"/>
            </c:ext>
          </c:extLst>
        </c:ser>
        <c:ser>
          <c:idx val="2"/>
          <c:order val="2"/>
          <c:tx>
            <c:v>Trade, Reserve</c:v>
          </c:tx>
          <c:spPr>
            <a:ln w="19050" cap="rnd">
              <a:solidFill>
                <a:schemeClr val="tx1"/>
              </a:solidFill>
              <a:prstDash val="lgDash"/>
              <a:round/>
            </a:ln>
            <a:effectLst/>
          </c:spPr>
          <c:marker>
            <c:symbol val="x"/>
            <c:size val="7"/>
            <c:spPr>
              <a:noFill/>
              <a:ln w="9525">
                <a:solidFill>
                  <a:schemeClr val="tx1"/>
                </a:solidFill>
              </a:ln>
              <a:effectLst/>
            </c:spPr>
          </c:marker>
          <c:val>
            <c:numRef>
              <c:f>'11.0-TradeReserve'!$C$77:$G$77</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3D35-4113-A3D3-11A0935FD7C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'11.0-LawOfRiver'!$C$29:$G$29</c:f>
              <c:numCache>
                <c:formatCode>0.0</c:formatCode>
                <c:ptCount val="5"/>
                <c:pt idx="0">
                  <c:v>10.1</c:v>
                </c:pt>
                <c:pt idx="1">
                  <c:v>9.7088451863507252</c:v>
                </c:pt>
                <c:pt idx="2">
                  <c:v>9.3135526316284221</c:v>
                </c:pt>
                <c:pt idx="3">
                  <c:v>8.9993343277774898</c:v>
                </c:pt>
                <c:pt idx="4">
                  <c:v>8.6837767143729359</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'11.0-Trade'!$C$29:$G$29</c:f>
              <c:numCache>
                <c:formatCode>0.0</c:formatCode>
                <c:ptCount val="5"/>
                <c:pt idx="0">
                  <c:v>10.1</c:v>
                </c:pt>
                <c:pt idx="1">
                  <c:v>10.208845186350725</c:v>
                </c:pt>
                <c:pt idx="2">
                  <c:v>10.193959821867303</c:v>
                </c:pt>
                <c:pt idx="3">
                  <c:v>10.163782175651356</c:v>
                </c:pt>
                <c:pt idx="4">
                  <c:v>9.7221782847044516</c:v>
                </c:pt>
              </c:numCache>
            </c:numRef>
          </c:val>
          <c:smooth val="0"/>
          <c:extLst>
            <c:ext xmlns:c16="http://schemas.microsoft.com/office/drawing/2014/chart" uri="{C3380CC4-5D6E-409C-BE32-E72D297353CC}">
              <c16:uniqueId val="{00000001-D877-4E0B-8DD9-991F585A264B}"/>
            </c:ext>
          </c:extLst>
        </c:ser>
        <c:ser>
          <c:idx val="2"/>
          <c:order val="2"/>
          <c:tx>
            <c:v>Trade, Reserve</c:v>
          </c:tx>
          <c:spPr>
            <a:ln w="19050" cap="rnd">
              <a:solidFill>
                <a:schemeClr val="tx1"/>
              </a:solidFill>
              <a:prstDash val="lgDash"/>
              <a:round/>
            </a:ln>
            <a:effectLst/>
          </c:spPr>
          <c:marker>
            <c:symbol val="x"/>
            <c:size val="7"/>
            <c:spPr>
              <a:noFill/>
              <a:ln w="9525">
                <a:solidFill>
                  <a:schemeClr val="tx1"/>
                </a:solidFill>
              </a:ln>
              <a:effectLst/>
            </c:spPr>
          </c:marker>
          <c:val>
            <c:numRef>
              <c:f>'11.0-TradeReserve'!$C$84:$G$84</c:f>
              <c:numCache>
                <c:formatCode>0.0</c:formatCode>
                <c:ptCount val="5"/>
                <c:pt idx="0">
                  <c:v>4.2776897169440868</c:v>
                </c:pt>
                <c:pt idx="1">
                  <c:v>4.3316217802306003</c:v>
                </c:pt>
                <c:pt idx="2">
                  <c:v>4.3770909510752372</c:v>
                </c:pt>
                <c:pt idx="3">
                  <c:v>4.0179095014530901</c:v>
                </c:pt>
                <c:pt idx="4">
                  <c:v>3.6757872285642037</c:v>
                </c:pt>
              </c:numCache>
            </c:numRef>
          </c:val>
          <c:smooth val="0"/>
          <c:extLst>
            <c:ext xmlns:c16="http://schemas.microsoft.com/office/drawing/2014/chart" uri="{C3380CC4-5D6E-409C-BE32-E72D297353CC}">
              <c16:uniqueId val="{00000000-4CE3-4BC1-B35E-9665CC053CA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12"/>
          <c:min val="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'MillenniumRecover-LawOfRiver'!$C$76:$L$76</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'MillenniumRecover-Trade'!$C$76:$L$76</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'MillenniumRecover-Trade'!$C$28:$L$28</c:f>
              <c:numCache>
                <c:formatCode>0.0</c:formatCode>
                <c:ptCount val="10"/>
                <c:pt idx="0">
                  <c:v>11</c:v>
                </c:pt>
                <c:pt idx="1">
                  <c:v>10.432257133649305</c:v>
                </c:pt>
                <c:pt idx="2">
                  <c:v>9.8828742725086656</c:v>
                </c:pt>
                <c:pt idx="3">
                  <c:v>9.3505876185647416</c:v>
                </c:pt>
                <c:pt idx="4">
                  <c:v>8.8369507768451037</c:v>
                </c:pt>
                <c:pt idx="5">
                  <c:v>8.3416540166223037</c:v>
                </c:pt>
                <c:pt idx="6">
                  <c:v>7.864595445953662</c:v>
                </c:pt>
                <c:pt idx="7">
                  <c:v>8.9051509428001765</c:v>
                </c:pt>
                <c:pt idx="8">
                  <c:v>9.9039589206904175</c:v>
                </c:pt>
                <c:pt idx="9">
                  <c:v>10.864777562512774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'MillenniumRecover-LawOfRiver'!$C$28:$L$28</c:f>
              <c:numCache>
                <c:formatCode>0.0</c:formatCode>
                <c:ptCount val="10"/>
                <c:pt idx="0">
                  <c:v>11</c:v>
                </c:pt>
                <c:pt idx="1">
                  <c:v>10.432257133649305</c:v>
                </c:pt>
                <c:pt idx="2">
                  <c:v>9.8828742725086656</c:v>
                </c:pt>
                <c:pt idx="3">
                  <c:v>9.3505876185647416</c:v>
                </c:pt>
                <c:pt idx="4">
                  <c:v>8.8369507768451037</c:v>
                </c:pt>
                <c:pt idx="5">
                  <c:v>8.3416540166223037</c:v>
                </c:pt>
                <c:pt idx="6">
                  <c:v>7.864595445953662</c:v>
                </c:pt>
                <c:pt idx="7">
                  <c:v>9.4051509428001765</c:v>
                </c:pt>
                <c:pt idx="8">
                  <c:v>10.877783506870696</c:v>
                </c:pt>
                <c:pt idx="9">
                  <c:v>12.289027609216578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'MillenniumRecover-Trade'!$C$77:$L$77</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6.7830000000000004</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'MillenniumRecover-LawOfRiver'!$C$77:$L$77</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6.5330000000000004</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10.1</c:v>
                </c:pt>
                <c:pt idx="1">
                  <c:v>9.7088451863507252</c:v>
                </c:pt>
                <c:pt idx="2">
                  <c:v>9.3281315674907894</c:v>
                </c:pt>
                <c:pt idx="3">
                  <c:v>9.0427584674352843</c:v>
                </c:pt>
                <c:pt idx="4">
                  <c:v>8.7638787501548947</c:v>
                </c:pt>
                <c:pt idx="5">
                  <c:v>8.4913881463765257</c:v>
                </c:pt>
                <c:pt idx="6">
                  <c:v>8.2253945480445942</c:v>
                </c:pt>
                <c:pt idx="7">
                  <c:v>7.965478071198679</c:v>
                </c:pt>
                <c:pt idx="8">
                  <c:v>7.7324787016275875</c:v>
                </c:pt>
                <c:pt idx="9">
                  <c:v>7.5228410012811358</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10.1</c:v>
                </c:pt>
                <c:pt idx="1">
                  <c:v>9.7088451863507252</c:v>
                </c:pt>
                <c:pt idx="2">
                  <c:v>9.3281315674907894</c:v>
                </c:pt>
                <c:pt idx="3">
                  <c:v>9.0427584674352843</c:v>
                </c:pt>
                <c:pt idx="4">
                  <c:v>8.7638787501548947</c:v>
                </c:pt>
                <c:pt idx="5">
                  <c:v>8.4913881463765257</c:v>
                </c:pt>
                <c:pt idx="6">
                  <c:v>8.2253945480445942</c:v>
                </c:pt>
                <c:pt idx="7">
                  <c:v>8.4654780711986781</c:v>
                </c:pt>
                <c:pt idx="8">
                  <c:v>8.7063032878078666</c:v>
                </c:pt>
                <c:pt idx="9">
                  <c:v>8.9470910479849373</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14"/>
          <c:min val="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37"/>
  <sheetViews>
    <sheetView topLeftCell="A14" zoomScale="150" zoomScaleNormal="150" workbookViewId="0">
      <selection activeCell="B14" sqref="B14:L1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110</v>
      </c>
      <c r="B1" s="1"/>
      <c r="C1" s="2"/>
      <c r="D1"/>
    </row>
    <row r="2" spans="1:12" x14ac:dyDescent="0.35">
      <c r="A2" s="1"/>
      <c r="B2" s="1"/>
      <c r="C2" s="2"/>
      <c r="D2"/>
    </row>
    <row r="3" spans="1:12" x14ac:dyDescent="0.35">
      <c r="A3" s="1" t="s">
        <v>38</v>
      </c>
      <c r="B3" s="1"/>
      <c r="C3" s="2"/>
      <c r="D3"/>
    </row>
    <row r="4" spans="1:12" ht="187.5" customHeight="1" x14ac:dyDescent="0.35">
      <c r="A4" s="86" t="s">
        <v>171</v>
      </c>
      <c r="B4" s="86"/>
      <c r="C4" s="86"/>
      <c r="D4" s="86"/>
      <c r="E4" s="86"/>
      <c r="F4" s="86"/>
      <c r="G4" s="86"/>
      <c r="H4" s="86"/>
      <c r="I4" s="86"/>
      <c r="J4" s="86"/>
      <c r="K4" s="86"/>
      <c r="L4" s="86"/>
    </row>
    <row r="5" spans="1:12" ht="13.5" customHeight="1" x14ac:dyDescent="0.35">
      <c r="B5" s="15"/>
      <c r="C5" s="15"/>
      <c r="D5" s="15"/>
      <c r="E5" s="15"/>
      <c r="F5" s="15"/>
      <c r="G5" s="15"/>
      <c r="H5" s="15"/>
      <c r="I5" s="15"/>
      <c r="J5" s="15"/>
      <c r="K5" s="15"/>
      <c r="L5" s="15"/>
    </row>
    <row r="6" spans="1:12" ht="16.5" customHeight="1" x14ac:dyDescent="0.35">
      <c r="A6" s="90" t="s">
        <v>109</v>
      </c>
      <c r="B6" s="91"/>
      <c r="C6" s="91"/>
      <c r="D6" s="91"/>
      <c r="E6" s="91"/>
      <c r="F6" s="91"/>
      <c r="G6" s="91"/>
      <c r="H6" s="91"/>
      <c r="I6" s="91"/>
      <c r="J6" s="91"/>
      <c r="K6" s="91"/>
      <c r="L6" s="92"/>
    </row>
    <row r="7" spans="1:12" ht="16.5" customHeight="1" x14ac:dyDescent="0.35">
      <c r="A7" s="28">
        <v>1</v>
      </c>
      <c r="B7" s="87" t="s">
        <v>148</v>
      </c>
      <c r="C7" s="87"/>
      <c r="D7" s="87"/>
      <c r="E7" s="87"/>
      <c r="F7" s="87"/>
      <c r="G7" s="87"/>
      <c r="H7" s="87"/>
      <c r="I7" s="87"/>
      <c r="J7" s="87"/>
      <c r="K7" s="87"/>
      <c r="L7" s="88"/>
    </row>
    <row r="8" spans="1:12" ht="16.5" customHeight="1" x14ac:dyDescent="0.35">
      <c r="A8" s="28">
        <v>2</v>
      </c>
      <c r="B8" s="87" t="s">
        <v>93</v>
      </c>
      <c r="C8" s="87"/>
      <c r="D8" s="87"/>
      <c r="E8" s="87"/>
      <c r="F8" s="87"/>
      <c r="G8" s="87"/>
      <c r="H8" s="87"/>
      <c r="I8" s="87"/>
      <c r="J8" s="87"/>
      <c r="K8" s="87"/>
      <c r="L8" s="88"/>
    </row>
    <row r="9" spans="1:12" ht="31" customHeight="1" x14ac:dyDescent="0.35">
      <c r="A9" s="28">
        <v>3</v>
      </c>
      <c r="B9" s="87" t="s">
        <v>170</v>
      </c>
      <c r="C9" s="87"/>
      <c r="D9" s="87"/>
      <c r="E9" s="87"/>
      <c r="F9" s="87"/>
      <c r="G9" s="87"/>
      <c r="H9" s="87"/>
      <c r="I9" s="87"/>
      <c r="J9" s="87"/>
      <c r="K9" s="87"/>
      <c r="L9" s="88"/>
    </row>
    <row r="10" spans="1:12" ht="32.5" customHeight="1" x14ac:dyDescent="0.35">
      <c r="A10" s="28">
        <v>4</v>
      </c>
      <c r="B10" s="87" t="s">
        <v>172</v>
      </c>
      <c r="C10" s="87"/>
      <c r="D10" s="87"/>
      <c r="E10" s="87"/>
      <c r="F10" s="87"/>
      <c r="G10" s="87"/>
      <c r="H10" s="87"/>
      <c r="I10" s="87"/>
      <c r="J10" s="87"/>
      <c r="K10" s="87"/>
      <c r="L10" s="88"/>
    </row>
    <row r="11" spans="1:12" ht="16.5" customHeight="1" x14ac:dyDescent="0.35">
      <c r="A11" s="28">
        <v>5</v>
      </c>
      <c r="B11" s="87" t="s">
        <v>173</v>
      </c>
      <c r="C11" s="87"/>
      <c r="D11" s="87"/>
      <c r="E11" s="87"/>
      <c r="F11" s="87"/>
      <c r="G11" s="87"/>
      <c r="H11" s="87"/>
      <c r="I11" s="87"/>
      <c r="J11" s="87"/>
      <c r="K11" s="87"/>
      <c r="L11" s="88"/>
    </row>
    <row r="12" spans="1:12" ht="16.5" customHeight="1" x14ac:dyDescent="0.35">
      <c r="A12" s="28">
        <v>6</v>
      </c>
      <c r="B12" s="87" t="s">
        <v>174</v>
      </c>
      <c r="C12" s="87"/>
      <c r="D12" s="87"/>
      <c r="E12" s="87"/>
      <c r="F12" s="87"/>
      <c r="G12" s="87"/>
      <c r="H12" s="87"/>
      <c r="I12" s="87"/>
      <c r="J12" s="87"/>
      <c r="K12" s="87"/>
      <c r="L12" s="88"/>
    </row>
    <row r="13" spans="1:12" ht="47" customHeight="1" x14ac:dyDescent="0.35">
      <c r="A13" s="28">
        <v>7</v>
      </c>
      <c r="B13" s="87" t="s">
        <v>175</v>
      </c>
      <c r="C13" s="87"/>
      <c r="D13" s="87"/>
      <c r="E13" s="87"/>
      <c r="F13" s="87"/>
      <c r="G13" s="87"/>
      <c r="H13" s="87"/>
      <c r="I13" s="87"/>
      <c r="J13" s="87"/>
      <c r="K13" s="87"/>
      <c r="L13" s="88"/>
    </row>
    <row r="14" spans="1:12" ht="32.5" customHeight="1" x14ac:dyDescent="0.35">
      <c r="A14" s="28">
        <v>8</v>
      </c>
      <c r="B14" s="87" t="s">
        <v>177</v>
      </c>
      <c r="C14" s="87"/>
      <c r="D14" s="87"/>
      <c r="E14" s="87"/>
      <c r="F14" s="87"/>
      <c r="G14" s="87"/>
      <c r="H14" s="87"/>
      <c r="I14" s="87"/>
      <c r="J14" s="87"/>
      <c r="K14" s="87"/>
      <c r="L14" s="88"/>
    </row>
    <row r="15" spans="1:12" ht="16.5" customHeight="1" x14ac:dyDescent="0.35">
      <c r="A15" s="28">
        <v>9</v>
      </c>
      <c r="B15" s="87" t="s">
        <v>176</v>
      </c>
      <c r="C15" s="87"/>
      <c r="D15" s="87"/>
      <c r="E15" s="87"/>
      <c r="F15" s="87"/>
      <c r="G15" s="87"/>
      <c r="H15" s="87"/>
      <c r="I15" s="87"/>
      <c r="J15" s="87"/>
      <c r="K15" s="87"/>
      <c r="L15" s="88"/>
    </row>
    <row r="16" spans="1:12" ht="16.5" customHeight="1" x14ac:dyDescent="0.35">
      <c r="A16" s="28">
        <v>10</v>
      </c>
      <c r="B16" s="87" t="s">
        <v>178</v>
      </c>
      <c r="C16" s="87"/>
      <c r="D16" s="87"/>
      <c r="E16" s="87"/>
      <c r="F16" s="87"/>
      <c r="G16" s="87"/>
      <c r="H16" s="87"/>
      <c r="I16" s="87"/>
      <c r="J16" s="87"/>
      <c r="K16" s="87"/>
      <c r="L16" s="88"/>
    </row>
    <row r="17" spans="1:12" ht="32" customHeight="1" x14ac:dyDescent="0.35">
      <c r="A17" s="28">
        <v>11</v>
      </c>
      <c r="B17" s="87" t="s">
        <v>179</v>
      </c>
      <c r="C17" s="87"/>
      <c r="D17" s="87"/>
      <c r="E17" s="87"/>
      <c r="F17" s="87"/>
      <c r="G17" s="87"/>
      <c r="H17" s="87"/>
      <c r="I17" s="87"/>
      <c r="J17" s="87"/>
      <c r="K17" s="87"/>
      <c r="L17" s="88"/>
    </row>
    <row r="18" spans="1:12" ht="16.5" customHeight="1" x14ac:dyDescent="0.35">
      <c r="A18" s="28">
        <v>12</v>
      </c>
      <c r="B18" s="93" t="s">
        <v>149</v>
      </c>
      <c r="C18" s="93"/>
      <c r="D18" s="93"/>
      <c r="E18" s="93"/>
      <c r="F18" s="93"/>
      <c r="G18" s="93"/>
      <c r="H18" s="93"/>
      <c r="I18" s="93"/>
      <c r="J18" s="93"/>
      <c r="K18" s="93"/>
      <c r="L18" s="94"/>
    </row>
    <row r="19" spans="1:12" ht="32" customHeight="1" x14ac:dyDescent="0.35">
      <c r="A19" s="28">
        <v>13</v>
      </c>
      <c r="B19" s="95" t="s">
        <v>150</v>
      </c>
      <c r="C19" s="95"/>
      <c r="D19" s="95"/>
      <c r="E19" s="95"/>
      <c r="F19" s="95"/>
      <c r="G19" s="95"/>
      <c r="H19" s="95"/>
      <c r="I19" s="95"/>
      <c r="J19" s="95"/>
      <c r="K19" s="95"/>
      <c r="L19" s="96"/>
    </row>
    <row r="20" spans="1:12" ht="16.5" customHeight="1" x14ac:dyDescent="0.35">
      <c r="B20" s="26"/>
      <c r="C20" s="26"/>
      <c r="D20" s="26"/>
      <c r="E20" s="26"/>
      <c r="F20" s="26"/>
      <c r="G20" s="26"/>
      <c r="H20" s="26"/>
      <c r="I20" s="26"/>
      <c r="J20" s="26"/>
      <c r="K20" s="26"/>
      <c r="L20" s="26"/>
    </row>
    <row r="21" spans="1:12" x14ac:dyDescent="0.35">
      <c r="A21" s="1" t="s">
        <v>94</v>
      </c>
    </row>
    <row r="22" spans="1:12" x14ac:dyDescent="0.35">
      <c r="B22" s="2" t="s">
        <v>95</v>
      </c>
      <c r="C22" t="s">
        <v>194</v>
      </c>
    </row>
    <row r="23" spans="1:12" x14ac:dyDescent="0.35">
      <c r="B23" s="2" t="s">
        <v>204</v>
      </c>
      <c r="C23" t="s">
        <v>205</v>
      </c>
    </row>
    <row r="24" spans="1:12" x14ac:dyDescent="0.35">
      <c r="B24" s="2" t="s">
        <v>143</v>
      </c>
      <c r="C24" t="s">
        <v>195</v>
      </c>
    </row>
    <row r="25" spans="1:12" x14ac:dyDescent="0.35">
      <c r="B25" s="2" t="s">
        <v>202</v>
      </c>
      <c r="C25" t="s">
        <v>203</v>
      </c>
    </row>
    <row r="26" spans="1:12" x14ac:dyDescent="0.35">
      <c r="B26" s="2" t="s">
        <v>144</v>
      </c>
      <c r="C26" t="s">
        <v>152</v>
      </c>
    </row>
    <row r="27" spans="1:12" x14ac:dyDescent="0.35">
      <c r="B27" s="2" t="s">
        <v>146</v>
      </c>
      <c r="C27" t="s">
        <v>153</v>
      </c>
    </row>
    <row r="28" spans="1:12" x14ac:dyDescent="0.35">
      <c r="B28" s="2" t="s">
        <v>196</v>
      </c>
      <c r="C28" t="s">
        <v>197</v>
      </c>
    </row>
    <row r="29" spans="1:12" x14ac:dyDescent="0.35">
      <c r="B29" s="2" t="s">
        <v>191</v>
      </c>
      <c r="C29" t="s">
        <v>154</v>
      </c>
    </row>
    <row r="30" spans="1:12" x14ac:dyDescent="0.35">
      <c r="B30" s="2" t="s">
        <v>198</v>
      </c>
      <c r="C30" t="s">
        <v>199</v>
      </c>
    </row>
    <row r="31" spans="1:12" x14ac:dyDescent="0.35">
      <c r="B31" s="2" t="s">
        <v>192</v>
      </c>
      <c r="C31" t="s">
        <v>193</v>
      </c>
    </row>
    <row r="32" spans="1:12" x14ac:dyDescent="0.35">
      <c r="B32" s="2" t="s">
        <v>96</v>
      </c>
      <c r="C32" t="s">
        <v>97</v>
      </c>
    </row>
    <row r="33" spans="1:12" x14ac:dyDescent="0.35">
      <c r="B33" s="2" t="s">
        <v>98</v>
      </c>
      <c r="C33" t="s">
        <v>99</v>
      </c>
    </row>
    <row r="34" spans="1:12" x14ac:dyDescent="0.35">
      <c r="B34" s="2" t="s">
        <v>155</v>
      </c>
      <c r="C34" t="s">
        <v>156</v>
      </c>
    </row>
    <row r="36" spans="1:12" x14ac:dyDescent="0.35">
      <c r="A36" s="1" t="s">
        <v>50</v>
      </c>
    </row>
    <row r="37" spans="1:12" ht="30.5" customHeight="1" x14ac:dyDescent="0.35">
      <c r="A37" s="89" t="s">
        <v>151</v>
      </c>
      <c r="B37" s="89"/>
      <c r="C37" s="89"/>
      <c r="D37" s="89"/>
      <c r="E37" s="89"/>
      <c r="F37" s="89"/>
      <c r="G37" s="89"/>
      <c r="H37" s="89"/>
      <c r="I37" s="89"/>
      <c r="J37" s="89"/>
      <c r="K37" s="89"/>
      <c r="L37" s="89"/>
    </row>
  </sheetData>
  <mergeCells count="16">
    <mergeCell ref="A37:L37"/>
    <mergeCell ref="A6:L6"/>
    <mergeCell ref="B10:L10"/>
    <mergeCell ref="B7:L7"/>
    <mergeCell ref="B8:L8"/>
    <mergeCell ref="B15:L15"/>
    <mergeCell ref="B16:L16"/>
    <mergeCell ref="B17:L17"/>
    <mergeCell ref="B18:L18"/>
    <mergeCell ref="B19:L19"/>
    <mergeCell ref="B14:L14"/>
    <mergeCell ref="A4:L4"/>
    <mergeCell ref="B9:L9"/>
    <mergeCell ref="B11:L11"/>
    <mergeCell ref="B12:L12"/>
    <mergeCell ref="B13:L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Y1"/>
  <sheetViews>
    <sheetView topLeftCell="C1" workbookViewId="0">
      <selection activeCell="P1" sqref="P1:Y1"/>
    </sheetView>
  </sheetViews>
  <sheetFormatPr defaultRowHeight="14.5" x14ac:dyDescent="0.35"/>
  <cols>
    <col min="7" max="7" width="7.90625" customWidth="1"/>
  </cols>
  <sheetData>
    <row r="1" spans="7:25" ht="36" x14ac:dyDescent="0.8">
      <c r="G1" s="48" t="s">
        <v>40</v>
      </c>
      <c r="P1" s="104" t="s">
        <v>41</v>
      </c>
      <c r="Q1" s="104"/>
      <c r="R1" s="104"/>
      <c r="S1" s="104"/>
      <c r="T1" s="104"/>
      <c r="U1" s="104"/>
      <c r="V1" s="104"/>
      <c r="W1" s="104"/>
      <c r="X1" s="104"/>
      <c r="Y1" s="104"/>
    </row>
  </sheetData>
  <mergeCells count="1">
    <mergeCell ref="P1:Y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8F77-0822-4F91-8385-82FEF379CE79}">
  <dimension ref="A1:U95"/>
  <sheetViews>
    <sheetView topLeftCell="A43" zoomScale="150" zoomScaleNormal="150" workbookViewId="0">
      <selection activeCell="B57" sqref="B57"/>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63"/>
      <c r="I3" s="63"/>
      <c r="J3" s="63"/>
      <c r="K3" s="63"/>
    </row>
    <row r="4" spans="1:11" x14ac:dyDescent="0.35">
      <c r="A4" s="64" t="s">
        <v>39</v>
      </c>
      <c r="B4" s="64" t="s">
        <v>43</v>
      </c>
      <c r="C4" s="99" t="s">
        <v>44</v>
      </c>
      <c r="D4" s="100"/>
      <c r="E4" s="100"/>
      <c r="F4" s="100"/>
      <c r="G4" s="101"/>
    </row>
    <row r="5" spans="1:11" x14ac:dyDescent="0.35">
      <c r="A5" s="65" t="s">
        <v>52</v>
      </c>
      <c r="B5" s="65"/>
      <c r="C5" s="102"/>
      <c r="D5" s="102"/>
      <c r="E5" s="102"/>
      <c r="F5" s="102"/>
      <c r="G5" s="102"/>
    </row>
    <row r="6" spans="1:11" x14ac:dyDescent="0.35">
      <c r="A6" s="66" t="s">
        <v>40</v>
      </c>
      <c r="B6" s="66" t="s">
        <v>184</v>
      </c>
      <c r="C6" s="103" t="s">
        <v>183</v>
      </c>
      <c r="D6" s="103"/>
      <c r="E6" s="103"/>
      <c r="F6" s="103"/>
      <c r="G6" s="103"/>
    </row>
    <row r="7" spans="1:11" x14ac:dyDescent="0.35">
      <c r="A7" s="66" t="s">
        <v>41</v>
      </c>
      <c r="B7" s="66" t="s">
        <v>184</v>
      </c>
      <c r="C7" s="97" t="s">
        <v>181</v>
      </c>
      <c r="D7" s="97"/>
      <c r="E7" s="97"/>
      <c r="F7" s="97"/>
      <c r="G7" s="97"/>
    </row>
    <row r="8" spans="1:11" x14ac:dyDescent="0.35">
      <c r="A8" s="66" t="s">
        <v>42</v>
      </c>
      <c r="B8" s="66" t="s">
        <v>184</v>
      </c>
      <c r="C8" s="103" t="s">
        <v>183</v>
      </c>
      <c r="D8" s="103"/>
      <c r="E8" s="103"/>
      <c r="F8" s="103"/>
      <c r="G8" s="103"/>
    </row>
    <row r="9" spans="1:11" x14ac:dyDescent="0.35">
      <c r="A9" s="66" t="s">
        <v>165</v>
      </c>
      <c r="B9" s="66" t="s">
        <v>184</v>
      </c>
      <c r="C9" s="97" t="s">
        <v>182</v>
      </c>
      <c r="D9" s="97"/>
      <c r="E9" s="97"/>
      <c r="F9" s="97"/>
      <c r="G9" s="97"/>
    </row>
    <row r="10" spans="1:11" x14ac:dyDescent="0.35">
      <c r="A10" s="66" t="s">
        <v>166</v>
      </c>
      <c r="B10" s="66" t="s">
        <v>184</v>
      </c>
      <c r="C10" s="97" t="s">
        <v>180</v>
      </c>
      <c r="D10" s="97"/>
      <c r="E10" s="97"/>
      <c r="F10" s="97"/>
      <c r="G10" s="97"/>
    </row>
    <row r="11" spans="1:11" x14ac:dyDescent="0.35">
      <c r="A11" s="66"/>
      <c r="B11" s="66"/>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3" x14ac:dyDescent="0.35">
      <c r="A18" s="1" t="s">
        <v>54</v>
      </c>
      <c r="D18" s="20" t="s">
        <v>185</v>
      </c>
    </row>
    <row r="20" spans="1:13" x14ac:dyDescent="0.35">
      <c r="A20" s="1" t="s">
        <v>32</v>
      </c>
      <c r="B20" s="1" t="s">
        <v>112</v>
      </c>
      <c r="C20" s="13" t="s">
        <v>113</v>
      </c>
    </row>
    <row r="21" spans="1:13" x14ac:dyDescent="0.35">
      <c r="A21" t="s">
        <v>111</v>
      </c>
      <c r="B21" s="12">
        <v>5.73</v>
      </c>
      <c r="C21" s="12">
        <v>6</v>
      </c>
      <c r="D21" s="23" t="s">
        <v>114</v>
      </c>
    </row>
    <row r="22" spans="1:13" x14ac:dyDescent="0.35">
      <c r="A22" t="s">
        <v>145</v>
      </c>
      <c r="B22" s="12">
        <v>11</v>
      </c>
      <c r="C22" s="12">
        <v>10.1</v>
      </c>
      <c r="D22" s="11" t="s">
        <v>34</v>
      </c>
    </row>
    <row r="24" spans="1:13"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row>
    <row r="25" spans="1:13" x14ac:dyDescent="0.35">
      <c r="A25" s="1" t="s">
        <v>45</v>
      </c>
      <c r="B25" s="1"/>
      <c r="C25" s="45">
        <v>12.4</v>
      </c>
      <c r="D25" s="45">
        <f>C25</f>
        <v>12.4</v>
      </c>
      <c r="E25" s="45">
        <f t="shared" ref="E25:L25" si="0">D25</f>
        <v>12.4</v>
      </c>
      <c r="F25" s="45">
        <f t="shared" si="0"/>
        <v>12.4</v>
      </c>
      <c r="G25" s="45">
        <f t="shared" si="0"/>
        <v>12.4</v>
      </c>
      <c r="H25" s="45">
        <f t="shared" si="0"/>
        <v>12.4</v>
      </c>
      <c r="I25" s="45">
        <v>14.4</v>
      </c>
      <c r="J25" s="45">
        <f t="shared" si="0"/>
        <v>14.4</v>
      </c>
      <c r="K25" s="45">
        <f t="shared" si="0"/>
        <v>14.4</v>
      </c>
      <c r="L25" s="45">
        <f t="shared" si="0"/>
        <v>14.4</v>
      </c>
    </row>
    <row r="26" spans="1:13" x14ac:dyDescent="0.35">
      <c r="A26" s="1" t="s">
        <v>123</v>
      </c>
      <c r="B26" s="1"/>
      <c r="C26" s="12">
        <f>IF(C$25&lt;&gt;"",0.8,"")</f>
        <v>0.8</v>
      </c>
      <c r="D26" s="12">
        <f t="shared" ref="D26:L26" si="1">IF(D$25&lt;&gt;"",0.8,"")</f>
        <v>0.8</v>
      </c>
      <c r="E26" s="12">
        <f t="shared" si="1"/>
        <v>0.8</v>
      </c>
      <c r="F26" s="12">
        <f t="shared" si="1"/>
        <v>0.8</v>
      </c>
      <c r="G26" s="12">
        <f t="shared" si="1"/>
        <v>0.8</v>
      </c>
      <c r="H26" s="12">
        <f t="shared" si="1"/>
        <v>0.8</v>
      </c>
      <c r="I26" s="12">
        <f t="shared" si="1"/>
        <v>0.8</v>
      </c>
      <c r="J26" s="12">
        <f t="shared" si="1"/>
        <v>0.8</v>
      </c>
      <c r="K26" s="12">
        <f t="shared" si="1"/>
        <v>0.8</v>
      </c>
      <c r="L26" s="12">
        <f t="shared" si="1"/>
        <v>0.8</v>
      </c>
    </row>
    <row r="27" spans="1:13" x14ac:dyDescent="0.35">
      <c r="A27" s="1" t="s">
        <v>126</v>
      </c>
      <c r="B27" s="14">
        <f>SUM(B28:B33)-SUM(B22:C22)</f>
        <v>0</v>
      </c>
      <c r="C27" s="14">
        <f>IF(C$25&lt;&gt;"",SUM(B22:C22),"")</f>
        <v>21.1</v>
      </c>
      <c r="D27" s="14">
        <f>IF(D$25&lt;&gt;"",C89,"")</f>
        <v>20.156657875555585</v>
      </c>
      <c r="E27" s="14">
        <f t="shared" ref="E27:L27" si="2">IF(E$25&lt;&gt;"",D89,"")</f>
        <v>19.242116951110571</v>
      </c>
      <c r="F27" s="14">
        <f t="shared" si="2"/>
        <v>18.395636907982066</v>
      </c>
      <c r="G27" s="14">
        <f t="shared" si="2"/>
        <v>17.618675904537589</v>
      </c>
      <c r="H27" s="14">
        <f t="shared" si="2"/>
        <v>16.865358096092574</v>
      </c>
      <c r="I27" s="14">
        <f t="shared" si="2"/>
        <v>16.092523841876559</v>
      </c>
      <c r="J27" s="14">
        <f t="shared" si="2"/>
        <v>17.388718417432713</v>
      </c>
      <c r="K27" s="14">
        <f t="shared" si="2"/>
        <v>18.642821167487096</v>
      </c>
      <c r="L27" s="14">
        <f t="shared" si="2"/>
        <v>19.793266941006291</v>
      </c>
    </row>
    <row r="28" spans="1:13" x14ac:dyDescent="0.35">
      <c r="A28" t="str">
        <f>IF(A6="","","    "&amp;A6&amp;" Balance")</f>
        <v xml:space="preserve">    Upper Basin Balance</v>
      </c>
      <c r="B28" s="55">
        <f>B22</f>
        <v>11</v>
      </c>
      <c r="C28" s="14">
        <f>IF(OR(C$25="",$A28=""),"",B28)</f>
        <v>11</v>
      </c>
      <c r="D28" s="14">
        <f>IF(OR(D$25="",$A28=""),"",C83)</f>
        <v>10.432257133649305</v>
      </c>
      <c r="E28" s="14">
        <f t="shared" ref="E28:L28" si="3">IF(OR(E$25="",$A28=""),"",D83)</f>
        <v>9.8832712386735295</v>
      </c>
      <c r="F28" s="14">
        <f t="shared" si="3"/>
        <v>9.3517686673317435</v>
      </c>
      <c r="G28" s="14">
        <f t="shared" si="3"/>
        <v>8.8381309827398091</v>
      </c>
      <c r="H28" s="14">
        <f t="shared" si="3"/>
        <v>8.3426942813350351</v>
      </c>
      <c r="I28" s="14">
        <f t="shared" si="3"/>
        <v>7.8658905169261173</v>
      </c>
      <c r="J28" s="14">
        <f t="shared" si="3"/>
        <v>9.4064429619645047</v>
      </c>
      <c r="K28" s="14">
        <f t="shared" si="3"/>
        <v>10.878932693012104</v>
      </c>
      <c r="L28" s="14">
        <f t="shared" si="3"/>
        <v>12.289680611945943</v>
      </c>
    </row>
    <row r="29" spans="1:13" x14ac:dyDescent="0.35">
      <c r="A29" t="str">
        <f t="shared" ref="A29:A33" si="4">IF(A7="","","    "&amp;A7&amp;" Balance")</f>
        <v xml:space="preserve">    Lower Basin Balance</v>
      </c>
      <c r="B29" s="55">
        <f>C22</f>
        <v>10.1</v>
      </c>
      <c r="C29" s="14">
        <f t="shared" ref="C29:C33" si="5">IF(OR(C$25="",$A29=""),"",B29)</f>
        <v>10.1</v>
      </c>
      <c r="D29" s="14">
        <f t="shared" ref="D29:L33" si="6">IF(OR(D$25="",$A29=""),"",C84)</f>
        <v>9.7088451863507252</v>
      </c>
      <c r="E29" s="14">
        <f t="shared" si="6"/>
        <v>9.3285010065287182</v>
      </c>
      <c r="F29" s="14">
        <f t="shared" si="6"/>
        <v>9.0438682406503226</v>
      </c>
      <c r="G29" s="14">
        <f t="shared" si="6"/>
        <v>8.7649893662422258</v>
      </c>
      <c r="H29" s="14">
        <f t="shared" si="6"/>
        <v>8.4923630954252438</v>
      </c>
      <c r="I29" s="14">
        <f t="shared" si="6"/>
        <v>8.2266333249504413</v>
      </c>
      <c r="J29" s="14">
        <f t="shared" si="6"/>
        <v>7.9667198999126532</v>
      </c>
      <c r="K29" s="14">
        <f t="shared" si="6"/>
        <v>7.733591833922131</v>
      </c>
      <c r="L29" s="14">
        <f t="shared" si="6"/>
        <v>7.5035863290603482</v>
      </c>
    </row>
    <row r="30" spans="1:13" x14ac:dyDescent="0.35">
      <c r="A30" t="str">
        <f t="shared" si="4"/>
        <v xml:space="preserve">    Mexico Balance</v>
      </c>
      <c r="B30" s="56">
        <v>0</v>
      </c>
      <c r="C30" s="14">
        <f t="shared" si="5"/>
        <v>0</v>
      </c>
      <c r="D30" s="14">
        <f t="shared" si="6"/>
        <v>0</v>
      </c>
      <c r="E30" s="14">
        <f t="shared" si="6"/>
        <v>0</v>
      </c>
      <c r="F30" s="14">
        <f t="shared" si="6"/>
        <v>0</v>
      </c>
      <c r="G30" s="14">
        <f t="shared" si="6"/>
        <v>0</v>
      </c>
      <c r="H30" s="14">
        <f t="shared" si="6"/>
        <v>0</v>
      </c>
      <c r="I30" s="14">
        <f t="shared" si="6"/>
        <v>0</v>
      </c>
      <c r="J30" s="14">
        <f t="shared" si="6"/>
        <v>0</v>
      </c>
      <c r="K30" s="14">
        <f t="shared" si="6"/>
        <v>0</v>
      </c>
      <c r="L30" s="14">
        <f t="shared" si="6"/>
        <v>0</v>
      </c>
    </row>
    <row r="31" spans="1:13"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f t="shared" si="6"/>
        <v>0</v>
      </c>
      <c r="I31" s="14">
        <f t="shared" si="6"/>
        <v>0</v>
      </c>
      <c r="J31" s="14">
        <f t="shared" si="6"/>
        <v>0</v>
      </c>
      <c r="K31" s="14">
        <f t="shared" si="6"/>
        <v>0</v>
      </c>
      <c r="L31" s="14">
        <f t="shared" si="6"/>
        <v>0</v>
      </c>
    </row>
    <row r="32" spans="1:13" x14ac:dyDescent="0.35">
      <c r="A32" t="str">
        <f t="shared" si="4"/>
        <v xml:space="preserve">    Colorado River Delta Balance</v>
      </c>
      <c r="B32" s="56">
        <v>0</v>
      </c>
      <c r="C32" s="14">
        <f t="shared" si="5"/>
        <v>0</v>
      </c>
      <c r="D32" s="14">
        <f t="shared" si="6"/>
        <v>1.5555555555555553E-2</v>
      </c>
      <c r="E32" s="14">
        <f t="shared" si="6"/>
        <v>3.0344705908321515E-2</v>
      </c>
      <c r="F32" s="14">
        <f t="shared" si="6"/>
        <v>0</v>
      </c>
      <c r="G32" s="14">
        <f t="shared" si="6"/>
        <v>1.5555555555555553E-2</v>
      </c>
      <c r="H32" s="14">
        <f t="shared" si="6"/>
        <v>3.0300719332294269E-2</v>
      </c>
      <c r="I32" s="14">
        <f t="shared" si="6"/>
        <v>0</v>
      </c>
      <c r="J32" s="14">
        <f t="shared" si="6"/>
        <v>1.5555555555555553E-2</v>
      </c>
      <c r="K32" s="14">
        <f t="shared" si="6"/>
        <v>3.0296640552861888E-2</v>
      </c>
      <c r="L32" s="14">
        <f t="shared" si="6"/>
        <v>0</v>
      </c>
    </row>
    <row r="33" spans="1:12" x14ac:dyDescent="0.35">
      <c r="A33" t="str">
        <f t="shared" si="4"/>
        <v/>
      </c>
      <c r="B33" s="56">
        <v>0</v>
      </c>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10.078328937777792</v>
      </c>
      <c r="E35" s="14">
        <f t="shared" si="7"/>
        <v>9.6210584755552855</v>
      </c>
      <c r="F35" s="14">
        <f t="shared" si="7"/>
        <v>9.197818453991033</v>
      </c>
      <c r="G35" s="14">
        <f t="shared" si="7"/>
        <v>8.8093379522687947</v>
      </c>
      <c r="H35" s="14">
        <f t="shared" si="7"/>
        <v>8.4326790480462872</v>
      </c>
      <c r="I35" s="14">
        <f t="shared" si="7"/>
        <v>8.0462619209382797</v>
      </c>
      <c r="J35" s="14">
        <f t="shared" si="7"/>
        <v>8.6943592087163566</v>
      </c>
      <c r="K35" s="14">
        <f t="shared" si="7"/>
        <v>9.3214105837435479</v>
      </c>
      <c r="L35" s="14">
        <f t="shared" si="7"/>
        <v>9.8966334705031453</v>
      </c>
    </row>
    <row r="36" spans="1:12" x14ac:dyDescent="0.35">
      <c r="A36" t="s">
        <v>116</v>
      </c>
      <c r="B36" s="35">
        <f>1-B35</f>
        <v>0.5</v>
      </c>
      <c r="C36" s="14">
        <f>IF(C$25&lt;&gt;"",C22,"")</f>
        <v>10.1</v>
      </c>
      <c r="D36" s="14">
        <f t="shared" si="7"/>
        <v>10.078328937777792</v>
      </c>
      <c r="E36" s="14">
        <f t="shared" si="7"/>
        <v>9.6210584755552855</v>
      </c>
      <c r="F36" s="14">
        <f t="shared" si="7"/>
        <v>9.197818453991033</v>
      </c>
      <c r="G36" s="14">
        <f t="shared" si="7"/>
        <v>8.8093379522687947</v>
      </c>
      <c r="H36" s="14">
        <f t="shared" si="7"/>
        <v>8.4326790480462872</v>
      </c>
      <c r="I36" s="14">
        <f t="shared" si="7"/>
        <v>8.0462619209382797</v>
      </c>
      <c r="J36" s="14">
        <f t="shared" si="7"/>
        <v>8.6943592087163566</v>
      </c>
      <c r="K36" s="14">
        <f t="shared" si="7"/>
        <v>9.3214105837435479</v>
      </c>
      <c r="L36" s="14">
        <f t="shared" si="7"/>
        <v>9.8966334705031453</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0.99309648000057305</v>
      </c>
      <c r="E37" s="14">
        <f>IF(E$25&lt;&gt;"",VLOOKUP(E35*1000000,'Powell-Elevation-Area'!$B$5:$D$689,3)*$B$21/1000000 + VLOOKUP(E36*1000000,'Mead-Elevation-Area'!$B$5:$D$676,3)*$C$21/1000000,"")</f>
        <v>0.96665975399942705</v>
      </c>
      <c r="F37" s="14">
        <f>IF(F$25&lt;&gt;"",VLOOKUP(F35*1000000,'Powell-Elevation-Area'!$B$5:$D$689,3)*$B$21/1000000 + VLOOKUP(F36*1000000,'Mead-Elevation-Area'!$B$5:$D$676,3)*$C$21/1000000,"")</f>
        <v>0.94151655900002706</v>
      </c>
      <c r="G37" s="14">
        <f>IF(G$25&lt;&gt;"",VLOOKUP(G35*1000000,'Powell-Elevation-Area'!$B$5:$D$689,3)*$B$21/1000000 + VLOOKUP(G36*1000000,'Mead-Elevation-Area'!$B$5:$D$676,3)*$C$21/1000000,"")</f>
        <v>0.91787336400057307</v>
      </c>
      <c r="H37" s="14">
        <f>IF(H$25&lt;&gt;"",VLOOKUP(H35*1000000,'Powell-Elevation-Area'!$B$5:$D$689,3)*$B$21/1000000 + VLOOKUP(H36*1000000,'Mead-Elevation-Area'!$B$5:$D$676,3)*$C$21/1000000,"")</f>
        <v>0.89313816899997311</v>
      </c>
      <c r="I37" s="14">
        <f>IF(I$25&lt;&gt;"",VLOOKUP(I35*1000000,'Powell-Elevation-Area'!$B$5:$D$689,3)*$B$21/1000000 + VLOOKUP(I36*1000000,'Mead-Elevation-Area'!$B$5:$D$676,3)*$C$21/1000000,"")</f>
        <v>0.8683609799994001</v>
      </c>
      <c r="J37" s="14">
        <f>IF(J$25&lt;&gt;"",VLOOKUP(J35*1000000,'Powell-Elevation-Area'!$B$5:$D$689,3)*$B$21/1000000 + VLOOKUP(J36*1000000,'Mead-Elevation-Area'!$B$5:$D$676,3)*$C$21/1000000,"")</f>
        <v>0.91045280550117313</v>
      </c>
      <c r="K37" s="14">
        <f>IF(K$25&lt;&gt;"",VLOOKUP(K35*1000000,'Powell-Elevation-Area'!$B$5:$D$689,3)*$B$21/1000000 + VLOOKUP(K36*1000000,'Mead-Elevation-Area'!$B$5:$D$676,3)*$C$21/1000000,"")</f>
        <v>0.94980111749942708</v>
      </c>
      <c r="L37" s="14">
        <f>IF(L$25&lt;&gt;"",VLOOKUP(L35*1000000,'Powell-Elevation-Area'!$B$5:$D$689,3)*$B$21/1000000 + VLOOKUP(L36*1000000,'Mead-Elevation-Area'!$B$5:$D$676,3)*$C$21/1000000,"")</f>
        <v>0.98213087099942697</v>
      </c>
    </row>
    <row r="38" spans="1:12" x14ac:dyDescent="0.35">
      <c r="A38" t="str">
        <f>IF(A6="","","    "&amp;A6&amp;" Share")</f>
        <v xml:space="preserve">    Upper Basin Share</v>
      </c>
      <c r="B38" s="1"/>
      <c r="C38" s="14">
        <f>IF(OR(C$25="",$A38=""),"",C$37*C28/C$27)</f>
        <v>0.5327428663506969</v>
      </c>
      <c r="D38" s="14">
        <f t="shared" ref="D38:L38" si="8">IF(OR(D$25="",$A38=""),"",D$37*D28/D$27)</f>
        <v>0.51398589497577751</v>
      </c>
      <c r="E38" s="14">
        <f t="shared" si="8"/>
        <v>0.49650257134178605</v>
      </c>
      <c r="F38" s="14">
        <f t="shared" si="8"/>
        <v>0.47863768459193357</v>
      </c>
      <c r="G38" s="14">
        <f t="shared" si="8"/>
        <v>0.46043670140477511</v>
      </c>
      <c r="H38" s="14">
        <f t="shared" si="8"/>
        <v>0.44180376440891789</v>
      </c>
      <c r="I38" s="14">
        <f t="shared" si="8"/>
        <v>0.42444755496161191</v>
      </c>
      <c r="J38" s="14">
        <f t="shared" si="8"/>
        <v>0.49251026895240063</v>
      </c>
      <c r="K38" s="14">
        <f t="shared" si="8"/>
        <v>0.5542520810661582</v>
      </c>
      <c r="L38" s="14">
        <f t="shared" si="8"/>
        <v>0.60980710055040555</v>
      </c>
    </row>
    <row r="39" spans="1:12" x14ac:dyDescent="0.35">
      <c r="A39" t="str">
        <f t="shared" ref="A39:A43" si="9">IF(A7="","","    "&amp;A7&amp;" Share")</f>
        <v xml:space="preserve">    Lower Basin Share</v>
      </c>
      <c r="B39" s="1"/>
      <c r="C39" s="14">
        <f t="shared" ref="C39:L43" si="10">IF(OR(C$25="",$A39=""),"",C$37*C29/C$27)</f>
        <v>0.48915481364927621</v>
      </c>
      <c r="D39" s="14">
        <f t="shared" si="10"/>
        <v>0.47834417982200594</v>
      </c>
      <c r="E39" s="14">
        <f t="shared" si="10"/>
        <v>0.46863276587839309</v>
      </c>
      <c r="F39" s="14">
        <f t="shared" si="10"/>
        <v>0.4628788744080935</v>
      </c>
      <c r="G39" s="14">
        <f t="shared" si="10"/>
        <v>0.45662627081698121</v>
      </c>
      <c r="H39" s="14">
        <f t="shared" si="10"/>
        <v>0.44972977047480134</v>
      </c>
      <c r="I39" s="14">
        <f t="shared" si="10"/>
        <v>0.44391342503778813</v>
      </c>
      <c r="J39" s="14">
        <f t="shared" si="10"/>
        <v>0.41712806599052327</v>
      </c>
      <c r="K39" s="14">
        <f t="shared" si="10"/>
        <v>0.39400550486178276</v>
      </c>
      <c r="L39" s="14">
        <f t="shared" si="10"/>
        <v>0.37232377044902154</v>
      </c>
    </row>
    <row r="40" spans="1:12" x14ac:dyDescent="0.35">
      <c r="A40" t="str">
        <f t="shared" si="9"/>
        <v xml:space="preserve">    Mexico Share</v>
      </c>
      <c r="B40" s="1"/>
      <c r="C40" s="14">
        <f t="shared" si="10"/>
        <v>0</v>
      </c>
      <c r="D40" s="14">
        <f t="shared" si="10"/>
        <v>0</v>
      </c>
      <c r="E40" s="14">
        <f t="shared" si="10"/>
        <v>0</v>
      </c>
      <c r="F40" s="14">
        <f t="shared" si="10"/>
        <v>0</v>
      </c>
      <c r="G40" s="14">
        <f t="shared" si="10"/>
        <v>0</v>
      </c>
      <c r="H40" s="14">
        <f t="shared" si="10"/>
        <v>0</v>
      </c>
      <c r="I40" s="14">
        <f t="shared" si="10"/>
        <v>0</v>
      </c>
      <c r="J40" s="14">
        <f t="shared" si="10"/>
        <v>0</v>
      </c>
      <c r="K40" s="14">
        <f t="shared" si="10"/>
        <v>0</v>
      </c>
      <c r="L40" s="14">
        <f t="shared" si="10"/>
        <v>0</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f t="shared" si="10"/>
        <v>0</v>
      </c>
      <c r="I41" s="14">
        <f t="shared" si="10"/>
        <v>0</v>
      </c>
      <c r="J41" s="14">
        <f t="shared" si="10"/>
        <v>0</v>
      </c>
      <c r="K41" s="14">
        <f t="shared" si="10"/>
        <v>0</v>
      </c>
      <c r="L41" s="14">
        <f t="shared" si="10"/>
        <v>0</v>
      </c>
    </row>
    <row r="42" spans="1:12" x14ac:dyDescent="0.35">
      <c r="A42" t="str">
        <f t="shared" si="9"/>
        <v xml:space="preserve">    Colorado River Delta Share</v>
      </c>
      <c r="B42" s="1"/>
      <c r="C42" s="14">
        <f t="shared" si="10"/>
        <v>0</v>
      </c>
      <c r="D42" s="14">
        <f t="shared" si="10"/>
        <v>7.6640520278959073E-4</v>
      </c>
      <c r="E42" s="14">
        <f t="shared" si="10"/>
        <v>1.5244167792478813E-3</v>
      </c>
      <c r="F42" s="14">
        <f t="shared" si="10"/>
        <v>0</v>
      </c>
      <c r="G42" s="14">
        <f t="shared" si="10"/>
        <v>8.1039177881683799E-4</v>
      </c>
      <c r="H42" s="14">
        <f t="shared" si="10"/>
        <v>1.6046341162538008E-3</v>
      </c>
      <c r="I42" s="14">
        <f t="shared" si="10"/>
        <v>0</v>
      </c>
      <c r="J42" s="14">
        <f t="shared" si="10"/>
        <v>8.1447055824921983E-4</v>
      </c>
      <c r="K42" s="14">
        <f t="shared" si="10"/>
        <v>1.5435315714861534E-3</v>
      </c>
      <c r="L42" s="14">
        <f t="shared" si="10"/>
        <v>0</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f t="shared" si="11"/>
        <v>1.466</v>
      </c>
      <c r="I44" s="50">
        <f t="shared" si="11"/>
        <v>1.466</v>
      </c>
      <c r="J44" s="50">
        <f t="shared" si="11"/>
        <v>1.466</v>
      </c>
      <c r="K44" s="50">
        <f t="shared" si="11"/>
        <v>1.466</v>
      </c>
      <c r="L44" s="50">
        <f t="shared" si="11"/>
        <v>1.4239999999999999</v>
      </c>
    </row>
    <row r="45" spans="1:12" x14ac:dyDescent="0.35">
      <c r="A45" s="1" t="s">
        <v>162</v>
      </c>
      <c r="B45" s="1"/>
      <c r="C45"/>
    </row>
    <row r="46" spans="1:12" x14ac:dyDescent="0.35">
      <c r="A46" t="str">
        <f>IF(A6="","","    To "&amp;A6)</f>
        <v xml:space="preserve">    To Upper Basin</v>
      </c>
      <c r="B46" s="24" t="s">
        <v>164</v>
      </c>
      <c r="C46" s="14">
        <f>IF(OR(C$25="",$A4=""),"",MAX(0,C$25-SUM(C47:C48)))</f>
        <v>4.1650000000000009</v>
      </c>
      <c r="D46" s="14">
        <f t="shared" ref="D46:L46" si="12">IF(OR(D$25="",$A4=""),"",MAX(0,D$25-SUM(D47:D48)))</f>
        <v>4.1650000000000009</v>
      </c>
      <c r="E46" s="14">
        <f t="shared" si="12"/>
        <v>4.1650000000000009</v>
      </c>
      <c r="F46" s="14">
        <f t="shared" si="12"/>
        <v>4.1650000000000009</v>
      </c>
      <c r="G46" s="14">
        <f t="shared" si="12"/>
        <v>4.1650000000000009</v>
      </c>
      <c r="H46" s="14">
        <f t="shared" si="12"/>
        <v>4.1650000000000009</v>
      </c>
      <c r="I46" s="14">
        <f t="shared" si="12"/>
        <v>6.1650000000000009</v>
      </c>
      <c r="J46" s="14">
        <f t="shared" si="12"/>
        <v>6.1650000000000009</v>
      </c>
      <c r="K46" s="14">
        <f t="shared" si="12"/>
        <v>6.1650000000000009</v>
      </c>
      <c r="L46" s="14">
        <f t="shared" si="12"/>
        <v>6.1650000000000009</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f t="shared" si="14"/>
        <v>7.5</v>
      </c>
      <c r="I47" s="14">
        <f t="shared" si="14"/>
        <v>7.5</v>
      </c>
      <c r="J47" s="14">
        <f t="shared" si="14"/>
        <v>7.5</v>
      </c>
      <c r="K47" s="14">
        <f t="shared" si="14"/>
        <v>7.5</v>
      </c>
      <c r="L47" s="14">
        <f t="shared" si="14"/>
        <v>7.5</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f t="shared" si="15"/>
        <v>0.73499999999999999</v>
      </c>
      <c r="I48" s="14">
        <f t="shared" si="15"/>
        <v>0.73499999999999999</v>
      </c>
      <c r="J48" s="14">
        <f t="shared" si="15"/>
        <v>0.73499999999999999</v>
      </c>
      <c r="K48" s="14">
        <f t="shared" si="15"/>
        <v>0.73499999999999999</v>
      </c>
      <c r="L48" s="14">
        <f t="shared" si="15"/>
        <v>0.73499999999999999</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f t="shared" si="16"/>
        <v>0</v>
      </c>
      <c r="I49" s="14">
        <f t="shared" si="16"/>
        <v>0</v>
      </c>
      <c r="J49" s="14">
        <f t="shared" si="16"/>
        <v>0</v>
      </c>
      <c r="K49" s="14">
        <f t="shared" si="16"/>
        <v>0</v>
      </c>
      <c r="L49" s="14">
        <f t="shared" si="16"/>
        <v>0</v>
      </c>
    </row>
    <row r="50" spans="1:13" x14ac:dyDescent="0.35">
      <c r="A50" t="str">
        <f t="shared" si="13"/>
        <v xml:space="preserve">    To Colorado River Delta</v>
      </c>
      <c r="B50" s="44">
        <v>0</v>
      </c>
      <c r="C50" s="14">
        <f t="shared" si="16"/>
        <v>0</v>
      </c>
      <c r="D50" s="59">
        <f t="shared" si="16"/>
        <v>0</v>
      </c>
      <c r="E50" s="59">
        <f t="shared" si="16"/>
        <v>0</v>
      </c>
      <c r="F50" s="59">
        <f t="shared" si="16"/>
        <v>0</v>
      </c>
      <c r="G50" s="59">
        <f t="shared" si="16"/>
        <v>0</v>
      </c>
      <c r="H50" s="59">
        <f t="shared" si="16"/>
        <v>0</v>
      </c>
      <c r="I50" s="59">
        <f t="shared" si="16"/>
        <v>0</v>
      </c>
      <c r="J50" s="59">
        <f t="shared" si="16"/>
        <v>0</v>
      </c>
      <c r="K50" s="59">
        <f t="shared" si="16"/>
        <v>0</v>
      </c>
      <c r="L50" s="59">
        <f t="shared" si="16"/>
        <v>0</v>
      </c>
    </row>
    <row r="51" spans="1:13" x14ac:dyDescent="0.35">
      <c r="A51" t="str">
        <f t="shared" si="13"/>
        <v/>
      </c>
      <c r="B51" s="44">
        <v>0</v>
      </c>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f t="shared" si="17"/>
        <v>0</v>
      </c>
      <c r="I53" s="14">
        <f t="shared" si="17"/>
        <v>0</v>
      </c>
      <c r="J53" s="14">
        <f t="shared" si="17"/>
        <v>0</v>
      </c>
      <c r="K53" s="14">
        <f t="shared" si="17"/>
        <v>0</v>
      </c>
      <c r="L53" s="14">
        <f t="shared" si="17"/>
        <v>0</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f t="shared" si="19"/>
        <v>-0.53299999999999992</v>
      </c>
      <c r="I54" s="14">
        <f t="shared" si="19"/>
        <v>-0.53299999999999992</v>
      </c>
      <c r="J54" s="14">
        <f t="shared" si="19"/>
        <v>-0.53299999999999992</v>
      </c>
      <c r="K54" s="14">
        <f t="shared" si="19"/>
        <v>-0.53299999999999992</v>
      </c>
      <c r="L54" s="14">
        <f t="shared" si="19"/>
        <v>-0.51199999999999979</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f t="shared" si="20"/>
        <v>0.73299999999999998</v>
      </c>
      <c r="I55" s="14">
        <f t="shared" si="20"/>
        <v>0.73299999999999998</v>
      </c>
      <c r="J55" s="14">
        <f t="shared" si="20"/>
        <v>0.73299999999999998</v>
      </c>
      <c r="K55" s="14">
        <f t="shared" si="20"/>
        <v>0.73299999999999998</v>
      </c>
      <c r="L55" s="14">
        <f t="shared" si="20"/>
        <v>0.71199999999999997</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f t="shared" si="21"/>
        <v>0.6</v>
      </c>
      <c r="I56" s="14">
        <f t="shared" si="21"/>
        <v>0.6</v>
      </c>
      <c r="J56" s="14">
        <f t="shared" si="21"/>
        <v>0.6</v>
      </c>
      <c r="K56" s="14">
        <f t="shared" si="21"/>
        <v>0.6</v>
      </c>
      <c r="L56" s="14">
        <f t="shared" si="21"/>
        <v>0.6</v>
      </c>
    </row>
    <row r="57" spans="1:13" x14ac:dyDescent="0.35">
      <c r="A57" t="str">
        <f t="shared" si="18"/>
        <v xml:space="preserve">    To Colorado River Delta</v>
      </c>
      <c r="B57" s="77">
        <f>0.21/9*(2/3)</f>
        <v>1.5555555555555553E-2</v>
      </c>
      <c r="C57" s="14">
        <f t="shared" ref="C57:L58" si="22">IF(OR($A57="",C$25=""),"",IF(C$26&gt;$B57,$B57,C$26))</f>
        <v>1.5555555555555553E-2</v>
      </c>
      <c r="D57" s="14">
        <f t="shared" si="22"/>
        <v>1.5555555555555553E-2</v>
      </c>
      <c r="E57" s="14">
        <f t="shared" si="22"/>
        <v>1.5555555555555553E-2</v>
      </c>
      <c r="F57" s="14">
        <f t="shared" si="22"/>
        <v>1.5555555555555553E-2</v>
      </c>
      <c r="G57" s="14">
        <f t="shared" si="22"/>
        <v>1.5555555555555553E-2</v>
      </c>
      <c r="H57" s="14">
        <f t="shared" si="22"/>
        <v>1.5555555555555553E-2</v>
      </c>
      <c r="I57" s="14">
        <f t="shared" si="22"/>
        <v>1.5555555555555553E-2</v>
      </c>
      <c r="J57" s="14">
        <f t="shared" si="22"/>
        <v>1.5555555555555553E-2</v>
      </c>
      <c r="K57" s="14">
        <f t="shared" si="22"/>
        <v>1.5555555555555553E-2</v>
      </c>
      <c r="L57" s="14">
        <f t="shared" si="22"/>
        <v>1.5555555555555553E-2</v>
      </c>
    </row>
    <row r="58" spans="1:13" x14ac:dyDescent="0.35">
      <c r="A58" t="str">
        <f t="shared" si="18"/>
        <v/>
      </c>
      <c r="B58" s="44">
        <v>0</v>
      </c>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3">IF(A7="","","    "&amp;A7)</f>
        <v xml:space="preserve">    Lower Basin</v>
      </c>
      <c r="B61" s="1"/>
      <c r="C61" s="62"/>
      <c r="D61" s="62"/>
      <c r="E61" s="67"/>
      <c r="F61" s="62"/>
      <c r="G61" s="62"/>
      <c r="H61" s="62"/>
      <c r="I61" s="62"/>
      <c r="J61" s="62"/>
      <c r="K61" s="67">
        <v>0.02</v>
      </c>
      <c r="L61" s="62"/>
      <c r="M61" s="54">
        <f t="shared" ref="M61:M65" si="24">SUMPRODUCT(C61:L61,C$67:L$67)</f>
        <v>7</v>
      </c>
    </row>
    <row r="62" spans="1:13" x14ac:dyDescent="0.35">
      <c r="A62" t="str">
        <f t="shared" si="23"/>
        <v xml:space="preserve">    Mexico</v>
      </c>
      <c r="B62" s="1"/>
      <c r="C62" s="50"/>
      <c r="D62" s="50"/>
      <c r="E62" s="68">
        <v>1.6E-2</v>
      </c>
      <c r="F62" s="50"/>
      <c r="G62" s="50"/>
      <c r="H62" s="68">
        <v>1.6E-2</v>
      </c>
      <c r="I62" s="50"/>
      <c r="J62" s="50"/>
      <c r="K62" s="68">
        <v>1.6E-2</v>
      </c>
      <c r="L62" s="50"/>
      <c r="M62" s="54">
        <f t="shared" si="24"/>
        <v>16.8</v>
      </c>
    </row>
    <row r="63" spans="1:13" x14ac:dyDescent="0.35">
      <c r="A63" t="str">
        <f t="shared" si="23"/>
        <v xml:space="preserve">    Mohave &amp; Havasu Evap &amp; ET</v>
      </c>
      <c r="B63" s="1"/>
      <c r="C63" s="50"/>
      <c r="D63" s="50"/>
      <c r="E63" s="68"/>
      <c r="F63" s="50"/>
      <c r="G63" s="50"/>
      <c r="H63" s="68"/>
      <c r="I63" s="50"/>
      <c r="J63" s="50"/>
      <c r="K63" s="68"/>
      <c r="L63" s="50"/>
      <c r="M63" s="54">
        <f t="shared" si="24"/>
        <v>0</v>
      </c>
    </row>
    <row r="64" spans="1:13" x14ac:dyDescent="0.35">
      <c r="A64" t="str">
        <f t="shared" si="23"/>
        <v xml:space="preserve">    Colorado River Delta</v>
      </c>
      <c r="B64" s="1"/>
      <c r="C64" s="50"/>
      <c r="D64" s="50"/>
      <c r="E64" s="68">
        <v>-1.6E-2</v>
      </c>
      <c r="F64" s="50"/>
      <c r="G64" s="50"/>
      <c r="H64" s="68">
        <v>-1.6E-2</v>
      </c>
      <c r="I64" s="50"/>
      <c r="J64" s="50"/>
      <c r="K64" s="68">
        <v>-3.5999999999999997E-2</v>
      </c>
      <c r="L64" s="50"/>
      <c r="M64" s="54">
        <f t="shared" si="24"/>
        <v>-23.8</v>
      </c>
    </row>
    <row r="65" spans="1:21" x14ac:dyDescent="0.35">
      <c r="A65" t="str">
        <f t="shared" si="23"/>
        <v/>
      </c>
      <c r="B65" s="1"/>
      <c r="C65" s="50"/>
      <c r="D65" s="50"/>
      <c r="E65" s="50"/>
      <c r="F65" s="50"/>
      <c r="G65" s="50"/>
      <c r="H65" s="50"/>
      <c r="I65" s="50"/>
      <c r="J65" s="50"/>
      <c r="K65" s="50"/>
      <c r="L65" s="50"/>
      <c r="M65" s="54">
        <f t="shared" si="24"/>
        <v>0</v>
      </c>
    </row>
    <row r="66" spans="1:21" x14ac:dyDescent="0.35">
      <c r="A66" t="s">
        <v>159</v>
      </c>
      <c r="B66" s="1"/>
      <c r="C66" s="53">
        <f>IF(C$25&lt;&gt;"",SUM(C60:C65),"")</f>
        <v>0</v>
      </c>
      <c r="D66" s="53">
        <f t="shared" ref="D66:L66" si="25">IF(D$25&lt;&gt;"",SUM(D60:D65),"")</f>
        <v>0</v>
      </c>
      <c r="E66" s="53">
        <f t="shared" si="25"/>
        <v>0</v>
      </c>
      <c r="F66" s="53">
        <f t="shared" si="25"/>
        <v>0</v>
      </c>
      <c r="G66" s="53">
        <f t="shared" si="25"/>
        <v>0</v>
      </c>
      <c r="H66" s="53">
        <f t="shared" si="25"/>
        <v>0</v>
      </c>
      <c r="I66" s="53">
        <f t="shared" si="25"/>
        <v>0</v>
      </c>
      <c r="J66" s="53">
        <f t="shared" si="25"/>
        <v>0</v>
      </c>
      <c r="K66" s="53">
        <f t="shared" si="25"/>
        <v>0</v>
      </c>
      <c r="L66" s="53">
        <f t="shared" si="25"/>
        <v>0</v>
      </c>
      <c r="M66" s="34"/>
    </row>
    <row r="67" spans="1:21" x14ac:dyDescent="0.35">
      <c r="A67" t="s">
        <v>160</v>
      </c>
      <c r="B67" s="1"/>
      <c r="C67" s="31"/>
      <c r="D67" s="31"/>
      <c r="E67" s="31">
        <v>350</v>
      </c>
      <c r="F67" s="31"/>
      <c r="G67" s="31"/>
      <c r="H67" s="31">
        <v>350</v>
      </c>
      <c r="I67" s="31"/>
      <c r="J67" s="31"/>
      <c r="K67" s="31">
        <v>350</v>
      </c>
      <c r="L67" s="31"/>
    </row>
    <row r="68" spans="1:21" x14ac:dyDescent="0.35">
      <c r="A68" s="1" t="s">
        <v>186</v>
      </c>
      <c r="B68" s="1"/>
      <c r="C68"/>
    </row>
    <row r="69" spans="1:21" x14ac:dyDescent="0.35">
      <c r="A69" t="str">
        <f>IF(A6="","","    "&amp;A6)</f>
        <v xml:space="preserve">    Upper Basin</v>
      </c>
      <c r="C69" s="14">
        <f>IF(OR(C$25="",$A69=""),"",C28+C46+C53-C38-C60)</f>
        <v>14.632257133649304</v>
      </c>
      <c r="D69" s="14">
        <f t="shared" ref="D69:L69" si="26">IF(OR(D$25="",$A69=""),"",D28+D46+D53-D38-D60)</f>
        <v>14.083271238673529</v>
      </c>
      <c r="E69" s="14">
        <f t="shared" si="26"/>
        <v>13.551768667331745</v>
      </c>
      <c r="F69" s="14">
        <f t="shared" si="26"/>
        <v>13.03813098273981</v>
      </c>
      <c r="G69" s="14">
        <f t="shared" si="26"/>
        <v>12.542694281335034</v>
      </c>
      <c r="H69" s="14">
        <f t="shared" si="26"/>
        <v>12.065890516926117</v>
      </c>
      <c r="I69" s="14">
        <f t="shared" si="26"/>
        <v>13.606442961964506</v>
      </c>
      <c r="J69" s="14">
        <f t="shared" si="26"/>
        <v>15.078932693012105</v>
      </c>
      <c r="K69" s="14">
        <f t="shared" si="26"/>
        <v>16.489680611945943</v>
      </c>
      <c r="L69" s="14">
        <f t="shared" si="26"/>
        <v>17.844873511395541</v>
      </c>
    </row>
    <row r="70" spans="1:21" x14ac:dyDescent="0.35">
      <c r="A70" t="str">
        <f t="shared" ref="A70:A74" si="27">IF(A7="","","    "&amp;A7)</f>
        <v xml:space="preserve">    Lower Basin</v>
      </c>
      <c r="C70" s="14">
        <f t="shared" ref="C70:L74" si="28">IF(OR(C$25="",$A70=""),"",C29+C47+C54-C39-C61)</f>
        <v>16.575845186350726</v>
      </c>
      <c r="D70" s="14">
        <f t="shared" si="28"/>
        <v>16.195501006528719</v>
      </c>
      <c r="E70" s="14">
        <f t="shared" si="28"/>
        <v>15.826868240650324</v>
      </c>
      <c r="F70" s="14">
        <f t="shared" si="28"/>
        <v>15.547989366242227</v>
      </c>
      <c r="G70" s="14">
        <f t="shared" si="28"/>
        <v>15.275363095425245</v>
      </c>
      <c r="H70" s="14">
        <f t="shared" si="28"/>
        <v>15.009633324950443</v>
      </c>
      <c r="I70" s="14">
        <f t="shared" si="28"/>
        <v>14.749719899912654</v>
      </c>
      <c r="J70" s="14">
        <f t="shared" si="28"/>
        <v>14.516591833922131</v>
      </c>
      <c r="K70" s="14">
        <f t="shared" si="28"/>
        <v>14.286586329060349</v>
      </c>
      <c r="L70" s="14">
        <f t="shared" si="28"/>
        <v>14.119262558611325</v>
      </c>
    </row>
    <row r="71" spans="1:21" x14ac:dyDescent="0.35">
      <c r="A71" t="str">
        <f t="shared" si="27"/>
        <v xml:space="preserve">    Mexico</v>
      </c>
      <c r="C71" s="60">
        <f t="shared" si="28"/>
        <v>1.47</v>
      </c>
      <c r="D71" s="14">
        <f t="shared" si="28"/>
        <v>1.47</v>
      </c>
      <c r="E71" s="14">
        <f t="shared" si="28"/>
        <v>1.452</v>
      </c>
      <c r="F71" s="14">
        <f t="shared" si="28"/>
        <v>1.468</v>
      </c>
      <c r="G71" s="14">
        <f t="shared" si="28"/>
        <v>1.468</v>
      </c>
      <c r="H71" s="14">
        <f t="shared" si="28"/>
        <v>1.452</v>
      </c>
      <c r="I71" s="14">
        <f t="shared" si="28"/>
        <v>1.468</v>
      </c>
      <c r="J71" s="14">
        <f t="shared" si="28"/>
        <v>1.468</v>
      </c>
      <c r="K71" s="14">
        <f t="shared" si="28"/>
        <v>1.452</v>
      </c>
      <c r="L71" s="14">
        <f t="shared" si="28"/>
        <v>1.4470000000000001</v>
      </c>
    </row>
    <row r="72" spans="1:21" x14ac:dyDescent="0.35">
      <c r="A72" t="str">
        <f t="shared" si="27"/>
        <v xml:space="preserve">    Mohave &amp; Havasu Evap &amp; ET</v>
      </c>
      <c r="C72" s="14">
        <f t="shared" si="28"/>
        <v>0.6</v>
      </c>
      <c r="D72" s="14">
        <f t="shared" si="28"/>
        <v>0.6</v>
      </c>
      <c r="E72" s="14">
        <f t="shared" si="28"/>
        <v>0.6</v>
      </c>
      <c r="F72" s="14">
        <f t="shared" si="28"/>
        <v>0.6</v>
      </c>
      <c r="G72" s="14">
        <f t="shared" si="28"/>
        <v>0.6</v>
      </c>
      <c r="H72" s="14">
        <f t="shared" si="28"/>
        <v>0.6</v>
      </c>
      <c r="I72" s="14">
        <f t="shared" si="28"/>
        <v>0.6</v>
      </c>
      <c r="J72" s="14">
        <f t="shared" si="28"/>
        <v>0.6</v>
      </c>
      <c r="K72" s="14">
        <f t="shared" si="28"/>
        <v>0.6</v>
      </c>
      <c r="L72" s="14">
        <f t="shared" si="28"/>
        <v>0.6</v>
      </c>
    </row>
    <row r="73" spans="1:21" x14ac:dyDescent="0.35">
      <c r="A73" t="str">
        <f t="shared" si="27"/>
        <v xml:space="preserve">    Colorado River Delta</v>
      </c>
      <c r="C73" s="60">
        <f t="shared" si="28"/>
        <v>1.5555555555555553E-2</v>
      </c>
      <c r="D73" s="60">
        <f t="shared" si="28"/>
        <v>3.0344705908321515E-2</v>
      </c>
      <c r="E73" s="60">
        <f t="shared" si="28"/>
        <v>6.0375844684629185E-2</v>
      </c>
      <c r="F73" s="60">
        <f t="shared" si="28"/>
        <v>1.5555555555555553E-2</v>
      </c>
      <c r="G73" s="60">
        <f t="shared" si="28"/>
        <v>3.0300719332294269E-2</v>
      </c>
      <c r="H73" s="60">
        <f t="shared" si="28"/>
        <v>6.0251640771596025E-2</v>
      </c>
      <c r="I73" s="60">
        <f t="shared" si="28"/>
        <v>1.5555555555555553E-2</v>
      </c>
      <c r="J73" s="60">
        <f t="shared" si="28"/>
        <v>3.0296640552861888E-2</v>
      </c>
      <c r="K73" s="60">
        <f t="shared" si="28"/>
        <v>8.0308664536931279E-2</v>
      </c>
      <c r="L73" s="60">
        <f t="shared" si="28"/>
        <v>1.5555555555555553E-2</v>
      </c>
    </row>
    <row r="74" spans="1:21" x14ac:dyDescent="0.35">
      <c r="A74" t="str">
        <f t="shared" si="27"/>
        <v/>
      </c>
      <c r="C74" s="14" t="str">
        <f t="shared" si="28"/>
        <v/>
      </c>
      <c r="D74" s="14" t="str">
        <f t="shared" si="28"/>
        <v/>
      </c>
      <c r="E74" s="14" t="str">
        <f t="shared" si="28"/>
        <v/>
      </c>
      <c r="F74" s="14" t="str">
        <f t="shared" si="28"/>
        <v/>
      </c>
      <c r="G74" s="14" t="str">
        <f t="shared" si="28"/>
        <v/>
      </c>
      <c r="H74" s="14" t="str">
        <f t="shared" si="28"/>
        <v/>
      </c>
      <c r="I74" s="14" t="str">
        <f t="shared" si="28"/>
        <v/>
      </c>
      <c r="J74" s="14" t="str">
        <f t="shared" si="28"/>
        <v/>
      </c>
      <c r="K74" s="14" t="str">
        <f t="shared" si="28"/>
        <v/>
      </c>
      <c r="L74" s="14" t="str">
        <f t="shared" si="28"/>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L76" si="29">IF(D69&gt;6.1+4.2,4.2,MAX(D69-6.1,0))</f>
        <v>4.2</v>
      </c>
      <c r="E76" s="43">
        <f t="shared" si="29"/>
        <v>4.2</v>
      </c>
      <c r="F76" s="43">
        <f t="shared" si="29"/>
        <v>4.2</v>
      </c>
      <c r="G76" s="43">
        <f t="shared" si="29"/>
        <v>4.2</v>
      </c>
      <c r="H76" s="43">
        <f t="shared" si="29"/>
        <v>4.2</v>
      </c>
      <c r="I76" s="43">
        <f t="shared" si="29"/>
        <v>4.2</v>
      </c>
      <c r="J76" s="43">
        <f t="shared" si="29"/>
        <v>4.2</v>
      </c>
      <c r="K76" s="43">
        <f t="shared" si="29"/>
        <v>4.2</v>
      </c>
      <c r="L76" s="43">
        <f t="shared" si="29"/>
        <v>4.2</v>
      </c>
      <c r="N76" s="1" t="s">
        <v>129</v>
      </c>
    </row>
    <row r="77" spans="1:21" x14ac:dyDescent="0.35">
      <c r="A77" t="str">
        <f>IF(A7="","","    "&amp;A7&amp;" - Release from Mead")</f>
        <v xml:space="preserve">    Lower Basin - Release from Mead</v>
      </c>
      <c r="C77" s="43">
        <f>7.5-IF(C$29&lt;$O$78,$P$78,IF(C$29&lt;=$O$85,VLOOKUP(C$29,$O$78:$P$85,2),0))</f>
        <v>6.867</v>
      </c>
      <c r="D77" s="43">
        <f t="shared" ref="D77:L77" si="30">7.5-IF(D$29&lt;$O$78,$P$78,IF(D$29&lt;=$O$85,VLOOKUP(D$29,$O$78:$P$85,2),0))</f>
        <v>6.867</v>
      </c>
      <c r="E77" s="43">
        <f t="shared" si="30"/>
        <v>6.7830000000000004</v>
      </c>
      <c r="F77" s="43">
        <f t="shared" si="30"/>
        <v>6.7830000000000004</v>
      </c>
      <c r="G77" s="43">
        <f t="shared" si="30"/>
        <v>6.7830000000000004</v>
      </c>
      <c r="H77" s="43">
        <f t="shared" si="30"/>
        <v>6.7830000000000004</v>
      </c>
      <c r="I77" s="43">
        <f t="shared" si="30"/>
        <v>6.7830000000000004</v>
      </c>
      <c r="J77" s="43">
        <f t="shared" si="30"/>
        <v>6.7830000000000004</v>
      </c>
      <c r="K77" s="43">
        <f t="shared" si="30"/>
        <v>6.7830000000000004</v>
      </c>
      <c r="L77" s="43">
        <f t="shared" si="30"/>
        <v>6.5330000000000004</v>
      </c>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 t="shared" ref="C78:L78" si="32">C71</f>
        <v>1.47</v>
      </c>
      <c r="D78" s="50">
        <f t="shared" si="32"/>
        <v>1.47</v>
      </c>
      <c r="E78" s="50">
        <f t="shared" si="32"/>
        <v>1.452</v>
      </c>
      <c r="F78" s="50">
        <f t="shared" si="32"/>
        <v>1.468</v>
      </c>
      <c r="G78" s="50">
        <f t="shared" si="32"/>
        <v>1.468</v>
      </c>
      <c r="H78" s="50">
        <f t="shared" si="32"/>
        <v>1.452</v>
      </c>
      <c r="I78" s="50">
        <f t="shared" si="32"/>
        <v>1.468</v>
      </c>
      <c r="J78" s="50">
        <f t="shared" si="32"/>
        <v>1.468</v>
      </c>
      <c r="K78" s="50">
        <f t="shared" si="32"/>
        <v>1.452</v>
      </c>
      <c r="L78" s="50">
        <f t="shared" si="32"/>
        <v>1.4470000000000001</v>
      </c>
      <c r="N78" s="39">
        <v>1025</v>
      </c>
      <c r="O78" s="40">
        <v>5.981122</v>
      </c>
      <c r="P78" s="41">
        <f>S78-Q78</f>
        <v>1.2000000000000002</v>
      </c>
      <c r="Q78" s="49">
        <v>0.15</v>
      </c>
      <c r="R78" s="41">
        <v>1.325</v>
      </c>
      <c r="S78" s="41">
        <f t="shared" ref="S78:S85" si="33">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v>0.6</v>
      </c>
      <c r="I79" s="43">
        <v>0.6</v>
      </c>
      <c r="J79" s="43">
        <v>0.6</v>
      </c>
      <c r="K79" s="43">
        <v>0.6</v>
      </c>
      <c r="L79" s="43">
        <v>0.6</v>
      </c>
      <c r="N79" s="39">
        <v>1030</v>
      </c>
      <c r="O79" s="40">
        <v>6.305377</v>
      </c>
      <c r="P79" s="41">
        <f t="shared" ref="P79:P85" si="34">S79-Q79</f>
        <v>1.117</v>
      </c>
      <c r="Q79" s="49">
        <v>0.10100000000000001</v>
      </c>
      <c r="R79" s="41">
        <v>1.1870000000000001</v>
      </c>
      <c r="S79" s="41">
        <f t="shared" si="33"/>
        <v>1.218</v>
      </c>
      <c r="T79" s="42">
        <v>7.0000000000000007E-2</v>
      </c>
      <c r="U79" s="52">
        <v>1218000</v>
      </c>
    </row>
    <row r="80" spans="1:21" x14ac:dyDescent="0.35">
      <c r="A80" t="str">
        <f t="shared" si="31"/>
        <v xml:space="preserve">    Colorado River Delta - Release from Mead</v>
      </c>
      <c r="C80" s="68"/>
      <c r="D80" s="68"/>
      <c r="E80" s="50">
        <f>E73</f>
        <v>6.0375844684629185E-2</v>
      </c>
      <c r="F80" s="50"/>
      <c r="G80" s="50"/>
      <c r="H80" s="50">
        <f>H73</f>
        <v>6.0251640771596025E-2</v>
      </c>
      <c r="I80" s="50"/>
      <c r="J80" s="50"/>
      <c r="K80" s="50">
        <f>K73</f>
        <v>8.0308664536931279E-2</v>
      </c>
      <c r="L80" s="50"/>
      <c r="N80" s="39">
        <v>1035</v>
      </c>
      <c r="O80" s="40">
        <v>6.6375080000000004</v>
      </c>
      <c r="P80" s="41">
        <f t="shared" si="34"/>
        <v>1.0669999999999999</v>
      </c>
      <c r="Q80" s="49">
        <v>9.1999999999999998E-2</v>
      </c>
      <c r="R80" s="41">
        <v>1.137</v>
      </c>
      <c r="S80" s="41">
        <f t="shared" si="33"/>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4"/>
        <v>1.0169999999999999</v>
      </c>
      <c r="Q81" s="49">
        <v>8.4000000000000005E-2</v>
      </c>
      <c r="R81" s="41">
        <v>1.087</v>
      </c>
      <c r="S81" s="41">
        <f t="shared" si="33"/>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4"/>
        <v>0.96699999999999997</v>
      </c>
      <c r="Q82" s="49">
        <v>7.5999999999999998E-2</v>
      </c>
      <c r="R82" s="41">
        <v>1.0369999999999999</v>
      </c>
      <c r="S82" s="41">
        <f t="shared" si="33"/>
        <v>1.0429999999999999</v>
      </c>
      <c r="T82" s="42">
        <v>7.0000000000000007E-2</v>
      </c>
      <c r="U82" s="52">
        <v>1043000</v>
      </c>
    </row>
    <row r="83" spans="1:21" x14ac:dyDescent="0.35">
      <c r="A83" t="str">
        <f>IF(A6="","","    "&amp;A6)</f>
        <v xml:space="preserve">    Upper Basin</v>
      </c>
      <c r="C83" s="14">
        <f>IF(OR(C$25="",$A83=""),"",C69-C76)</f>
        <v>10.432257133649305</v>
      </c>
      <c r="D83" s="14">
        <f t="shared" ref="D83:L83" si="35">IF(OR(D$25="",$A83=""),"",D69-D76)</f>
        <v>9.8832712386735295</v>
      </c>
      <c r="E83" s="14">
        <f t="shared" si="35"/>
        <v>9.3517686673317435</v>
      </c>
      <c r="F83" s="14">
        <f t="shared" si="35"/>
        <v>8.8381309827398091</v>
      </c>
      <c r="G83" s="14">
        <f t="shared" si="35"/>
        <v>8.3426942813350351</v>
      </c>
      <c r="H83" s="14">
        <f t="shared" si="35"/>
        <v>7.8658905169261173</v>
      </c>
      <c r="I83" s="14">
        <f t="shared" si="35"/>
        <v>9.4064429619645047</v>
      </c>
      <c r="J83" s="14">
        <f t="shared" si="35"/>
        <v>10.878932693012104</v>
      </c>
      <c r="K83" s="14">
        <f t="shared" si="35"/>
        <v>12.289680611945943</v>
      </c>
      <c r="L83" s="14">
        <f t="shared" si="35"/>
        <v>13.644873511395541</v>
      </c>
      <c r="N83" s="39">
        <v>1050</v>
      </c>
      <c r="O83" s="40">
        <v>7.6828779999999997</v>
      </c>
      <c r="P83" s="41">
        <f t="shared" si="34"/>
        <v>0.71699999999999997</v>
      </c>
      <c r="Q83" s="49">
        <v>3.4000000000000002E-2</v>
      </c>
      <c r="R83" s="41">
        <v>0.78700000000000003</v>
      </c>
      <c r="S83" s="41">
        <f t="shared" si="33"/>
        <v>0.751</v>
      </c>
      <c r="T83" s="42">
        <v>7.0000000000000007E-2</v>
      </c>
      <c r="U83" s="52">
        <v>751000</v>
      </c>
    </row>
    <row r="84" spans="1:21" x14ac:dyDescent="0.35">
      <c r="A84" t="str">
        <f t="shared" ref="A84:A88" si="36">IF(A7="","","    "&amp;A7)</f>
        <v xml:space="preserve">    Lower Basin</v>
      </c>
      <c r="C84" s="14">
        <f t="shared" ref="C84:L88" si="37">IF(OR(C$25="",$A84=""),"",C70-C77)</f>
        <v>9.7088451863507252</v>
      </c>
      <c r="D84" s="14">
        <f t="shared" si="37"/>
        <v>9.3285010065287182</v>
      </c>
      <c r="E84" s="14">
        <f t="shared" si="37"/>
        <v>9.0438682406503226</v>
      </c>
      <c r="F84" s="14">
        <f t="shared" si="37"/>
        <v>8.7649893662422258</v>
      </c>
      <c r="G84" s="14">
        <f t="shared" si="37"/>
        <v>8.4923630954252438</v>
      </c>
      <c r="H84" s="14">
        <f t="shared" si="37"/>
        <v>8.2266333249504413</v>
      </c>
      <c r="I84" s="14">
        <f t="shared" si="37"/>
        <v>7.9667198999126532</v>
      </c>
      <c r="J84" s="14">
        <f t="shared" si="37"/>
        <v>7.733591833922131</v>
      </c>
      <c r="K84" s="14">
        <f t="shared" si="37"/>
        <v>7.5035863290603482</v>
      </c>
      <c r="L84" s="14">
        <f t="shared" si="37"/>
        <v>7.5862625586113248</v>
      </c>
      <c r="N84" s="39">
        <v>1075</v>
      </c>
      <c r="O84" s="40">
        <v>9.6009879999900001</v>
      </c>
      <c r="P84" s="41">
        <f t="shared" si="34"/>
        <v>0.63300000000000001</v>
      </c>
      <c r="Q84" s="49">
        <v>0.03</v>
      </c>
      <c r="R84" s="41">
        <v>0.68300000000000005</v>
      </c>
      <c r="S84" s="41">
        <f t="shared" si="33"/>
        <v>0.66300000000000003</v>
      </c>
      <c r="T84" s="42">
        <v>0.05</v>
      </c>
      <c r="U84" s="52">
        <v>663000</v>
      </c>
    </row>
    <row r="85" spans="1:21" x14ac:dyDescent="0.35">
      <c r="A85" t="str">
        <f t="shared" si="36"/>
        <v xml:space="preserve">    Mexico</v>
      </c>
      <c r="C85" s="14">
        <f t="shared" si="37"/>
        <v>0</v>
      </c>
      <c r="D85" s="14">
        <f t="shared" si="37"/>
        <v>0</v>
      </c>
      <c r="E85" s="14">
        <f t="shared" si="37"/>
        <v>0</v>
      </c>
      <c r="F85" s="14">
        <f t="shared" si="37"/>
        <v>0</v>
      </c>
      <c r="G85" s="14">
        <f t="shared" si="37"/>
        <v>0</v>
      </c>
      <c r="H85" s="14">
        <f t="shared" si="37"/>
        <v>0</v>
      </c>
      <c r="I85" s="14">
        <f t="shared" si="37"/>
        <v>0</v>
      </c>
      <c r="J85" s="14">
        <f t="shared" si="37"/>
        <v>0</v>
      </c>
      <c r="K85" s="14">
        <f t="shared" si="37"/>
        <v>0</v>
      </c>
      <c r="L85" s="14">
        <f t="shared" si="37"/>
        <v>0</v>
      </c>
      <c r="N85" s="39">
        <v>1090</v>
      </c>
      <c r="O85" s="40">
        <v>10.857008</v>
      </c>
      <c r="P85" s="41">
        <f t="shared" si="34"/>
        <v>0.30000000000000004</v>
      </c>
      <c r="Q85" s="49">
        <v>4.1000000000000002E-2</v>
      </c>
      <c r="R85" s="41">
        <v>0.3</v>
      </c>
      <c r="S85" s="41">
        <f t="shared" si="33"/>
        <v>0.34100000000000003</v>
      </c>
      <c r="T85" s="38"/>
      <c r="U85" s="52">
        <v>341000</v>
      </c>
    </row>
    <row r="86" spans="1:21" x14ac:dyDescent="0.35">
      <c r="A86" t="str">
        <f t="shared" si="36"/>
        <v xml:space="preserve">    Mohave &amp; Havasu Evap &amp; ET</v>
      </c>
      <c r="C86" s="14">
        <f t="shared" si="37"/>
        <v>0</v>
      </c>
      <c r="D86" s="14">
        <f t="shared" si="37"/>
        <v>0</v>
      </c>
      <c r="E86" s="14">
        <f t="shared" si="37"/>
        <v>0</v>
      </c>
      <c r="F86" s="14">
        <f t="shared" si="37"/>
        <v>0</v>
      </c>
      <c r="G86" s="14">
        <f t="shared" si="37"/>
        <v>0</v>
      </c>
      <c r="H86" s="14">
        <f t="shared" si="37"/>
        <v>0</v>
      </c>
      <c r="I86" s="14">
        <f t="shared" si="37"/>
        <v>0</v>
      </c>
      <c r="J86" s="14">
        <f t="shared" si="37"/>
        <v>0</v>
      </c>
      <c r="K86" s="14">
        <f t="shared" si="37"/>
        <v>0</v>
      </c>
      <c r="L86" s="14">
        <f t="shared" si="37"/>
        <v>0</v>
      </c>
    </row>
    <row r="87" spans="1:21" x14ac:dyDescent="0.35">
      <c r="A87" t="str">
        <f t="shared" si="36"/>
        <v xml:space="preserve">    Colorado River Delta</v>
      </c>
      <c r="C87" s="59">
        <f>IF(OR(C$25="",$A87=""),"",C73-C80)</f>
        <v>1.5555555555555553E-2</v>
      </c>
      <c r="D87" s="59">
        <f t="shared" si="37"/>
        <v>3.0344705908321515E-2</v>
      </c>
      <c r="E87" s="59">
        <f t="shared" si="37"/>
        <v>0</v>
      </c>
      <c r="F87" s="59">
        <f t="shared" si="37"/>
        <v>1.5555555555555553E-2</v>
      </c>
      <c r="G87" s="59">
        <f t="shared" si="37"/>
        <v>3.0300719332294269E-2</v>
      </c>
      <c r="H87" s="59">
        <f t="shared" si="37"/>
        <v>0</v>
      </c>
      <c r="I87" s="59">
        <f t="shared" si="37"/>
        <v>1.5555555555555553E-2</v>
      </c>
      <c r="J87" s="59">
        <f t="shared" si="37"/>
        <v>3.0296640552861888E-2</v>
      </c>
      <c r="K87" s="59">
        <f t="shared" si="37"/>
        <v>0</v>
      </c>
      <c r="L87" s="59">
        <f t="shared" si="37"/>
        <v>1.5555555555555553E-2</v>
      </c>
    </row>
    <row r="88" spans="1:21" x14ac:dyDescent="0.35">
      <c r="A88" t="str">
        <f t="shared" si="36"/>
        <v/>
      </c>
      <c r="C88" s="14" t="str">
        <f t="shared" si="37"/>
        <v/>
      </c>
      <c r="D88" s="14" t="str">
        <f t="shared" si="37"/>
        <v/>
      </c>
      <c r="E88" s="14" t="str">
        <f t="shared" si="37"/>
        <v/>
      </c>
      <c r="F88" s="14" t="str">
        <f t="shared" si="37"/>
        <v/>
      </c>
      <c r="G88" s="14" t="str">
        <f t="shared" si="37"/>
        <v/>
      </c>
      <c r="H88" s="14" t="str">
        <f t="shared" si="37"/>
        <v/>
      </c>
      <c r="I88" s="14" t="str">
        <f t="shared" si="37"/>
        <v/>
      </c>
      <c r="J88" s="14" t="str">
        <f t="shared" si="37"/>
        <v/>
      </c>
      <c r="K88" s="14" t="str">
        <f t="shared" si="37"/>
        <v/>
      </c>
      <c r="L88" s="14" t="str">
        <f t="shared" si="37"/>
        <v/>
      </c>
    </row>
    <row r="89" spans="1:21" x14ac:dyDescent="0.35">
      <c r="A89" s="1" t="s">
        <v>125</v>
      </c>
      <c r="B89" s="1"/>
      <c r="C89" s="14">
        <f>IF(C$25&lt;&gt;"",SUM(C83:C88),"")</f>
        <v>20.156657875555585</v>
      </c>
      <c r="D89" s="14">
        <f t="shared" ref="D89:L89" si="38">IF(D$25&lt;&gt;"",SUM(D83:D88),"")</f>
        <v>19.242116951110571</v>
      </c>
      <c r="E89" s="14">
        <f t="shared" si="38"/>
        <v>18.395636907982066</v>
      </c>
      <c r="F89" s="14">
        <f t="shared" si="38"/>
        <v>17.618675904537589</v>
      </c>
      <c r="G89" s="14">
        <f t="shared" si="38"/>
        <v>16.865358096092574</v>
      </c>
      <c r="H89" s="14">
        <f t="shared" si="38"/>
        <v>16.092523841876559</v>
      </c>
      <c r="I89" s="14">
        <f t="shared" si="38"/>
        <v>17.388718417432713</v>
      </c>
      <c r="J89" s="14">
        <f t="shared" si="38"/>
        <v>18.642821167487096</v>
      </c>
      <c r="K89" s="14">
        <f t="shared" si="38"/>
        <v>19.793266941006291</v>
      </c>
      <c r="L89" s="14">
        <f t="shared" si="38"/>
        <v>21.24669162556242</v>
      </c>
    </row>
    <row r="90" spans="1:21" x14ac:dyDescent="0.35">
      <c r="A90" s="1" t="s">
        <v>147</v>
      </c>
      <c r="B90" s="1"/>
      <c r="C90" s="14">
        <f>IF(C25&lt;&gt;"",C35+C25-C38-C76-C89*$B$35,"")</f>
        <v>8.5889281958715085</v>
      </c>
      <c r="D90" s="14">
        <f t="shared" ref="D90:L90" si="39">IF(D25&lt;&gt;"",D35+D25-D38-D76-D89*$B$35,"")</f>
        <v>8.1432845672467291</v>
      </c>
      <c r="E90" s="14">
        <f t="shared" si="39"/>
        <v>8.1267374502224676</v>
      </c>
      <c r="F90" s="14">
        <f t="shared" si="39"/>
        <v>8.1098428171303034</v>
      </c>
      <c r="G90" s="14">
        <f t="shared" si="39"/>
        <v>8.1162222028177364</v>
      </c>
      <c r="H90" s="14">
        <f t="shared" si="39"/>
        <v>8.1446133626990918</v>
      </c>
      <c r="I90" s="14">
        <f t="shared" si="39"/>
        <v>9.1274551572603109</v>
      </c>
      <c r="J90" s="14">
        <f t="shared" si="39"/>
        <v>9.0804383560204069</v>
      </c>
      <c r="K90" s="14">
        <f t="shared" si="39"/>
        <v>9.0705250321742437</v>
      </c>
      <c r="L90" s="14">
        <f t="shared" si="39"/>
        <v>8.8634805571715312</v>
      </c>
    </row>
    <row r="92" spans="1:21" x14ac:dyDescent="0.35">
      <c r="A92" s="1" t="s">
        <v>127</v>
      </c>
      <c r="C92" s="12">
        <f>IF(C$25&lt;&gt;"",0.2,"")</f>
        <v>0.2</v>
      </c>
      <c r="D92" s="12">
        <f t="shared" ref="D92:L92" si="40">IF(D$25&lt;&gt;"",0.2,"")</f>
        <v>0.2</v>
      </c>
      <c r="E92" s="12">
        <f t="shared" si="40"/>
        <v>0.2</v>
      </c>
      <c r="F92" s="12">
        <f t="shared" si="40"/>
        <v>0.2</v>
      </c>
      <c r="G92" s="12">
        <f t="shared" si="40"/>
        <v>0.2</v>
      </c>
      <c r="H92" s="12">
        <f t="shared" si="40"/>
        <v>0.2</v>
      </c>
      <c r="I92" s="12">
        <f t="shared" si="40"/>
        <v>0.2</v>
      </c>
      <c r="J92" s="12">
        <f t="shared" si="40"/>
        <v>0.2</v>
      </c>
      <c r="K92" s="12">
        <f t="shared" si="40"/>
        <v>0.2</v>
      </c>
      <c r="L92" s="12">
        <f t="shared" si="40"/>
        <v>0.2</v>
      </c>
    </row>
    <row r="93" spans="1:21" x14ac:dyDescent="0.35">
      <c r="A93" t="s">
        <v>128</v>
      </c>
      <c r="C93" s="14">
        <f t="shared" ref="C93:L93" si="41">IF(C$25&lt;&gt;"",C77+C92,"")</f>
        <v>7.0670000000000002</v>
      </c>
      <c r="D93" s="14">
        <f t="shared" si="41"/>
        <v>7.0670000000000002</v>
      </c>
      <c r="E93" s="14">
        <f t="shared" si="41"/>
        <v>6.9830000000000005</v>
      </c>
      <c r="F93" s="14">
        <f t="shared" si="41"/>
        <v>6.9830000000000005</v>
      </c>
      <c r="G93" s="14">
        <f t="shared" si="41"/>
        <v>6.9830000000000005</v>
      </c>
      <c r="H93" s="14">
        <f t="shared" si="41"/>
        <v>6.9830000000000005</v>
      </c>
      <c r="I93" s="14">
        <f t="shared" si="41"/>
        <v>6.9830000000000005</v>
      </c>
      <c r="J93" s="14">
        <f t="shared" si="41"/>
        <v>6.9830000000000005</v>
      </c>
      <c r="K93" s="14">
        <f t="shared" si="41"/>
        <v>6.9830000000000005</v>
      </c>
      <c r="L93" s="14">
        <f t="shared" si="41"/>
        <v>6.7330000000000005</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82" priority="66" operator="greaterThan">
      <formula>$C$69</formula>
    </cfRule>
  </conditionalFormatting>
  <conditionalFormatting sqref="C77">
    <cfRule type="cellIs" dxfId="81" priority="65" operator="greaterThan">
      <formula>$C$70</formula>
    </cfRule>
  </conditionalFormatting>
  <conditionalFormatting sqref="C78">
    <cfRule type="cellIs" dxfId="80" priority="64" operator="greaterThan">
      <formula>$C$71</formula>
    </cfRule>
  </conditionalFormatting>
  <conditionalFormatting sqref="C79">
    <cfRule type="cellIs" dxfId="79" priority="63" operator="greaterThan">
      <formula>$C$72</formula>
    </cfRule>
  </conditionalFormatting>
  <conditionalFormatting sqref="C80">
    <cfRule type="cellIs" dxfId="78" priority="62" operator="greaterThan">
      <formula>$C$73</formula>
    </cfRule>
  </conditionalFormatting>
  <conditionalFormatting sqref="C81">
    <cfRule type="cellIs" dxfId="77" priority="61" operator="greaterThan">
      <formula>$C$74</formula>
    </cfRule>
  </conditionalFormatting>
  <conditionalFormatting sqref="D76">
    <cfRule type="cellIs" dxfId="76" priority="60" operator="greaterThan">
      <formula>$D$69</formula>
    </cfRule>
  </conditionalFormatting>
  <conditionalFormatting sqref="D77">
    <cfRule type="cellIs" dxfId="75" priority="59" operator="greaterThan">
      <formula>$D$70</formula>
    </cfRule>
  </conditionalFormatting>
  <conditionalFormatting sqref="D78">
    <cfRule type="cellIs" dxfId="74" priority="58" operator="greaterThan">
      <formula>$D$71</formula>
    </cfRule>
  </conditionalFormatting>
  <conditionalFormatting sqref="D79">
    <cfRule type="cellIs" dxfId="73" priority="57" operator="greaterThan">
      <formula>$D$72</formula>
    </cfRule>
  </conditionalFormatting>
  <conditionalFormatting sqref="D80">
    <cfRule type="cellIs" dxfId="72" priority="56" operator="greaterThan">
      <formula>$D$73</formula>
    </cfRule>
  </conditionalFormatting>
  <conditionalFormatting sqref="D81">
    <cfRule type="cellIs" dxfId="71" priority="55" operator="greaterThan">
      <formula>$D$74</formula>
    </cfRule>
  </conditionalFormatting>
  <conditionalFormatting sqref="E76">
    <cfRule type="cellIs" dxfId="70" priority="54" operator="greaterThan">
      <formula>$E$69</formula>
    </cfRule>
  </conditionalFormatting>
  <conditionalFormatting sqref="E77">
    <cfRule type="cellIs" dxfId="69" priority="53" operator="greaterThan">
      <formula>$E$70</formula>
    </cfRule>
  </conditionalFormatting>
  <conditionalFormatting sqref="E78">
    <cfRule type="cellIs" dxfId="68" priority="52" operator="greaterThan">
      <formula>$E$71</formula>
    </cfRule>
  </conditionalFormatting>
  <conditionalFormatting sqref="E79">
    <cfRule type="cellIs" dxfId="67" priority="51" operator="greaterThan">
      <formula>$E$72</formula>
    </cfRule>
  </conditionalFormatting>
  <conditionalFormatting sqref="E80">
    <cfRule type="cellIs" dxfId="66" priority="50" operator="greaterThan">
      <formula>$E$73</formula>
    </cfRule>
  </conditionalFormatting>
  <conditionalFormatting sqref="E81">
    <cfRule type="cellIs" dxfId="65" priority="49" operator="greaterThan">
      <formula>$E$74</formula>
    </cfRule>
  </conditionalFormatting>
  <conditionalFormatting sqref="F76">
    <cfRule type="cellIs" dxfId="64" priority="48" operator="greaterThan">
      <formula>$F$69</formula>
    </cfRule>
  </conditionalFormatting>
  <conditionalFormatting sqref="F77">
    <cfRule type="cellIs" dxfId="63" priority="47" operator="greaterThan">
      <formula>$F$70</formula>
    </cfRule>
  </conditionalFormatting>
  <conditionalFormatting sqref="F78">
    <cfRule type="cellIs" dxfId="62" priority="46" operator="greaterThan">
      <formula>$F$71</formula>
    </cfRule>
  </conditionalFormatting>
  <conditionalFormatting sqref="F79">
    <cfRule type="cellIs" dxfId="61" priority="45" operator="greaterThan">
      <formula>$F$72</formula>
    </cfRule>
  </conditionalFormatting>
  <conditionalFormatting sqref="F80">
    <cfRule type="cellIs" dxfId="60" priority="44" operator="greaterThan">
      <formula>$F$73</formula>
    </cfRule>
  </conditionalFormatting>
  <conditionalFormatting sqref="F81">
    <cfRule type="cellIs" dxfId="59" priority="43" operator="greaterThan">
      <formula>$F$74</formula>
    </cfRule>
  </conditionalFormatting>
  <conditionalFormatting sqref="G76">
    <cfRule type="cellIs" dxfId="58" priority="42" operator="greaterThan">
      <formula>$G$69</formula>
    </cfRule>
  </conditionalFormatting>
  <conditionalFormatting sqref="G77">
    <cfRule type="cellIs" dxfId="57" priority="41" operator="greaterThan">
      <formula>$G$70</formula>
    </cfRule>
  </conditionalFormatting>
  <conditionalFormatting sqref="G78">
    <cfRule type="cellIs" dxfId="56" priority="40" operator="greaterThan">
      <formula>$G$71</formula>
    </cfRule>
  </conditionalFormatting>
  <conditionalFormatting sqref="G79">
    <cfRule type="cellIs" dxfId="55" priority="39" operator="greaterThan">
      <formula>$G$72</formula>
    </cfRule>
  </conditionalFormatting>
  <conditionalFormatting sqref="G80">
    <cfRule type="cellIs" dxfId="54" priority="38" operator="greaterThan">
      <formula>$G$73</formula>
    </cfRule>
  </conditionalFormatting>
  <conditionalFormatting sqref="G81">
    <cfRule type="cellIs" dxfId="53" priority="37" operator="greaterThan">
      <formula>$G$74</formula>
    </cfRule>
  </conditionalFormatting>
  <conditionalFormatting sqref="H76">
    <cfRule type="cellIs" dxfId="52" priority="36" operator="greaterThan">
      <formula>$H$69</formula>
    </cfRule>
  </conditionalFormatting>
  <conditionalFormatting sqref="H77">
    <cfRule type="cellIs" dxfId="51" priority="35" operator="greaterThan">
      <formula>$H$70</formula>
    </cfRule>
  </conditionalFormatting>
  <conditionalFormatting sqref="H78">
    <cfRule type="cellIs" dxfId="50" priority="34" operator="greaterThan">
      <formula>$H$71</formula>
    </cfRule>
  </conditionalFormatting>
  <conditionalFormatting sqref="H79">
    <cfRule type="cellIs" dxfId="49" priority="33" operator="greaterThan">
      <formula>$H$72</formula>
    </cfRule>
  </conditionalFormatting>
  <conditionalFormatting sqref="H80">
    <cfRule type="cellIs" dxfId="48" priority="32" operator="greaterThan">
      <formula>$H$73</formula>
    </cfRule>
  </conditionalFormatting>
  <conditionalFormatting sqref="H81">
    <cfRule type="cellIs" dxfId="47" priority="31" operator="greaterThan">
      <formula>$H$74</formula>
    </cfRule>
  </conditionalFormatting>
  <conditionalFormatting sqref="I76">
    <cfRule type="cellIs" dxfId="46" priority="24" operator="greaterThan">
      <formula>$I$69</formula>
    </cfRule>
  </conditionalFormatting>
  <conditionalFormatting sqref="I77">
    <cfRule type="cellIs" dxfId="45" priority="23" operator="greaterThan">
      <formula>$I$70</formula>
    </cfRule>
  </conditionalFormatting>
  <conditionalFormatting sqref="I78">
    <cfRule type="cellIs" dxfId="44" priority="22" operator="greaterThan">
      <formula>$I$71</formula>
    </cfRule>
  </conditionalFormatting>
  <conditionalFormatting sqref="I79">
    <cfRule type="cellIs" dxfId="43" priority="21" operator="greaterThan">
      <formula>$I$72</formula>
    </cfRule>
  </conditionalFormatting>
  <conditionalFormatting sqref="I80">
    <cfRule type="cellIs" dxfId="42" priority="20" operator="greaterThan">
      <formula>$I$73</formula>
    </cfRule>
  </conditionalFormatting>
  <conditionalFormatting sqref="I81">
    <cfRule type="cellIs" dxfId="41" priority="19" operator="greaterThan">
      <formula>$I$74</formula>
    </cfRule>
  </conditionalFormatting>
  <conditionalFormatting sqref="J76">
    <cfRule type="cellIs" dxfId="40" priority="18" operator="greaterThan">
      <formula>$J$69</formula>
    </cfRule>
  </conditionalFormatting>
  <conditionalFormatting sqref="J77">
    <cfRule type="cellIs" dxfId="39" priority="17" operator="greaterThan">
      <formula>$J$70</formula>
    </cfRule>
  </conditionalFormatting>
  <conditionalFormatting sqref="J78">
    <cfRule type="cellIs" dxfId="38" priority="16" operator="greaterThan">
      <formula>$J$71</formula>
    </cfRule>
  </conditionalFormatting>
  <conditionalFormatting sqref="J79">
    <cfRule type="cellIs" dxfId="37" priority="15" operator="greaterThan">
      <formula>$J$72</formula>
    </cfRule>
  </conditionalFormatting>
  <conditionalFormatting sqref="J80">
    <cfRule type="cellIs" dxfId="36" priority="14" operator="greaterThan">
      <formula>$J$73</formula>
    </cfRule>
  </conditionalFormatting>
  <conditionalFormatting sqref="J81">
    <cfRule type="cellIs" dxfId="35" priority="13" operator="greaterThan">
      <formula>$J$74</formula>
    </cfRule>
  </conditionalFormatting>
  <conditionalFormatting sqref="K76">
    <cfRule type="cellIs" dxfId="34" priority="12" operator="greaterThan">
      <formula>$K$69</formula>
    </cfRule>
  </conditionalFormatting>
  <conditionalFormatting sqref="K77">
    <cfRule type="cellIs" dxfId="33" priority="11" operator="greaterThan">
      <formula>$K$70</formula>
    </cfRule>
  </conditionalFormatting>
  <conditionalFormatting sqref="K78">
    <cfRule type="cellIs" dxfId="32" priority="10" operator="greaterThan">
      <formula>$K$71</formula>
    </cfRule>
  </conditionalFormatting>
  <conditionalFormatting sqref="K79">
    <cfRule type="cellIs" dxfId="31" priority="9" operator="greaterThan">
      <formula>$K$72</formula>
    </cfRule>
  </conditionalFormatting>
  <conditionalFormatting sqref="K80">
    <cfRule type="cellIs" dxfId="30" priority="8" operator="greaterThan">
      <formula>$K$73</formula>
    </cfRule>
  </conditionalFormatting>
  <conditionalFormatting sqref="K81">
    <cfRule type="cellIs" dxfId="29" priority="7" operator="greaterThan">
      <formula>$K$74</formula>
    </cfRule>
  </conditionalFormatting>
  <conditionalFormatting sqref="L76">
    <cfRule type="cellIs" dxfId="28" priority="6" operator="greaterThan">
      <formula>$L$69</formula>
    </cfRule>
  </conditionalFormatting>
  <conditionalFormatting sqref="L77">
    <cfRule type="cellIs" dxfId="27" priority="5" operator="greaterThan">
      <formula>$L$70</formula>
    </cfRule>
  </conditionalFormatting>
  <conditionalFormatting sqref="L78">
    <cfRule type="cellIs" dxfId="26" priority="4" operator="greaterThan">
      <formula>$L$71</formula>
    </cfRule>
  </conditionalFormatting>
  <conditionalFormatting sqref="L79">
    <cfRule type="cellIs" dxfId="25" priority="3" operator="greaterThan">
      <formula>$L$72</formula>
    </cfRule>
  </conditionalFormatting>
  <conditionalFormatting sqref="L80">
    <cfRule type="cellIs" dxfId="24" priority="2" operator="greaterThan">
      <formula>$L$73</formula>
    </cfRule>
  </conditionalFormatting>
  <conditionalFormatting sqref="L81">
    <cfRule type="cellIs" dxfId="23" priority="1" operator="greaterThan">
      <formula>$L$74</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55</v>
      </c>
    </row>
    <row r="3" spans="1:24" x14ac:dyDescent="0.35">
      <c r="A3" t="s">
        <v>77</v>
      </c>
    </row>
    <row r="5" spans="1:24" s="1" customFormat="1" x14ac:dyDescent="0.35">
      <c r="A5" s="1" t="s">
        <v>57</v>
      </c>
      <c r="B5" s="1" t="s">
        <v>56</v>
      </c>
      <c r="C5" s="13" t="s">
        <v>5</v>
      </c>
      <c r="D5" s="13" t="s">
        <v>6</v>
      </c>
      <c r="E5" s="13" t="s">
        <v>7</v>
      </c>
      <c r="F5" s="13" t="s">
        <v>8</v>
      </c>
      <c r="G5" s="13" t="s">
        <v>9</v>
      </c>
      <c r="H5" s="13" t="s">
        <v>10</v>
      </c>
      <c r="I5" s="13" t="s">
        <v>11</v>
      </c>
      <c r="J5" s="13" t="s">
        <v>12</v>
      </c>
      <c r="K5" s="13" t="s">
        <v>36</v>
      </c>
      <c r="L5" s="13" t="s">
        <v>37</v>
      </c>
      <c r="M5" s="13" t="s">
        <v>60</v>
      </c>
      <c r="N5" s="13" t="s">
        <v>61</v>
      </c>
      <c r="O5" s="13" t="s">
        <v>62</v>
      </c>
      <c r="P5" s="13" t="s">
        <v>63</v>
      </c>
      <c r="Q5" s="13" t="s">
        <v>64</v>
      </c>
      <c r="R5" s="13" t="s">
        <v>65</v>
      </c>
      <c r="S5" s="13" t="s">
        <v>66</v>
      </c>
      <c r="T5" s="13" t="s">
        <v>67</v>
      </c>
      <c r="U5" s="13" t="s">
        <v>68</v>
      </c>
      <c r="V5" s="1" t="s">
        <v>84</v>
      </c>
      <c r="W5" s="1" t="s">
        <v>85</v>
      </c>
      <c r="X5" s="1" t="s">
        <v>58</v>
      </c>
    </row>
    <row r="6" spans="1:24" x14ac:dyDescent="0.35">
      <c r="A6" t="s">
        <v>87</v>
      </c>
      <c r="B6" t="s">
        <v>88</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72</v>
      </c>
    </row>
    <row r="7" spans="1:24" x14ac:dyDescent="0.35">
      <c r="A7" t="s">
        <v>89</v>
      </c>
      <c r="B7" t="s">
        <v>59</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72</v>
      </c>
    </row>
    <row r="8" spans="1:24" x14ac:dyDescent="0.35">
      <c r="A8" t="s">
        <v>90</v>
      </c>
      <c r="B8" t="s">
        <v>74</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73</v>
      </c>
    </row>
    <row r="9" spans="1:24" x14ac:dyDescent="0.35">
      <c r="A9" t="s">
        <v>90</v>
      </c>
      <c r="B9" t="s">
        <v>75</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73</v>
      </c>
    </row>
    <row r="10" spans="1:24" x14ac:dyDescent="0.35">
      <c r="A10" t="s">
        <v>90</v>
      </c>
      <c r="B10" t="s">
        <v>76</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73</v>
      </c>
    </row>
    <row r="11" spans="1:24" x14ac:dyDescent="0.35">
      <c r="A11" t="s">
        <v>78</v>
      </c>
      <c r="B11" t="s">
        <v>91</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80</v>
      </c>
      <c r="B12" t="s">
        <v>81</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83</v>
      </c>
    </row>
    <row r="13" spans="1:24" x14ac:dyDescent="0.35">
      <c r="A13" t="s">
        <v>82</v>
      </c>
      <c r="B13" t="s">
        <v>81</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83</v>
      </c>
    </row>
    <row r="14" spans="1:24" x14ac:dyDescent="0.35">
      <c r="A14" t="s">
        <v>79</v>
      </c>
      <c r="B14" t="s">
        <v>81</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72</v>
      </c>
    </row>
    <row r="15" spans="1:24" x14ac:dyDescent="0.35">
      <c r="A15" t="s">
        <v>86</v>
      </c>
      <c r="B15" t="s">
        <v>74</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73</v>
      </c>
    </row>
    <row r="16" spans="1:24" x14ac:dyDescent="0.35">
      <c r="A16" t="s">
        <v>86</v>
      </c>
      <c r="B16" t="s">
        <v>75</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73</v>
      </c>
    </row>
    <row r="18" spans="1:21" x14ac:dyDescent="0.35">
      <c r="A18" s="1" t="s">
        <v>92</v>
      </c>
    </row>
    <row r="19" spans="1:21" x14ac:dyDescent="0.35">
      <c r="A19" t="s">
        <v>69</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70</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71</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zoomScale="160" zoomScaleNormal="160" workbookViewId="0">
      <selection activeCell="C5" sqref="C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122</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15"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110</v>
      </c>
      <c r="B1" s="1"/>
    </row>
    <row r="2" spans="1:11" x14ac:dyDescent="0.35">
      <c r="A2" s="1"/>
      <c r="B2" s="1"/>
    </row>
    <row r="3" spans="1:11" ht="16.5" customHeight="1" x14ac:dyDescent="0.35">
      <c r="A3" s="26" t="s">
        <v>51</v>
      </c>
      <c r="B3" s="26"/>
      <c r="C3" s="26"/>
      <c r="D3" s="26"/>
      <c r="E3" s="26"/>
      <c r="F3" s="26"/>
      <c r="G3" s="26"/>
      <c r="H3" s="26"/>
      <c r="I3" s="26"/>
      <c r="J3" s="26"/>
      <c r="K3" s="26"/>
    </row>
    <row r="4" spans="1:11" x14ac:dyDescent="0.35">
      <c r="A4" s="17" t="s">
        <v>39</v>
      </c>
      <c r="B4" s="13" t="s">
        <v>43</v>
      </c>
      <c r="C4" s="1" t="s">
        <v>44</v>
      </c>
    </row>
    <row r="5" spans="1:11" x14ac:dyDescent="0.35">
      <c r="A5" s="27" t="s">
        <v>52</v>
      </c>
      <c r="B5" s="47"/>
      <c r="C5" s="105"/>
      <c r="D5" s="105"/>
      <c r="E5" s="105"/>
      <c r="F5" s="105"/>
      <c r="G5" s="105"/>
      <c r="H5" s="105"/>
    </row>
    <row r="6" spans="1:11" x14ac:dyDescent="0.35">
      <c r="A6" s="16" t="s">
        <v>40</v>
      </c>
      <c r="B6" s="47"/>
      <c r="C6" s="105"/>
      <c r="D6" s="105"/>
      <c r="E6" s="105"/>
      <c r="F6" s="105"/>
      <c r="G6" s="105"/>
      <c r="H6" s="105"/>
    </row>
    <row r="7" spans="1:11" x14ac:dyDescent="0.35">
      <c r="A7" s="16" t="s">
        <v>41</v>
      </c>
      <c r="B7" s="47"/>
      <c r="C7" s="105"/>
      <c r="D7" s="105"/>
      <c r="E7" s="105"/>
      <c r="F7" s="105"/>
      <c r="G7" s="105"/>
      <c r="H7" s="105"/>
    </row>
    <row r="8" spans="1:11" x14ac:dyDescent="0.35">
      <c r="A8" s="16" t="s">
        <v>42</v>
      </c>
      <c r="B8" s="47"/>
      <c r="C8" s="105"/>
      <c r="D8" s="105"/>
      <c r="E8" s="105"/>
      <c r="F8" s="105"/>
      <c r="G8" s="105"/>
      <c r="H8" s="105"/>
    </row>
    <row r="9" spans="1:11" x14ac:dyDescent="0.35">
      <c r="A9" s="16"/>
      <c r="B9" s="2"/>
      <c r="C9"/>
    </row>
    <row r="10" spans="1:11" x14ac:dyDescent="0.35">
      <c r="A10" s="19" t="s">
        <v>46</v>
      </c>
      <c r="B10" s="2"/>
      <c r="C10"/>
    </row>
    <row r="11" spans="1:11" x14ac:dyDescent="0.35">
      <c r="A11" s="20" t="s">
        <v>53</v>
      </c>
    </row>
    <row r="12" spans="1:11" x14ac:dyDescent="0.35">
      <c r="A12" s="22" t="s">
        <v>48</v>
      </c>
      <c r="B12" s="19"/>
    </row>
    <row r="13" spans="1:11" x14ac:dyDescent="0.35">
      <c r="A13" s="21" t="s">
        <v>47</v>
      </c>
    </row>
    <row r="15" spans="1:11" x14ac:dyDescent="0.35">
      <c r="A15" s="1" t="s">
        <v>54</v>
      </c>
      <c r="D15" s="20"/>
    </row>
    <row r="17" spans="1:13" x14ac:dyDescent="0.35">
      <c r="A17" s="1" t="s">
        <v>32</v>
      </c>
      <c r="B17" s="1" t="s">
        <v>112</v>
      </c>
      <c r="C17" s="13" t="s">
        <v>113</v>
      </c>
    </row>
    <row r="18" spans="1:13" x14ac:dyDescent="0.35">
      <c r="A18" t="s">
        <v>111</v>
      </c>
      <c r="B18" s="12">
        <v>5.73</v>
      </c>
      <c r="C18" s="12">
        <v>6</v>
      </c>
      <c r="D18" s="23" t="s">
        <v>142</v>
      </c>
    </row>
    <row r="19" spans="1:13" x14ac:dyDescent="0.35">
      <c r="A19" t="s">
        <v>33</v>
      </c>
      <c r="B19" s="12">
        <v>11</v>
      </c>
      <c r="C19" s="12">
        <v>10.1</v>
      </c>
      <c r="D19" s="11" t="s">
        <v>34</v>
      </c>
    </row>
    <row r="21" spans="1:13" s="1" customFormat="1" x14ac:dyDescent="0.35">
      <c r="A21" s="1" t="s">
        <v>35</v>
      </c>
      <c r="B21" s="1" t="s">
        <v>49</v>
      </c>
      <c r="C21" s="13" t="s">
        <v>5</v>
      </c>
      <c r="D21" s="13" t="s">
        <v>6</v>
      </c>
      <c r="E21" s="13" t="s">
        <v>7</v>
      </c>
      <c r="F21" s="13" t="s">
        <v>8</v>
      </c>
      <c r="G21" s="13" t="s">
        <v>9</v>
      </c>
      <c r="H21" s="13" t="s">
        <v>10</v>
      </c>
      <c r="I21" s="13" t="s">
        <v>11</v>
      </c>
      <c r="J21" s="13" t="s">
        <v>12</v>
      </c>
      <c r="K21" s="13" t="s">
        <v>36</v>
      </c>
      <c r="L21" s="13" t="s">
        <v>37</v>
      </c>
      <c r="M21" s="13" t="s">
        <v>108</v>
      </c>
    </row>
    <row r="22" spans="1:13" x14ac:dyDescent="0.35">
      <c r="A22" s="1" t="s">
        <v>45</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123</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126</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118</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119</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117</v>
      </c>
      <c r="C28"/>
    </row>
    <row r="29" spans="1:13" hidden="1" x14ac:dyDescent="0.35">
      <c r="A29" t="s">
        <v>115</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116</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121</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100</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101</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102</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120</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135</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105</v>
      </c>
      <c r="C39"/>
    </row>
    <row r="40" spans="1:13" x14ac:dyDescent="0.35">
      <c r="A40" s="32" t="s">
        <v>103</v>
      </c>
      <c r="B40" s="1"/>
      <c r="C40" s="25"/>
      <c r="D40" s="25"/>
      <c r="E40" s="25"/>
      <c r="F40" s="25"/>
      <c r="G40" s="25"/>
      <c r="H40" s="25"/>
      <c r="I40" s="25"/>
      <c r="J40" s="25"/>
      <c r="K40" s="25"/>
      <c r="L40" s="25"/>
    </row>
    <row r="41" spans="1:13" x14ac:dyDescent="0.35">
      <c r="A41" s="32" t="s">
        <v>104</v>
      </c>
      <c r="B41" s="1"/>
      <c r="C41" s="31"/>
      <c r="D41" s="31"/>
      <c r="E41" s="31"/>
      <c r="F41" s="31"/>
      <c r="G41" s="31"/>
      <c r="H41" s="31"/>
      <c r="I41" s="31"/>
      <c r="J41" s="31"/>
      <c r="K41" s="31"/>
      <c r="L41" s="31"/>
      <c r="M41" s="33">
        <f>SUM(C41:L41)</f>
        <v>0</v>
      </c>
    </row>
    <row r="42" spans="1:13" hidden="1" x14ac:dyDescent="0.35">
      <c r="A42" s="32" t="s">
        <v>106</v>
      </c>
      <c r="B42" s="1"/>
      <c r="C42" s="25"/>
      <c r="D42" s="25"/>
      <c r="E42" s="25"/>
      <c r="F42" s="25"/>
      <c r="G42" s="25"/>
      <c r="H42" s="25"/>
      <c r="I42" s="25"/>
      <c r="J42" s="25"/>
      <c r="K42" s="25"/>
      <c r="L42" s="25"/>
      <c r="M42" s="34"/>
    </row>
    <row r="43" spans="1:13" hidden="1" x14ac:dyDescent="0.35">
      <c r="A43" s="32" t="s">
        <v>107</v>
      </c>
      <c r="B43" s="1"/>
      <c r="C43" s="31"/>
      <c r="D43" s="31"/>
      <c r="E43" s="31"/>
      <c r="F43" s="31"/>
      <c r="G43" s="31"/>
      <c r="H43" s="31"/>
      <c r="I43" s="31"/>
      <c r="J43" s="31"/>
      <c r="K43" s="31"/>
      <c r="L43" s="31"/>
      <c r="M43" s="33">
        <f>SUM(C43:L43)</f>
        <v>0</v>
      </c>
    </row>
    <row r="44" spans="1:13" x14ac:dyDescent="0.35">
      <c r="A44" s="1" t="s">
        <v>124</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136</v>
      </c>
      <c r="B48" s="1"/>
      <c r="C48" s="29"/>
      <c r="D48" s="2"/>
      <c r="E48" s="2"/>
      <c r="F48" s="2"/>
      <c r="G48" s="2"/>
      <c r="H48" s="2"/>
      <c r="I48" s="2"/>
      <c r="J48" s="2"/>
      <c r="K48" s="2"/>
      <c r="L48" s="2"/>
    </row>
    <row r="49" spans="1:18" x14ac:dyDescent="0.35">
      <c r="A49" t="s">
        <v>137</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129</v>
      </c>
    </row>
    <row r="50" spans="1:18" x14ac:dyDescent="0.35">
      <c r="A50" t="s">
        <v>138</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130</v>
      </c>
      <c r="O50" s="37" t="s">
        <v>131</v>
      </c>
      <c r="P50" s="38" t="s">
        <v>132</v>
      </c>
      <c r="Q50" s="38" t="s">
        <v>133</v>
      </c>
      <c r="R50" s="37" t="s">
        <v>134</v>
      </c>
    </row>
    <row r="51" spans="1:18" x14ac:dyDescent="0.35">
      <c r="A51" t="s">
        <v>139</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140</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141</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125</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127</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128</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F11"/>
  <sheetViews>
    <sheetView tabSelected="1" zoomScale="150" zoomScaleNormal="150" workbookViewId="0">
      <selection activeCell="C3" sqref="C3"/>
    </sheetView>
  </sheetViews>
  <sheetFormatPr defaultRowHeight="14.5" x14ac:dyDescent="0.35"/>
  <cols>
    <col min="1" max="1" width="8.7265625" style="83"/>
    <col min="2" max="2" width="12.6328125" style="83" customWidth="1"/>
    <col min="3" max="3" width="29.90625" style="82" customWidth="1"/>
    <col min="4" max="4" width="12.453125" style="85" customWidth="1"/>
    <col min="5" max="5" width="15.08984375" style="85" customWidth="1"/>
    <col min="6" max="6" width="10.54296875" style="83" customWidth="1"/>
  </cols>
  <sheetData>
    <row r="1" spans="1:6" s="79" customFormat="1" ht="30.5" customHeight="1" x14ac:dyDescent="0.35">
      <c r="A1" s="106" t="s">
        <v>221</v>
      </c>
      <c r="B1" s="80" t="s">
        <v>206</v>
      </c>
      <c r="C1" s="81" t="s">
        <v>207</v>
      </c>
      <c r="D1" s="80" t="s">
        <v>209</v>
      </c>
      <c r="E1" s="80" t="s">
        <v>208</v>
      </c>
      <c r="F1" s="80" t="s">
        <v>210</v>
      </c>
    </row>
    <row r="2" spans="1:6" x14ac:dyDescent="0.35">
      <c r="A2" s="107"/>
    </row>
    <row r="3" spans="1:6" ht="72.5" x14ac:dyDescent="0.35">
      <c r="A3" s="107"/>
      <c r="C3" s="82" t="s">
        <v>211</v>
      </c>
      <c r="E3" s="85" t="s">
        <v>212</v>
      </c>
      <c r="F3" s="84">
        <v>44372</v>
      </c>
    </row>
    <row r="4" spans="1:6" ht="29" x14ac:dyDescent="0.35">
      <c r="A4" s="107" t="s">
        <v>223</v>
      </c>
      <c r="B4" s="84">
        <v>44377</v>
      </c>
      <c r="C4" s="82" t="s">
        <v>213</v>
      </c>
      <c r="D4" s="85" t="s">
        <v>184</v>
      </c>
      <c r="E4" s="85" t="s">
        <v>184</v>
      </c>
      <c r="F4" s="84">
        <v>44377</v>
      </c>
    </row>
    <row r="5" spans="1:6" ht="116" x14ac:dyDescent="0.35">
      <c r="A5" s="107">
        <v>3.2</v>
      </c>
      <c r="B5" s="84">
        <v>44367</v>
      </c>
      <c r="C5" s="82" t="s">
        <v>220</v>
      </c>
      <c r="D5" s="85" t="s">
        <v>184</v>
      </c>
      <c r="E5" s="85" t="s">
        <v>184</v>
      </c>
      <c r="F5" s="84">
        <v>44367</v>
      </c>
    </row>
    <row r="6" spans="1:6" ht="29" x14ac:dyDescent="0.35">
      <c r="A6" s="107" t="s">
        <v>225</v>
      </c>
      <c r="B6" s="84">
        <v>44354</v>
      </c>
      <c r="C6" s="82" t="s">
        <v>226</v>
      </c>
      <c r="D6" s="85" t="s">
        <v>184</v>
      </c>
      <c r="E6" s="85" t="s">
        <v>184</v>
      </c>
      <c r="F6" s="84">
        <f>B6</f>
        <v>44354</v>
      </c>
    </row>
    <row r="7" spans="1:6" ht="29" x14ac:dyDescent="0.35">
      <c r="A7" s="107">
        <v>3.1</v>
      </c>
      <c r="B7" s="84">
        <v>44331</v>
      </c>
      <c r="C7" s="82" t="s">
        <v>219</v>
      </c>
      <c r="D7" s="85" t="s">
        <v>184</v>
      </c>
      <c r="E7" s="85" t="s">
        <v>184</v>
      </c>
      <c r="F7" s="84">
        <v>44331</v>
      </c>
    </row>
    <row r="8" spans="1:6" ht="72.5" x14ac:dyDescent="0.35">
      <c r="A8" s="107">
        <v>3</v>
      </c>
      <c r="B8" s="84">
        <v>44319</v>
      </c>
      <c r="C8" s="82" t="s">
        <v>218</v>
      </c>
      <c r="D8" s="85" t="s">
        <v>184</v>
      </c>
      <c r="E8" s="85" t="s">
        <v>214</v>
      </c>
      <c r="F8" s="84">
        <v>44315</v>
      </c>
    </row>
    <row r="9" spans="1:6" ht="43.5" x14ac:dyDescent="0.35">
      <c r="A9" s="107">
        <v>2</v>
      </c>
      <c r="B9" s="84">
        <v>44307</v>
      </c>
      <c r="C9" s="82" t="s">
        <v>224</v>
      </c>
      <c r="D9" s="85" t="s">
        <v>184</v>
      </c>
      <c r="E9" s="85" t="s">
        <v>215</v>
      </c>
      <c r="F9" s="84">
        <v>44294</v>
      </c>
    </row>
    <row r="10" spans="1:6" ht="29" x14ac:dyDescent="0.35">
      <c r="A10" s="107">
        <v>1.1000000000000001</v>
      </c>
      <c r="B10" s="84">
        <v>44293</v>
      </c>
      <c r="C10" s="82" t="s">
        <v>217</v>
      </c>
      <c r="D10" s="85" t="s">
        <v>184</v>
      </c>
      <c r="E10" s="85" t="s">
        <v>216</v>
      </c>
      <c r="F10" s="84">
        <v>44291</v>
      </c>
    </row>
    <row r="11" spans="1:6" x14ac:dyDescent="0.35">
      <c r="A11" s="107">
        <v>1</v>
      </c>
      <c r="B11" s="84">
        <v>44291</v>
      </c>
      <c r="C11" s="82" t="s">
        <v>222</v>
      </c>
      <c r="D11" s="85" t="s">
        <v>184</v>
      </c>
      <c r="E11" s="85" t="s">
        <v>184</v>
      </c>
      <c r="F11" s="84">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12CB9-382E-4775-9CE6-35716C807132}">
  <dimension ref="A1:U95"/>
  <sheetViews>
    <sheetView zoomScale="150" zoomScaleNormal="150" workbookViewId="0">
      <selection activeCell="P78" sqref="P78"/>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63"/>
      <c r="I3" s="63"/>
      <c r="J3" s="63"/>
      <c r="K3" s="63"/>
    </row>
    <row r="4" spans="1:11" x14ac:dyDescent="0.35">
      <c r="A4" s="64" t="s">
        <v>39</v>
      </c>
      <c r="B4" s="64" t="s">
        <v>43</v>
      </c>
      <c r="C4" s="99" t="s">
        <v>44</v>
      </c>
      <c r="D4" s="100"/>
      <c r="E4" s="100"/>
      <c r="F4" s="100"/>
      <c r="G4" s="101"/>
    </row>
    <row r="5" spans="1:11" x14ac:dyDescent="0.35">
      <c r="A5" s="65" t="s">
        <v>52</v>
      </c>
      <c r="B5" s="65"/>
      <c r="C5" s="102"/>
      <c r="D5" s="102"/>
      <c r="E5" s="102"/>
      <c r="F5" s="102"/>
      <c r="G5" s="102"/>
    </row>
    <row r="6" spans="1:11" x14ac:dyDescent="0.35">
      <c r="A6" s="66" t="s">
        <v>40</v>
      </c>
      <c r="B6" s="66"/>
      <c r="C6" s="103"/>
      <c r="D6" s="103"/>
      <c r="E6" s="103"/>
      <c r="F6" s="103"/>
      <c r="G6" s="103"/>
    </row>
    <row r="7" spans="1:11" x14ac:dyDescent="0.35">
      <c r="A7" s="66" t="s">
        <v>41</v>
      </c>
      <c r="B7" s="66"/>
      <c r="C7" s="97"/>
      <c r="D7" s="97"/>
      <c r="E7" s="97"/>
      <c r="F7" s="97"/>
      <c r="G7" s="97"/>
    </row>
    <row r="8" spans="1:11" x14ac:dyDescent="0.35">
      <c r="A8" s="66" t="s">
        <v>42</v>
      </c>
      <c r="B8" s="66"/>
      <c r="C8" s="103"/>
      <c r="D8" s="103"/>
      <c r="E8" s="103"/>
      <c r="F8" s="103"/>
      <c r="G8" s="103"/>
    </row>
    <row r="9" spans="1:11" x14ac:dyDescent="0.35">
      <c r="A9" s="66" t="s">
        <v>165</v>
      </c>
      <c r="B9" s="66"/>
      <c r="C9" s="97" t="s">
        <v>187</v>
      </c>
      <c r="D9" s="97"/>
      <c r="E9" s="97"/>
      <c r="F9" s="97"/>
      <c r="G9" s="97"/>
    </row>
    <row r="10" spans="1:11" x14ac:dyDescent="0.35">
      <c r="A10" s="66"/>
      <c r="B10" s="66"/>
      <c r="C10" s="97"/>
      <c r="D10" s="97"/>
      <c r="E10" s="97"/>
      <c r="F10" s="97"/>
      <c r="G10" s="97"/>
    </row>
    <row r="11" spans="1:11" x14ac:dyDescent="0.35">
      <c r="A11" s="66"/>
      <c r="B11" s="66"/>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3" x14ac:dyDescent="0.35">
      <c r="A18" s="1" t="s">
        <v>54</v>
      </c>
      <c r="D18" s="20"/>
    </row>
    <row r="20" spans="1:13" x14ac:dyDescent="0.35">
      <c r="A20" s="1" t="s">
        <v>32</v>
      </c>
      <c r="B20" s="1" t="s">
        <v>112</v>
      </c>
      <c r="C20" s="13" t="s">
        <v>113</v>
      </c>
    </row>
    <row r="21" spans="1:13" x14ac:dyDescent="0.35">
      <c r="A21" t="s">
        <v>111</v>
      </c>
      <c r="B21" s="12">
        <v>5.73</v>
      </c>
      <c r="C21" s="12">
        <v>6</v>
      </c>
      <c r="D21" s="23" t="s">
        <v>114</v>
      </c>
    </row>
    <row r="22" spans="1:13" x14ac:dyDescent="0.35">
      <c r="A22" t="s">
        <v>145</v>
      </c>
      <c r="B22" s="12">
        <v>11</v>
      </c>
      <c r="C22" s="12">
        <v>10.1</v>
      </c>
      <c r="D22" s="11" t="s">
        <v>34</v>
      </c>
    </row>
    <row r="24" spans="1:13"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row>
    <row r="25" spans="1:13" x14ac:dyDescent="0.35">
      <c r="A25" s="1" t="s">
        <v>45</v>
      </c>
      <c r="B25" s="1"/>
      <c r="C25" s="45"/>
      <c r="D25" s="45"/>
      <c r="E25" s="45"/>
      <c r="F25" s="45"/>
      <c r="G25" s="45"/>
      <c r="H25" s="45"/>
      <c r="I25" s="45"/>
      <c r="J25" s="45"/>
      <c r="K25" s="45"/>
      <c r="L25" s="45"/>
    </row>
    <row r="26" spans="1:13" x14ac:dyDescent="0.35">
      <c r="A26" s="1" t="s">
        <v>123</v>
      </c>
      <c r="B26" s="1"/>
      <c r="C26" s="12" t="str">
        <f>IF(C$25&lt;&gt;"",0.8,"")</f>
        <v/>
      </c>
      <c r="D26" s="12" t="str">
        <f t="shared" ref="D26:L26" si="0">IF(D$25&lt;&gt;"",0.8,"")</f>
        <v/>
      </c>
      <c r="E26" s="12" t="str">
        <f t="shared" si="0"/>
        <v/>
      </c>
      <c r="F26" s="12" t="str">
        <f t="shared" si="0"/>
        <v/>
      </c>
      <c r="G26" s="12" t="str">
        <f t="shared" si="0"/>
        <v/>
      </c>
      <c r="H26" s="12" t="str">
        <f t="shared" si="0"/>
        <v/>
      </c>
      <c r="I26" s="12" t="str">
        <f t="shared" si="0"/>
        <v/>
      </c>
      <c r="J26" s="12" t="str">
        <f t="shared" si="0"/>
        <v/>
      </c>
      <c r="K26" s="12" t="str">
        <f t="shared" si="0"/>
        <v/>
      </c>
      <c r="L26" s="12" t="str">
        <f t="shared" si="0"/>
        <v/>
      </c>
    </row>
    <row r="27" spans="1:13" x14ac:dyDescent="0.35">
      <c r="A27" s="1" t="s">
        <v>126</v>
      </c>
      <c r="B27" s="14">
        <f>SUM(B28:B33)-SUM(B22:C22)</f>
        <v>0</v>
      </c>
      <c r="C27" s="14" t="str">
        <f>IF(C$25&lt;&gt;"",SUM(B22:C22),"")</f>
        <v/>
      </c>
      <c r="D27" s="14" t="str">
        <f>IF(D$25&lt;&gt;"",C89,"")</f>
        <v/>
      </c>
      <c r="E27" s="14" t="str">
        <f t="shared" ref="E27:L27" si="1">IF(E$25&lt;&gt;"",D89,"")</f>
        <v/>
      </c>
      <c r="F27" s="14" t="str">
        <f t="shared" si="1"/>
        <v/>
      </c>
      <c r="G27" s="14" t="str">
        <f t="shared" si="1"/>
        <v/>
      </c>
      <c r="H27" s="14" t="str">
        <f t="shared" si="1"/>
        <v/>
      </c>
      <c r="I27" s="14" t="str">
        <f t="shared" si="1"/>
        <v/>
      </c>
      <c r="J27" s="14" t="str">
        <f t="shared" si="1"/>
        <v/>
      </c>
      <c r="K27" s="14" t="str">
        <f t="shared" si="1"/>
        <v/>
      </c>
      <c r="L27" s="14" t="str">
        <f t="shared" si="1"/>
        <v/>
      </c>
    </row>
    <row r="28" spans="1:13" x14ac:dyDescent="0.35">
      <c r="A28" t="str">
        <f>IF(A6="","","    "&amp;A6&amp;" Balance")</f>
        <v xml:space="preserve">    Upper Basin Balance</v>
      </c>
      <c r="B28" s="55">
        <f>B22</f>
        <v>11</v>
      </c>
      <c r="C28" s="14" t="str">
        <f>IF(OR(C$25="",$A28=""),"",B28)</f>
        <v/>
      </c>
      <c r="D28" s="14" t="str">
        <f>IF(OR(D$25="",$A28=""),"",C83)</f>
        <v/>
      </c>
      <c r="E28" s="14" t="str">
        <f t="shared" ref="E28:L28" si="2">IF(OR(E$25="",$A28=""),"",D83)</f>
        <v/>
      </c>
      <c r="F28" s="14" t="str">
        <f t="shared" si="2"/>
        <v/>
      </c>
      <c r="G28" s="14" t="str">
        <f t="shared" si="2"/>
        <v/>
      </c>
      <c r="H28" s="14" t="str">
        <f t="shared" si="2"/>
        <v/>
      </c>
      <c r="I28" s="14" t="str">
        <f t="shared" si="2"/>
        <v/>
      </c>
      <c r="J28" s="14" t="str">
        <f t="shared" si="2"/>
        <v/>
      </c>
      <c r="K28" s="14" t="str">
        <f t="shared" si="2"/>
        <v/>
      </c>
      <c r="L28" s="14" t="str">
        <f t="shared" si="2"/>
        <v/>
      </c>
    </row>
    <row r="29" spans="1:13" x14ac:dyDescent="0.35">
      <c r="A29" t="str">
        <f t="shared" ref="A29:A33" si="3">IF(A7="","","    "&amp;A7&amp;" Balance")</f>
        <v xml:space="preserve">    Lower Basin Balance</v>
      </c>
      <c r="B29" s="55">
        <f>C22</f>
        <v>10.1</v>
      </c>
      <c r="C29" s="14" t="str">
        <f t="shared" ref="C29:C33" si="4">IF(OR(C$25="",$A29=""),"",B29)</f>
        <v/>
      </c>
      <c r="D29" s="14" t="str">
        <f t="shared" ref="D29:L33" si="5">IF(OR(D$25="",$A29=""),"",C84)</f>
        <v/>
      </c>
      <c r="E29" s="14" t="str">
        <f t="shared" si="5"/>
        <v/>
      </c>
      <c r="F29" s="14" t="str">
        <f t="shared" si="5"/>
        <v/>
      </c>
      <c r="G29" s="14" t="str">
        <f t="shared" si="5"/>
        <v/>
      </c>
      <c r="H29" s="14" t="str">
        <f t="shared" si="5"/>
        <v/>
      </c>
      <c r="I29" s="14" t="str">
        <f t="shared" si="5"/>
        <v/>
      </c>
      <c r="J29" s="14" t="str">
        <f t="shared" si="5"/>
        <v/>
      </c>
      <c r="K29" s="14" t="str">
        <f t="shared" si="5"/>
        <v/>
      </c>
      <c r="L29" s="14" t="str">
        <f t="shared" si="5"/>
        <v/>
      </c>
    </row>
    <row r="30" spans="1:13" x14ac:dyDescent="0.35">
      <c r="A30" t="str">
        <f t="shared" si="3"/>
        <v xml:space="preserve">    Mexico Balance</v>
      </c>
      <c r="B30" s="56">
        <v>0</v>
      </c>
      <c r="C30" s="14" t="str">
        <f t="shared" si="4"/>
        <v/>
      </c>
      <c r="D30" s="14" t="str">
        <f t="shared" si="5"/>
        <v/>
      </c>
      <c r="E30" s="14" t="str">
        <f t="shared" si="5"/>
        <v/>
      </c>
      <c r="F30" s="14" t="str">
        <f t="shared" si="5"/>
        <v/>
      </c>
      <c r="G30" s="14" t="str">
        <f t="shared" si="5"/>
        <v/>
      </c>
      <c r="H30" s="14" t="str">
        <f t="shared" si="5"/>
        <v/>
      </c>
      <c r="I30" s="14" t="str">
        <f t="shared" si="5"/>
        <v/>
      </c>
      <c r="J30" s="14" t="str">
        <f t="shared" si="5"/>
        <v/>
      </c>
      <c r="K30" s="14" t="str">
        <f t="shared" si="5"/>
        <v/>
      </c>
      <c r="L30" s="14" t="str">
        <f t="shared" si="5"/>
        <v/>
      </c>
    </row>
    <row r="31" spans="1:13" x14ac:dyDescent="0.35">
      <c r="A31" t="str">
        <f t="shared" si="3"/>
        <v xml:space="preserve">    Mohave &amp; Havasu Evap &amp; ET Balance</v>
      </c>
      <c r="B31" s="56">
        <v>0</v>
      </c>
      <c r="C31" s="14" t="str">
        <f t="shared" si="4"/>
        <v/>
      </c>
      <c r="D31" s="14" t="str">
        <f t="shared" si="5"/>
        <v/>
      </c>
      <c r="E31" s="14" t="str">
        <f t="shared" si="5"/>
        <v/>
      </c>
      <c r="F31" s="14" t="str">
        <f t="shared" si="5"/>
        <v/>
      </c>
      <c r="G31" s="14" t="str">
        <f t="shared" si="5"/>
        <v/>
      </c>
      <c r="H31" s="14" t="str">
        <f t="shared" si="5"/>
        <v/>
      </c>
      <c r="I31" s="14" t="str">
        <f t="shared" si="5"/>
        <v/>
      </c>
      <c r="J31" s="14" t="str">
        <f t="shared" si="5"/>
        <v/>
      </c>
      <c r="K31" s="14" t="str">
        <f t="shared" si="5"/>
        <v/>
      </c>
      <c r="L31" s="14" t="str">
        <f t="shared" si="5"/>
        <v/>
      </c>
    </row>
    <row r="32" spans="1:13" x14ac:dyDescent="0.35">
      <c r="A32" t="str">
        <f t="shared" si="3"/>
        <v/>
      </c>
      <c r="B32" s="56"/>
      <c r="C32" s="14" t="str">
        <f t="shared" si="4"/>
        <v/>
      </c>
      <c r="D32" s="14" t="str">
        <f t="shared" si="5"/>
        <v/>
      </c>
      <c r="E32" s="14" t="str">
        <f t="shared" si="5"/>
        <v/>
      </c>
      <c r="F32" s="14" t="str">
        <f t="shared" si="5"/>
        <v/>
      </c>
      <c r="G32" s="14" t="str">
        <f t="shared" si="5"/>
        <v/>
      </c>
      <c r="H32" s="14" t="str">
        <f t="shared" si="5"/>
        <v/>
      </c>
      <c r="I32" s="14" t="str">
        <f t="shared" si="5"/>
        <v/>
      </c>
      <c r="J32" s="14" t="str">
        <f t="shared" si="5"/>
        <v/>
      </c>
      <c r="K32" s="14" t="str">
        <f t="shared" si="5"/>
        <v/>
      </c>
      <c r="L32" s="14" t="str">
        <f t="shared" si="5"/>
        <v/>
      </c>
    </row>
    <row r="33" spans="1:12" x14ac:dyDescent="0.35">
      <c r="A33" t="str">
        <f t="shared" si="3"/>
        <v/>
      </c>
      <c r="B33" s="56"/>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2" x14ac:dyDescent="0.35">
      <c r="A34" s="1" t="s">
        <v>117</v>
      </c>
      <c r="C34"/>
    </row>
    <row r="35" spans="1:12" x14ac:dyDescent="0.35">
      <c r="A35" t="s">
        <v>115</v>
      </c>
      <c r="B35" s="35">
        <v>0.5</v>
      </c>
      <c r="C35" s="14" t="str">
        <f>IF(C$25&lt;&gt;"",B22,"")</f>
        <v/>
      </c>
      <c r="D35" s="14" t="str">
        <f t="shared" ref="D35:L36" si="6">IF(D25&lt;&gt;"",$B35*D$27,"")</f>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2" x14ac:dyDescent="0.35">
      <c r="A36" t="s">
        <v>116</v>
      </c>
      <c r="B36" s="35">
        <f>1-B35</f>
        <v>0.5</v>
      </c>
      <c r="C36" s="14" t="str">
        <f>IF(C$25&lt;&gt;"",C22,"")</f>
        <v/>
      </c>
      <c r="D36" s="14" t="str">
        <f t="shared" si="6"/>
        <v/>
      </c>
      <c r="E36" s="14" t="str">
        <f t="shared" si="6"/>
        <v/>
      </c>
      <c r="F36" s="14" t="str">
        <f t="shared" si="6"/>
        <v/>
      </c>
      <c r="G36" s="14" t="str">
        <f t="shared" si="6"/>
        <v/>
      </c>
      <c r="H36" s="14" t="str">
        <f t="shared" si="6"/>
        <v/>
      </c>
      <c r="I36" s="14" t="str">
        <f t="shared" si="6"/>
        <v/>
      </c>
      <c r="J36" s="14" t="str">
        <f t="shared" si="6"/>
        <v/>
      </c>
      <c r="K36" s="14" t="str">
        <f t="shared" si="6"/>
        <v/>
      </c>
      <c r="L36" s="14" t="str">
        <f t="shared" si="6"/>
        <v/>
      </c>
    </row>
    <row r="37" spans="1:12" x14ac:dyDescent="0.35">
      <c r="A37" s="1" t="s">
        <v>121</v>
      </c>
      <c r="B37" s="1"/>
      <c r="C37" s="14" t="str">
        <f>IF(C$25&lt;&gt;"",VLOOKUP(C35*1000000,'Powell-Elevation-Area'!$B$5:$D$689,3)*$B$21/1000000 + VLOOKUP(C36*1000000,'Mead-Elevation-Area'!$B$5:$D$676,3)*$C$21/1000000,"")</f>
        <v/>
      </c>
      <c r="D37" s="14" t="str">
        <f>IF(D$25&lt;&gt;"",VLOOKUP(D35*1000000,'Powell-Elevation-Area'!$B$5:$D$689,3)*$B$21/1000000 + VLOOKUP(D36*1000000,'Mead-Elevation-Area'!$B$5:$D$676,3)*$C$21/1000000,"")</f>
        <v/>
      </c>
      <c r="E37" s="14" t="str">
        <f>IF(E$25&lt;&gt;"",VLOOKUP(E35*1000000,'Powell-Elevation-Area'!$B$5:$D$689,3)*$B$21/1000000 + VLOOKUP(E36*1000000,'Mead-Elevation-Area'!$B$5:$D$676,3)*$C$21/1000000,"")</f>
        <v/>
      </c>
      <c r="F37" s="14" t="str">
        <f>IF(F$25&lt;&gt;"",VLOOKUP(F35*1000000,'Powell-Elevation-Area'!$B$5:$D$689,3)*$B$21/1000000 + VLOOKUP(F36*1000000,'Mead-Elevation-Area'!$B$5:$D$676,3)*$C$21/1000000,"")</f>
        <v/>
      </c>
      <c r="G37" s="14" t="str">
        <f>IF(G$25&lt;&gt;"",VLOOKUP(G35*1000000,'Powell-Elevation-Area'!$B$5:$D$689,3)*$B$21/1000000 + VLOOKUP(G36*1000000,'Mead-Elevation-Area'!$B$5:$D$676,3)*$C$21/1000000,"")</f>
        <v/>
      </c>
      <c r="H37" s="14" t="str">
        <f>IF(H$25&lt;&gt;"",VLOOKUP(H35*1000000,'Powell-Elevation-Area'!$B$5:$D$689,3)*$B$21/1000000 + VLOOKUP(H36*1000000,'Mead-Elevation-Area'!$B$5:$D$676,3)*$C$21/1000000,"")</f>
        <v/>
      </c>
      <c r="I37" s="14" t="str">
        <f>IF(I$25&lt;&gt;"",VLOOKUP(I35*1000000,'Powell-Elevation-Area'!$B$5:$D$689,3)*$B$21/1000000 + VLOOKUP(I36*1000000,'Mead-Elevation-Area'!$B$5:$D$676,3)*$C$21/1000000,"")</f>
        <v/>
      </c>
      <c r="J37" s="14" t="str">
        <f>IF(J$25&lt;&gt;"",VLOOKUP(J35*1000000,'Powell-Elevation-Area'!$B$5:$D$689,3)*$B$21/1000000 + VLOOKUP(J36*1000000,'Mead-Elevation-Area'!$B$5:$D$676,3)*$C$21/1000000,"")</f>
        <v/>
      </c>
      <c r="K37" s="14" t="str">
        <f>IF(K$25&lt;&gt;"",VLOOKUP(K35*1000000,'Powell-Elevation-Area'!$B$5:$D$689,3)*$B$21/1000000 + VLOOKUP(K36*1000000,'Mead-Elevation-Area'!$B$5:$D$676,3)*$C$21/1000000,"")</f>
        <v/>
      </c>
      <c r="L37" s="14" t="str">
        <f>IF(L$25&lt;&gt;"",VLOOKUP(L35*1000000,'Powell-Elevation-Area'!$B$5:$D$689,3)*$B$21/1000000 + VLOOKUP(L36*1000000,'Mead-Elevation-Area'!$B$5:$D$676,3)*$C$21/1000000,"")</f>
        <v/>
      </c>
    </row>
    <row r="38" spans="1:12" x14ac:dyDescent="0.35">
      <c r="A38" t="str">
        <f>IF(A6="","","    "&amp;A6&amp;" Share")</f>
        <v xml:space="preserve">    Upper Basin Share</v>
      </c>
      <c r="B38" s="1"/>
      <c r="C38" s="14" t="str">
        <f>IF(OR(C$25="",$A38=""),"",C$37*C28/C$27)</f>
        <v/>
      </c>
      <c r="D38" s="14" t="str">
        <f t="shared" ref="D38:L38" si="7">IF(OR(D$25="",$A38=""),"",D$37*D28/D$27)</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2" x14ac:dyDescent="0.35">
      <c r="A39" t="str">
        <f t="shared" ref="A39:A43" si="8">IF(A7="","","    "&amp;A7&amp;" Share")</f>
        <v xml:space="preserve">    Lower Basin Share</v>
      </c>
      <c r="B39" s="1"/>
      <c r="C39" s="14" t="str">
        <f t="shared" ref="C39:L43" si="9">IF(OR(C$25="",$A39=""),"",C$37*C29/C$27)</f>
        <v/>
      </c>
      <c r="D39" s="14" t="str">
        <f t="shared" si="9"/>
        <v/>
      </c>
      <c r="E39" s="14" t="str">
        <f t="shared" si="9"/>
        <v/>
      </c>
      <c r="F39" s="14" t="str">
        <f t="shared" si="9"/>
        <v/>
      </c>
      <c r="G39" s="14" t="str">
        <f t="shared" si="9"/>
        <v/>
      </c>
      <c r="H39" s="14" t="str">
        <f t="shared" si="9"/>
        <v/>
      </c>
      <c r="I39" s="14" t="str">
        <f t="shared" si="9"/>
        <v/>
      </c>
      <c r="J39" s="14" t="str">
        <f t="shared" si="9"/>
        <v/>
      </c>
      <c r="K39" s="14" t="str">
        <f t="shared" si="9"/>
        <v/>
      </c>
      <c r="L39" s="14" t="str">
        <f t="shared" si="9"/>
        <v/>
      </c>
    </row>
    <row r="40" spans="1:12" x14ac:dyDescent="0.35">
      <c r="A40" t="str">
        <f t="shared" si="8"/>
        <v xml:space="preserve">    Mexico Share</v>
      </c>
      <c r="B40" s="1"/>
      <c r="C40" s="14" t="str">
        <f t="shared" si="9"/>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2" x14ac:dyDescent="0.35">
      <c r="A41" t="str">
        <f t="shared" si="8"/>
        <v xml:space="preserve">    Mohave &amp; Havasu Evap &amp; ET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2" x14ac:dyDescent="0.35">
      <c r="A42" t="str">
        <f t="shared" si="8"/>
        <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2" x14ac:dyDescent="0.35">
      <c r="A43" t="str">
        <f t="shared" si="8"/>
        <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2" x14ac:dyDescent="0.35">
      <c r="A44" s="1" t="s">
        <v>161</v>
      </c>
      <c r="B44" s="1"/>
      <c r="C44" s="50" t="str">
        <f>IF(C$25&lt;&gt;"",1.5-$B$50/9/2-IF(C$29&lt;$O$78,$Q$78,IF(C$29&lt;=$O$85,VLOOKUP(C$29,$O$78:$Q$85,3),0)),"")</f>
        <v/>
      </c>
      <c r="D44" s="50" t="str">
        <f t="shared" ref="D44:L44" si="10">IF(D$25&lt;&gt;"",1.5-$B$50/9-IF(D$29&lt;$O$78,$Q$78,IF(D$29&lt;=$O$85,VLOOKUP(D$29,$O$78:$Q$85,3),0)),"")</f>
        <v/>
      </c>
      <c r="E44" s="50" t="str">
        <f t="shared" si="10"/>
        <v/>
      </c>
      <c r="F44" s="50" t="str">
        <f t="shared" si="10"/>
        <v/>
      </c>
      <c r="G44" s="50" t="str">
        <f t="shared" si="10"/>
        <v/>
      </c>
      <c r="H44" s="50" t="str">
        <f t="shared" si="10"/>
        <v/>
      </c>
      <c r="I44" s="50" t="str">
        <f t="shared" si="10"/>
        <v/>
      </c>
      <c r="J44" s="50" t="str">
        <f t="shared" si="10"/>
        <v/>
      </c>
      <c r="K44" s="50" t="str">
        <f t="shared" si="10"/>
        <v/>
      </c>
      <c r="L44" s="50" t="str">
        <f t="shared" si="10"/>
        <v/>
      </c>
    </row>
    <row r="45" spans="1:12" x14ac:dyDescent="0.35">
      <c r="A45" s="1" t="s">
        <v>162</v>
      </c>
      <c r="B45" s="1"/>
      <c r="C45"/>
    </row>
    <row r="46" spans="1:12" x14ac:dyDescent="0.35">
      <c r="A46" t="str">
        <f>IF(A6="","","    To "&amp;A6)</f>
        <v xml:space="preserve">    To Upper Basin</v>
      </c>
      <c r="B46" s="24" t="s">
        <v>164</v>
      </c>
      <c r="C46" s="14" t="str">
        <f>IF(OR(C$25="",$A4=""),"",MAX(0,C$25-SUM(C47:C48)))</f>
        <v/>
      </c>
      <c r="D46" s="14" t="str">
        <f t="shared" ref="D46:L46" si="11">IF(OR(D$25="",$A4=""),"",MAX(0,D$25-SUM(D47:D48)))</f>
        <v/>
      </c>
      <c r="E46" s="14" t="str">
        <f t="shared" si="11"/>
        <v/>
      </c>
      <c r="F46" s="14" t="str">
        <f t="shared" si="11"/>
        <v/>
      </c>
      <c r="G46" s="14" t="str">
        <f t="shared" si="11"/>
        <v/>
      </c>
      <c r="H46" s="14" t="str">
        <f t="shared" si="11"/>
        <v/>
      </c>
      <c r="I46" s="14" t="str">
        <f t="shared" si="11"/>
        <v/>
      </c>
      <c r="J46" s="14" t="str">
        <f t="shared" si="11"/>
        <v/>
      </c>
      <c r="K46" s="14" t="str">
        <f t="shared" si="11"/>
        <v/>
      </c>
      <c r="L46" s="14" t="str">
        <f t="shared" si="11"/>
        <v/>
      </c>
    </row>
    <row r="47" spans="1:12" x14ac:dyDescent="0.35">
      <c r="A47" t="str">
        <f t="shared" ref="A47:A51" si="12">IF(A7="","","    To "&amp;A7)</f>
        <v xml:space="preserve">    To Lower Basin</v>
      </c>
      <c r="B47" s="44">
        <f>7.5-$B$50</f>
        <v>7.5</v>
      </c>
      <c r="C47" s="14" t="str">
        <f>IF(OR(C$25="",$A47=""),"",IF(C$25&lt;$B48,0,IF(C$25&gt;$B47,$B47,C$25)))</f>
        <v/>
      </c>
      <c r="D47" s="14" t="str">
        <f t="shared" ref="D47:L47" si="13">IF(OR(D$25="",$A47=""),"",IF(D$25&lt;$B48,0,IF(D$25&gt;$B47,$B47,D$25)))</f>
        <v/>
      </c>
      <c r="E47" s="14" t="str">
        <f t="shared" si="13"/>
        <v/>
      </c>
      <c r="F47" s="14" t="str">
        <f t="shared" si="13"/>
        <v/>
      </c>
      <c r="G47" s="14" t="str">
        <f t="shared" si="13"/>
        <v/>
      </c>
      <c r="H47" s="14" t="str">
        <f t="shared" si="13"/>
        <v/>
      </c>
      <c r="I47" s="14" t="str">
        <f t="shared" si="13"/>
        <v/>
      </c>
      <c r="J47" s="14" t="str">
        <f t="shared" si="13"/>
        <v/>
      </c>
      <c r="K47" s="14" t="str">
        <f t="shared" si="13"/>
        <v/>
      </c>
      <c r="L47" s="14" t="str">
        <f t="shared" si="13"/>
        <v/>
      </c>
    </row>
    <row r="48" spans="1:12" x14ac:dyDescent="0.35">
      <c r="A48" t="str">
        <f t="shared" si="12"/>
        <v xml:space="preserve">    To Mexico</v>
      </c>
      <c r="B48" s="44">
        <f>IF(C44="",0.75,C$44/2)</f>
        <v>0.75</v>
      </c>
      <c r="C48" s="14" t="str">
        <f>IF(OR(C$25="",$A48=""),"",IF(C$25&gt;$B48,$B48,C$25))</f>
        <v/>
      </c>
      <c r="D48" s="14" t="str">
        <f t="shared" ref="D48:L48" si="14">IF(OR(D$25="",$A48=""),"",IF(D$25&gt;$B48,$B48,D$25))</f>
        <v/>
      </c>
      <c r="E48" s="14" t="str">
        <f t="shared" si="14"/>
        <v/>
      </c>
      <c r="F48" s="14" t="str">
        <f t="shared" si="14"/>
        <v/>
      </c>
      <c r="G48" s="14" t="str">
        <f t="shared" si="14"/>
        <v/>
      </c>
      <c r="H48" s="14" t="str">
        <f t="shared" si="14"/>
        <v/>
      </c>
      <c r="I48" s="14" t="str">
        <f t="shared" si="14"/>
        <v/>
      </c>
      <c r="J48" s="14" t="str">
        <f t="shared" si="14"/>
        <v/>
      </c>
      <c r="K48" s="14" t="str">
        <f t="shared" si="14"/>
        <v/>
      </c>
      <c r="L48" s="14" t="str">
        <f t="shared" si="14"/>
        <v/>
      </c>
    </row>
    <row r="49" spans="1:13" x14ac:dyDescent="0.35">
      <c r="A49" t="str">
        <f t="shared" si="12"/>
        <v xml:space="preserve">    To Mohave &amp; Havasu Evap &amp; ET</v>
      </c>
      <c r="B49" s="44">
        <v>0</v>
      </c>
      <c r="C49" s="14" t="str">
        <f t="shared" ref="C49:L51" si="15">IF(OR(C$25="",$A49=""),"",IF(C$25&gt;$B49,$B49,C$25))</f>
        <v/>
      </c>
      <c r="D49" s="14" t="str">
        <f t="shared" si="15"/>
        <v/>
      </c>
      <c r="E49" s="14" t="str">
        <f t="shared" si="15"/>
        <v/>
      </c>
      <c r="F49" s="14" t="str">
        <f t="shared" si="15"/>
        <v/>
      </c>
      <c r="G49" s="14" t="str">
        <f t="shared" si="15"/>
        <v/>
      </c>
      <c r="H49" s="14" t="str">
        <f t="shared" si="15"/>
        <v/>
      </c>
      <c r="I49" s="14" t="str">
        <f t="shared" si="15"/>
        <v/>
      </c>
      <c r="J49" s="14" t="str">
        <f t="shared" si="15"/>
        <v/>
      </c>
      <c r="K49" s="14" t="str">
        <f t="shared" si="15"/>
        <v/>
      </c>
      <c r="L49" s="14" t="str">
        <f t="shared" si="15"/>
        <v/>
      </c>
    </row>
    <row r="50" spans="1:13" x14ac:dyDescent="0.35">
      <c r="A50" t="str">
        <f t="shared" si="12"/>
        <v/>
      </c>
      <c r="B50" s="44"/>
      <c r="C50" s="14" t="str">
        <f t="shared" si="15"/>
        <v/>
      </c>
      <c r="D50" s="59" t="str">
        <f t="shared" si="15"/>
        <v/>
      </c>
      <c r="E50" s="59" t="str">
        <f t="shared" si="15"/>
        <v/>
      </c>
      <c r="F50" s="59" t="str">
        <f t="shared" si="15"/>
        <v/>
      </c>
      <c r="G50" s="59" t="str">
        <f t="shared" si="15"/>
        <v/>
      </c>
      <c r="H50" s="59" t="str">
        <f t="shared" si="15"/>
        <v/>
      </c>
      <c r="I50" s="59" t="str">
        <f t="shared" si="15"/>
        <v/>
      </c>
      <c r="J50" s="59" t="str">
        <f t="shared" si="15"/>
        <v/>
      </c>
      <c r="K50" s="59" t="str">
        <f t="shared" si="15"/>
        <v/>
      </c>
      <c r="L50" s="59" t="str">
        <f t="shared" si="15"/>
        <v/>
      </c>
    </row>
    <row r="51" spans="1:13" x14ac:dyDescent="0.35">
      <c r="A51" t="str">
        <f t="shared" si="12"/>
        <v/>
      </c>
      <c r="B51" s="44"/>
      <c r="C51" s="14" t="str">
        <f t="shared" si="15"/>
        <v/>
      </c>
      <c r="D51" s="14" t="str">
        <f t="shared" si="15"/>
        <v/>
      </c>
      <c r="E51" s="14" t="str">
        <f t="shared" si="15"/>
        <v/>
      </c>
      <c r="F51" s="14" t="str">
        <f t="shared" si="15"/>
        <v/>
      </c>
      <c r="G51" s="14" t="str">
        <f t="shared" si="15"/>
        <v/>
      </c>
      <c r="H51" s="14" t="str">
        <f t="shared" si="15"/>
        <v/>
      </c>
      <c r="I51" s="14" t="str">
        <f t="shared" si="15"/>
        <v/>
      </c>
      <c r="J51" s="14" t="str">
        <f t="shared" si="15"/>
        <v/>
      </c>
      <c r="K51" s="14" t="str">
        <f t="shared" si="15"/>
        <v/>
      </c>
      <c r="L51" s="14" t="str">
        <f t="shared" si="15"/>
        <v/>
      </c>
    </row>
    <row r="52" spans="1:13" x14ac:dyDescent="0.35">
      <c r="A52" s="1" t="s">
        <v>163</v>
      </c>
      <c r="B52" s="1"/>
      <c r="C52"/>
    </row>
    <row r="53" spans="1:13" x14ac:dyDescent="0.35">
      <c r="A53" t="str">
        <f>IF(A6="","","    To "&amp;A6)</f>
        <v xml:space="preserve">    To Upper Basin</v>
      </c>
      <c r="B53" s="24">
        <v>0</v>
      </c>
      <c r="C53" s="14" t="str">
        <f>IF(OR($A53="",C$25=""),"",IF(C$26&gt;$B53,$B53,C$26))</f>
        <v/>
      </c>
      <c r="D53" s="14" t="str">
        <f t="shared" ref="D53:L53" si="16">IF(OR($A53="",D$25=""),"",IF(D$26&gt;$B53,$B53,D$26))</f>
        <v/>
      </c>
      <c r="E53" s="14" t="str">
        <f t="shared" si="16"/>
        <v/>
      </c>
      <c r="F53" s="14" t="str">
        <f t="shared" si="16"/>
        <v/>
      </c>
      <c r="G53" s="14" t="str">
        <f t="shared" si="16"/>
        <v/>
      </c>
      <c r="H53" s="14" t="str">
        <f t="shared" si="16"/>
        <v/>
      </c>
      <c r="I53" s="14" t="str">
        <f t="shared" si="16"/>
        <v/>
      </c>
      <c r="J53" s="14" t="str">
        <f t="shared" si="16"/>
        <v/>
      </c>
      <c r="K53" s="14" t="str">
        <f t="shared" si="16"/>
        <v/>
      </c>
      <c r="L53" s="14" t="str">
        <f t="shared" si="16"/>
        <v/>
      </c>
    </row>
    <row r="54" spans="1:13" x14ac:dyDescent="0.35">
      <c r="A54" t="str">
        <f t="shared" ref="A54:A58" si="17">IF(A7="","","    To "&amp;A7)</f>
        <v xml:space="preserve">    To Lower Basin</v>
      </c>
      <c r="B54" s="44" t="s">
        <v>164</v>
      </c>
      <c r="C54" s="14" t="str">
        <f>IF(OR(C$25="",$A54=""),"",C$26-SUM(C55:C56))</f>
        <v/>
      </c>
      <c r="D54" s="14" t="str">
        <f t="shared" ref="D54:L54" si="18">IF(OR(D$25="",$A54=""),"",D$26-SUM(D55:D56))</f>
        <v/>
      </c>
      <c r="E54" s="14" t="str">
        <f t="shared" si="18"/>
        <v/>
      </c>
      <c r="F54" s="14" t="str">
        <f t="shared" si="18"/>
        <v/>
      </c>
      <c r="G54" s="14" t="str">
        <f t="shared" si="18"/>
        <v/>
      </c>
      <c r="H54" s="14" t="str">
        <f t="shared" si="18"/>
        <v/>
      </c>
      <c r="I54" s="14" t="str">
        <f t="shared" si="18"/>
        <v/>
      </c>
      <c r="J54" s="14" t="str">
        <f t="shared" si="18"/>
        <v/>
      </c>
      <c r="K54" s="14" t="str">
        <f t="shared" si="18"/>
        <v/>
      </c>
      <c r="L54" s="14" t="str">
        <f t="shared" si="18"/>
        <v/>
      </c>
    </row>
    <row r="55" spans="1:13" x14ac:dyDescent="0.35">
      <c r="A55" t="str">
        <f t="shared" si="17"/>
        <v xml:space="preserve">    To Mexico</v>
      </c>
      <c r="B55" s="44">
        <f>IF(C51="",0.75,C$44/2)</f>
        <v>0.75</v>
      </c>
      <c r="C55" s="14" t="str">
        <f>IF(OR(C$25="",$A55=""),"",C44/2)</f>
        <v/>
      </c>
      <c r="D55" s="14" t="str">
        <f t="shared" ref="D55:L55" si="19">IF(OR(D$25="",$A55=""),"",D44/2)</f>
        <v/>
      </c>
      <c r="E55" s="14" t="str">
        <f t="shared" si="19"/>
        <v/>
      </c>
      <c r="F55" s="14" t="str">
        <f t="shared" si="19"/>
        <v/>
      </c>
      <c r="G55" s="14" t="str">
        <f t="shared" si="19"/>
        <v/>
      </c>
      <c r="H55" s="14" t="str">
        <f t="shared" si="19"/>
        <v/>
      </c>
      <c r="I55" s="14" t="str">
        <f t="shared" si="19"/>
        <v/>
      </c>
      <c r="J55" s="14" t="str">
        <f t="shared" si="19"/>
        <v/>
      </c>
      <c r="K55" s="14" t="str">
        <f t="shared" si="19"/>
        <v/>
      </c>
      <c r="L55" s="14" t="str">
        <f t="shared" si="19"/>
        <v/>
      </c>
    </row>
    <row r="56" spans="1:13" x14ac:dyDescent="0.35">
      <c r="A56" t="str">
        <f t="shared" si="17"/>
        <v xml:space="preserve">    To Mohave &amp; Havasu Evap &amp; ET</v>
      </c>
      <c r="B56" s="44">
        <v>0.6</v>
      </c>
      <c r="C56" s="14" t="str">
        <f>IF(OR($A56="",C$25=""),"",IF(C$26&gt;$B56,$B56,C$26))</f>
        <v/>
      </c>
      <c r="D56" s="14" t="str">
        <f t="shared" ref="D56:L56" si="20">IF(OR($A56="",D$25=""),"",IF(D$26&gt;$B56,$B56,D$26))</f>
        <v/>
      </c>
      <c r="E56" s="14" t="str">
        <f t="shared" si="20"/>
        <v/>
      </c>
      <c r="F56" s="14" t="str">
        <f t="shared" si="20"/>
        <v/>
      </c>
      <c r="G56" s="14" t="str">
        <f t="shared" si="20"/>
        <v/>
      </c>
      <c r="H56" s="14" t="str">
        <f t="shared" si="20"/>
        <v/>
      </c>
      <c r="I56" s="14" t="str">
        <f t="shared" si="20"/>
        <v/>
      </c>
      <c r="J56" s="14" t="str">
        <f t="shared" si="20"/>
        <v/>
      </c>
      <c r="K56" s="14" t="str">
        <f t="shared" si="20"/>
        <v/>
      </c>
      <c r="L56" s="14" t="str">
        <f t="shared" si="20"/>
        <v/>
      </c>
    </row>
    <row r="57" spans="1:13" x14ac:dyDescent="0.35">
      <c r="A57" t="str">
        <f t="shared" si="17"/>
        <v/>
      </c>
      <c r="B57" s="61"/>
      <c r="C57" s="14" t="str">
        <f t="shared" ref="C57:L58" si="21">IF(OR($A57="",C$25=""),"",IF(C$26&gt;$B57,$B57,C$26))</f>
        <v/>
      </c>
      <c r="D57" s="14" t="str">
        <f t="shared" si="21"/>
        <v/>
      </c>
      <c r="E57" s="14" t="str">
        <f t="shared" si="21"/>
        <v/>
      </c>
      <c r="F57" s="14" t="str">
        <f t="shared" si="21"/>
        <v/>
      </c>
      <c r="G57" s="14" t="str">
        <f t="shared" si="21"/>
        <v/>
      </c>
      <c r="H57" s="14" t="str">
        <f t="shared" si="21"/>
        <v/>
      </c>
      <c r="I57" s="14" t="str">
        <f t="shared" si="21"/>
        <v/>
      </c>
      <c r="J57" s="14" t="str">
        <f t="shared" si="21"/>
        <v/>
      </c>
      <c r="K57" s="14" t="str">
        <f t="shared" si="21"/>
        <v/>
      </c>
      <c r="L57" s="14" t="str">
        <f t="shared" si="21"/>
        <v/>
      </c>
    </row>
    <row r="58" spans="1:13" x14ac:dyDescent="0.35">
      <c r="A58" t="str">
        <f t="shared" si="17"/>
        <v/>
      </c>
      <c r="B58" s="44"/>
      <c r="C58" s="14" t="str">
        <f t="shared" si="21"/>
        <v/>
      </c>
      <c r="D58" s="14" t="str">
        <f t="shared" si="21"/>
        <v/>
      </c>
      <c r="E58" s="14" t="str">
        <f t="shared" si="21"/>
        <v/>
      </c>
      <c r="F58" s="14" t="str">
        <f t="shared" si="21"/>
        <v/>
      </c>
      <c r="G58" s="14" t="str">
        <f t="shared" si="21"/>
        <v/>
      </c>
      <c r="H58" s="14" t="str">
        <f t="shared" si="21"/>
        <v/>
      </c>
      <c r="I58" s="14" t="str">
        <f t="shared" si="21"/>
        <v/>
      </c>
      <c r="J58" s="14" t="str">
        <f t="shared" si="21"/>
        <v/>
      </c>
      <c r="K58" s="14" t="str">
        <f t="shared" si="21"/>
        <v/>
      </c>
      <c r="L58" s="14" t="str">
        <f t="shared" si="21"/>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2">IF(A7="","","    "&amp;A7)</f>
        <v xml:space="preserve">    Lower Basin</v>
      </c>
      <c r="B61" s="1"/>
      <c r="C61" s="62"/>
      <c r="D61" s="62"/>
      <c r="E61" s="67"/>
      <c r="F61" s="62"/>
      <c r="G61" s="62"/>
      <c r="H61" s="62"/>
      <c r="I61" s="62"/>
      <c r="J61" s="62"/>
      <c r="K61" s="67"/>
      <c r="L61" s="62"/>
      <c r="M61" s="54">
        <f t="shared" ref="M61:M65" si="23">SUMPRODUCT(C61:L61,C$67:L$67)</f>
        <v>0</v>
      </c>
    </row>
    <row r="62" spans="1:13" x14ac:dyDescent="0.35">
      <c r="A62" t="str">
        <f t="shared" si="22"/>
        <v xml:space="preserve">    Mexico</v>
      </c>
      <c r="B62" s="1"/>
      <c r="C62" s="50"/>
      <c r="D62" s="50"/>
      <c r="E62" s="68"/>
      <c r="F62" s="50"/>
      <c r="G62" s="50"/>
      <c r="H62" s="68"/>
      <c r="I62" s="50"/>
      <c r="J62" s="50"/>
      <c r="K62" s="68"/>
      <c r="L62" s="50"/>
      <c r="M62" s="54">
        <f t="shared" si="23"/>
        <v>0</v>
      </c>
    </row>
    <row r="63" spans="1:13" x14ac:dyDescent="0.35">
      <c r="A63" t="str">
        <f t="shared" si="22"/>
        <v xml:space="preserve">    Mohave &amp; Havasu Evap &amp; ET</v>
      </c>
      <c r="B63" s="1"/>
      <c r="C63" s="50"/>
      <c r="D63" s="50"/>
      <c r="E63" s="68"/>
      <c r="F63" s="50"/>
      <c r="G63" s="50"/>
      <c r="H63" s="68"/>
      <c r="I63" s="50"/>
      <c r="J63" s="50"/>
      <c r="K63" s="68"/>
      <c r="L63" s="50"/>
      <c r="M63" s="54">
        <f t="shared" si="23"/>
        <v>0</v>
      </c>
    </row>
    <row r="64" spans="1:13" x14ac:dyDescent="0.35">
      <c r="A64" t="str">
        <f t="shared" si="22"/>
        <v/>
      </c>
      <c r="B64" s="1"/>
      <c r="C64" s="50"/>
      <c r="D64" s="50"/>
      <c r="E64" s="68"/>
      <c r="F64" s="50"/>
      <c r="G64" s="50"/>
      <c r="H64" s="68"/>
      <c r="I64" s="50"/>
      <c r="J64" s="50"/>
      <c r="K64" s="68"/>
      <c r="L64" s="50"/>
      <c r="M64" s="54">
        <f t="shared" si="23"/>
        <v>0</v>
      </c>
    </row>
    <row r="65" spans="1:21" x14ac:dyDescent="0.35">
      <c r="A65" t="str">
        <f t="shared" si="22"/>
        <v/>
      </c>
      <c r="B65" s="1"/>
      <c r="C65" s="50"/>
      <c r="D65" s="50"/>
      <c r="E65" s="50"/>
      <c r="F65" s="50"/>
      <c r="G65" s="50"/>
      <c r="H65" s="50"/>
      <c r="I65" s="50"/>
      <c r="J65" s="50"/>
      <c r="K65" s="50"/>
      <c r="L65" s="50"/>
      <c r="M65" s="54">
        <f t="shared" si="23"/>
        <v>0</v>
      </c>
    </row>
    <row r="66" spans="1:21" x14ac:dyDescent="0.35">
      <c r="A66" t="s">
        <v>159</v>
      </c>
      <c r="B66" s="1"/>
      <c r="C66" s="53" t="str">
        <f>IF(C$25&lt;&gt;"",SUM(C60:C65),"")</f>
        <v/>
      </c>
      <c r="D66" s="53" t="str">
        <f t="shared" ref="D66:L66" si="24">IF(D$25&lt;&gt;"",SUM(D60:D65),"")</f>
        <v/>
      </c>
      <c r="E66" s="53" t="str">
        <f t="shared" si="24"/>
        <v/>
      </c>
      <c r="F66" s="53" t="str">
        <f t="shared" si="24"/>
        <v/>
      </c>
      <c r="G66" s="53" t="str">
        <f t="shared" si="24"/>
        <v/>
      </c>
      <c r="H66" s="53" t="str">
        <f t="shared" si="24"/>
        <v/>
      </c>
      <c r="I66" s="53" t="str">
        <f t="shared" si="24"/>
        <v/>
      </c>
      <c r="J66" s="53" t="str">
        <f t="shared" si="24"/>
        <v/>
      </c>
      <c r="K66" s="53" t="str">
        <f t="shared" si="24"/>
        <v/>
      </c>
      <c r="L66" s="53" t="str">
        <f t="shared" si="24"/>
        <v/>
      </c>
      <c r="M66" s="34"/>
    </row>
    <row r="67" spans="1:21" x14ac:dyDescent="0.35">
      <c r="A67" t="s">
        <v>160</v>
      </c>
      <c r="B67" s="1"/>
      <c r="C67" s="31"/>
      <c r="D67" s="31"/>
      <c r="E67" s="31"/>
      <c r="F67" s="31"/>
      <c r="G67" s="31"/>
      <c r="H67" s="31"/>
      <c r="I67" s="31"/>
      <c r="J67" s="31"/>
      <c r="K67" s="31"/>
      <c r="L67" s="31"/>
    </row>
    <row r="68" spans="1:21" x14ac:dyDescent="0.35">
      <c r="A68" s="1" t="s">
        <v>186</v>
      </c>
      <c r="B68" s="1"/>
      <c r="C68"/>
    </row>
    <row r="69" spans="1:21" x14ac:dyDescent="0.35">
      <c r="A69" t="str">
        <f>IF(A6="","","    "&amp;A6)</f>
        <v xml:space="preserve">    Upper Basin</v>
      </c>
      <c r="C69" s="14" t="str">
        <f>IF(OR(C$25="",$A69=""),"",C28+C46+C53-C38-C60)</f>
        <v/>
      </c>
      <c r="D69" s="14" t="str">
        <f t="shared" ref="D69:L69" si="25">IF(OR(D$25="",$A69=""),"",D28+D46+D53-D38-D60)</f>
        <v/>
      </c>
      <c r="E69" s="14" t="str">
        <f t="shared" si="25"/>
        <v/>
      </c>
      <c r="F69" s="14" t="str">
        <f t="shared" si="25"/>
        <v/>
      </c>
      <c r="G69" s="14" t="str">
        <f t="shared" si="25"/>
        <v/>
      </c>
      <c r="H69" s="14" t="str">
        <f t="shared" si="25"/>
        <v/>
      </c>
      <c r="I69" s="14" t="str">
        <f t="shared" si="25"/>
        <v/>
      </c>
      <c r="J69" s="14" t="str">
        <f t="shared" si="25"/>
        <v/>
      </c>
      <c r="K69" s="14" t="str">
        <f t="shared" si="25"/>
        <v/>
      </c>
      <c r="L69" s="14" t="str">
        <f t="shared" si="25"/>
        <v/>
      </c>
    </row>
    <row r="70" spans="1:21" x14ac:dyDescent="0.35">
      <c r="A70" t="str">
        <f t="shared" ref="A70:A74" si="26">IF(A7="","","    "&amp;A7)</f>
        <v xml:space="preserve">    Lower Basin</v>
      </c>
      <c r="C70" s="14" t="str">
        <f t="shared" ref="C70:L74" si="27">IF(OR(C$25="",$A70=""),"",C29+C47+C54-C39-C61)</f>
        <v/>
      </c>
      <c r="D70" s="14" t="str">
        <f t="shared" si="27"/>
        <v/>
      </c>
      <c r="E70" s="14" t="str">
        <f t="shared" si="27"/>
        <v/>
      </c>
      <c r="F70" s="14" t="str">
        <f t="shared" si="27"/>
        <v/>
      </c>
      <c r="G70" s="14" t="str">
        <f t="shared" si="27"/>
        <v/>
      </c>
      <c r="H70" s="14" t="str">
        <f t="shared" si="27"/>
        <v/>
      </c>
      <c r="I70" s="14" t="str">
        <f t="shared" si="27"/>
        <v/>
      </c>
      <c r="J70" s="14" t="str">
        <f t="shared" si="27"/>
        <v/>
      </c>
      <c r="K70" s="14" t="str">
        <f t="shared" si="27"/>
        <v/>
      </c>
      <c r="L70" s="14" t="str">
        <f t="shared" si="27"/>
        <v/>
      </c>
    </row>
    <row r="71" spans="1:21" x14ac:dyDescent="0.35">
      <c r="A71" t="str">
        <f t="shared" si="26"/>
        <v xml:space="preserve">    Mexico</v>
      </c>
      <c r="C71" s="60" t="str">
        <f t="shared" si="27"/>
        <v/>
      </c>
      <c r="D71" s="14" t="str">
        <f t="shared" si="27"/>
        <v/>
      </c>
      <c r="E71" s="14" t="str">
        <f t="shared" si="27"/>
        <v/>
      </c>
      <c r="F71" s="14" t="str">
        <f t="shared" si="27"/>
        <v/>
      </c>
      <c r="G71" s="14" t="str">
        <f t="shared" si="27"/>
        <v/>
      </c>
      <c r="H71" s="14" t="str">
        <f t="shared" si="27"/>
        <v/>
      </c>
      <c r="I71" s="14" t="str">
        <f t="shared" si="27"/>
        <v/>
      </c>
      <c r="J71" s="14" t="str">
        <f t="shared" si="27"/>
        <v/>
      </c>
      <c r="K71" s="14" t="str">
        <f t="shared" si="27"/>
        <v/>
      </c>
      <c r="L71" s="14" t="str">
        <f t="shared" si="27"/>
        <v/>
      </c>
    </row>
    <row r="72" spans="1:21" x14ac:dyDescent="0.35">
      <c r="A72" t="str">
        <f t="shared" si="26"/>
        <v xml:space="preserve">    Mohave &amp; Havasu Evap &amp; ET</v>
      </c>
      <c r="C72" s="14" t="str">
        <f t="shared" si="27"/>
        <v/>
      </c>
      <c r="D72" s="14" t="str">
        <f t="shared" si="27"/>
        <v/>
      </c>
      <c r="E72" s="14" t="str">
        <f t="shared" si="27"/>
        <v/>
      </c>
      <c r="F72" s="14" t="str">
        <f t="shared" si="27"/>
        <v/>
      </c>
      <c r="G72" s="14" t="str">
        <f t="shared" si="27"/>
        <v/>
      </c>
      <c r="H72" s="14" t="str">
        <f t="shared" si="27"/>
        <v/>
      </c>
      <c r="I72" s="14" t="str">
        <f t="shared" si="27"/>
        <v/>
      </c>
      <c r="J72" s="14" t="str">
        <f t="shared" si="27"/>
        <v/>
      </c>
      <c r="K72" s="14" t="str">
        <f t="shared" si="27"/>
        <v/>
      </c>
      <c r="L72" s="14" t="str">
        <f t="shared" si="27"/>
        <v/>
      </c>
    </row>
    <row r="73" spans="1:21" x14ac:dyDescent="0.35">
      <c r="A73" t="str">
        <f t="shared" si="26"/>
        <v/>
      </c>
      <c r="C73" s="60" t="str">
        <f t="shared" si="27"/>
        <v/>
      </c>
      <c r="D73" s="60" t="str">
        <f t="shared" si="27"/>
        <v/>
      </c>
      <c r="E73" s="60" t="str">
        <f t="shared" si="27"/>
        <v/>
      </c>
      <c r="F73" s="60" t="str">
        <f t="shared" si="27"/>
        <v/>
      </c>
      <c r="G73" s="60" t="str">
        <f t="shared" si="27"/>
        <v/>
      </c>
      <c r="H73" s="60" t="str">
        <f t="shared" si="27"/>
        <v/>
      </c>
      <c r="I73" s="60" t="str">
        <f t="shared" si="27"/>
        <v/>
      </c>
      <c r="J73" s="60" t="str">
        <f t="shared" si="27"/>
        <v/>
      </c>
      <c r="K73" s="60" t="str">
        <f t="shared" si="27"/>
        <v/>
      </c>
      <c r="L73" s="60" t="str">
        <f t="shared" si="27"/>
        <v/>
      </c>
    </row>
    <row r="74" spans="1:21" x14ac:dyDescent="0.35">
      <c r="A74" t="str">
        <f t="shared" si="26"/>
        <v/>
      </c>
      <c r="C74" s="14" t="str">
        <f t="shared" si="27"/>
        <v/>
      </c>
      <c r="D74" s="14" t="str">
        <f t="shared" si="27"/>
        <v/>
      </c>
      <c r="E74" s="14" t="str">
        <f t="shared" si="27"/>
        <v/>
      </c>
      <c r="F74" s="14" t="str">
        <f t="shared" si="27"/>
        <v/>
      </c>
      <c r="G74" s="14" t="str">
        <f t="shared" si="27"/>
        <v/>
      </c>
      <c r="H74" s="14" t="str">
        <f t="shared" si="27"/>
        <v/>
      </c>
      <c r="I74" s="14" t="str">
        <f t="shared" si="27"/>
        <v/>
      </c>
      <c r="J74" s="14" t="str">
        <f t="shared" si="27"/>
        <v/>
      </c>
      <c r="K74" s="14" t="str">
        <f t="shared" si="27"/>
        <v/>
      </c>
      <c r="L74" s="14" t="str">
        <f t="shared" si="27"/>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c r="D76" s="43"/>
      <c r="E76" s="43"/>
      <c r="F76" s="43"/>
      <c r="G76" s="43"/>
      <c r="H76" s="43"/>
      <c r="I76" s="43"/>
      <c r="J76" s="43"/>
      <c r="K76" s="43"/>
      <c r="L76" s="43"/>
      <c r="N76" s="1" t="s">
        <v>129</v>
      </c>
    </row>
    <row r="77" spans="1:21" x14ac:dyDescent="0.35">
      <c r="A77" t="str">
        <f>IF(A7="","","    "&amp;A7&amp;" - Release from Mead")</f>
        <v xml:space="preserve">    Lower Basin - Release from Mead</v>
      </c>
      <c r="C77" s="43"/>
      <c r="D77" s="43"/>
      <c r="E77" s="43"/>
      <c r="F77" s="43"/>
      <c r="G77" s="43"/>
      <c r="H77" s="43"/>
      <c r="I77" s="43"/>
      <c r="J77" s="43"/>
      <c r="K77" s="43"/>
      <c r="L77" s="43"/>
      <c r="N77" s="37" t="s">
        <v>130</v>
      </c>
      <c r="O77" s="37" t="s">
        <v>131</v>
      </c>
      <c r="P77" s="38" t="s">
        <v>132</v>
      </c>
      <c r="Q77" s="38" t="s">
        <v>133</v>
      </c>
      <c r="R77" s="37" t="s">
        <v>134</v>
      </c>
      <c r="S77" s="37" t="s">
        <v>134</v>
      </c>
      <c r="T77" s="51" t="s">
        <v>157</v>
      </c>
      <c r="U77" s="51" t="s">
        <v>158</v>
      </c>
    </row>
    <row r="78" spans="1:21" x14ac:dyDescent="0.35">
      <c r="A78" t="str">
        <f t="shared" ref="A78:A81" si="28">IF(A8="","","    "&amp;A8&amp;" - Release from Mead")</f>
        <v xml:space="preserve">    Mexico - Release from Mead</v>
      </c>
      <c r="C78" s="50"/>
      <c r="D78" s="50"/>
      <c r="E78" s="50"/>
      <c r="F78" s="50"/>
      <c r="G78" s="50"/>
      <c r="H78" s="50"/>
      <c r="I78" s="50"/>
      <c r="J78" s="50"/>
      <c r="K78" s="50"/>
      <c r="L78" s="50"/>
      <c r="N78" s="39">
        <v>1025</v>
      </c>
      <c r="O78" s="40">
        <v>5.981122</v>
      </c>
      <c r="P78" s="41">
        <f>S78-Q78</f>
        <v>1.2000000000000002</v>
      </c>
      <c r="Q78" s="49">
        <v>0.15</v>
      </c>
      <c r="R78" s="41">
        <v>1.325</v>
      </c>
      <c r="S78" s="49">
        <f t="shared" ref="S78:S85" si="29">U78/1000000</f>
        <v>1.35</v>
      </c>
      <c r="T78" s="42">
        <v>0.125</v>
      </c>
      <c r="U78" s="52">
        <v>1350000</v>
      </c>
    </row>
    <row r="79" spans="1:21" x14ac:dyDescent="0.35">
      <c r="A79" t="str">
        <f t="shared" si="28"/>
        <v xml:space="preserve">    Mohave &amp; Havasu Evap &amp; ET - Release from Mead</v>
      </c>
      <c r="C79" s="43"/>
      <c r="D79" s="43"/>
      <c r="E79" s="43"/>
      <c r="F79" s="43"/>
      <c r="G79" s="43"/>
      <c r="H79" s="43"/>
      <c r="I79" s="43"/>
      <c r="J79" s="43"/>
      <c r="K79" s="43"/>
      <c r="L79" s="43"/>
      <c r="N79" s="39">
        <v>1030</v>
      </c>
      <c r="O79" s="40">
        <v>6.305377</v>
      </c>
      <c r="P79" s="41">
        <f t="shared" ref="P79:P85" si="30">S79-Q79</f>
        <v>1.117</v>
      </c>
      <c r="Q79" s="49">
        <v>0.10100000000000001</v>
      </c>
      <c r="R79" s="41">
        <v>1.1870000000000001</v>
      </c>
      <c r="S79" s="41">
        <f t="shared" si="29"/>
        <v>1.218</v>
      </c>
      <c r="T79" s="42">
        <v>7.0000000000000007E-2</v>
      </c>
      <c r="U79" s="52">
        <v>1218000</v>
      </c>
    </row>
    <row r="80" spans="1:21" x14ac:dyDescent="0.35">
      <c r="A80" t="str">
        <f t="shared" si="28"/>
        <v/>
      </c>
      <c r="C80" s="68"/>
      <c r="D80" s="68"/>
      <c r="E80" s="50" t="str">
        <f>E73</f>
        <v/>
      </c>
      <c r="F80" s="50"/>
      <c r="G80" s="50"/>
      <c r="H80" s="50" t="str">
        <f>H73</f>
        <v/>
      </c>
      <c r="I80" s="50"/>
      <c r="J80" s="50"/>
      <c r="K80" s="50" t="str">
        <f>K73</f>
        <v/>
      </c>
      <c r="L80" s="50"/>
      <c r="N80" s="39">
        <v>1035</v>
      </c>
      <c r="O80" s="40">
        <v>6.6375080000000004</v>
      </c>
      <c r="P80" s="41">
        <f t="shared" si="30"/>
        <v>1.0669999999999999</v>
      </c>
      <c r="Q80" s="49">
        <v>9.1999999999999998E-2</v>
      </c>
      <c r="R80" s="41">
        <v>1.137</v>
      </c>
      <c r="S80" s="41">
        <f t="shared" si="29"/>
        <v>1.159</v>
      </c>
      <c r="T80" s="42">
        <v>7.0000000000000007E-2</v>
      </c>
      <c r="U80" s="52">
        <v>1159000</v>
      </c>
    </row>
    <row r="81" spans="1:21" x14ac:dyDescent="0.35">
      <c r="A81" t="str">
        <f t="shared" si="28"/>
        <v/>
      </c>
      <c r="C81" s="43"/>
      <c r="D81" s="43"/>
      <c r="E81" s="43"/>
      <c r="F81" s="43"/>
      <c r="G81" s="43"/>
      <c r="H81" s="43"/>
      <c r="I81" s="43"/>
      <c r="J81" s="43"/>
      <c r="K81" s="43"/>
      <c r="L81" s="43"/>
      <c r="N81" s="39">
        <v>1040</v>
      </c>
      <c r="O81" s="40">
        <v>6.977665</v>
      </c>
      <c r="P81" s="41">
        <f t="shared" si="30"/>
        <v>1.0169999999999999</v>
      </c>
      <c r="Q81" s="49">
        <v>8.4000000000000005E-2</v>
      </c>
      <c r="R81" s="41">
        <v>1.087</v>
      </c>
      <c r="S81" s="41">
        <f t="shared" si="29"/>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0"/>
        <v>0.96699999999999997</v>
      </c>
      <c r="Q82" s="49">
        <v>7.5999999999999998E-2</v>
      </c>
      <c r="R82" s="41">
        <v>1.0369999999999999</v>
      </c>
      <c r="S82" s="41">
        <f t="shared" si="29"/>
        <v>1.0429999999999999</v>
      </c>
      <c r="T82" s="42">
        <v>7.0000000000000007E-2</v>
      </c>
      <c r="U82" s="52">
        <v>1043000</v>
      </c>
    </row>
    <row r="83" spans="1:21" x14ac:dyDescent="0.35">
      <c r="A83" t="str">
        <f>IF(A6="","","    "&amp;A6)</f>
        <v xml:space="preserve">    Upper Basin</v>
      </c>
      <c r="C83" s="14" t="str">
        <f>IF(OR(C$25="",$A83=""),"",C69-C76)</f>
        <v/>
      </c>
      <c r="D83" s="14" t="str">
        <f t="shared" ref="D83:L83" si="31">IF(OR(D$25="",$A83=""),"",D69-D76)</f>
        <v/>
      </c>
      <c r="E83" s="14" t="str">
        <f t="shared" si="31"/>
        <v/>
      </c>
      <c r="F83" s="14" t="str">
        <f t="shared" si="31"/>
        <v/>
      </c>
      <c r="G83" s="14" t="str">
        <f t="shared" si="31"/>
        <v/>
      </c>
      <c r="H83" s="14" t="str">
        <f t="shared" si="31"/>
        <v/>
      </c>
      <c r="I83" s="14" t="str">
        <f t="shared" si="31"/>
        <v/>
      </c>
      <c r="J83" s="14" t="str">
        <f t="shared" si="31"/>
        <v/>
      </c>
      <c r="K83" s="14" t="str">
        <f t="shared" si="31"/>
        <v/>
      </c>
      <c r="L83" s="14" t="str">
        <f t="shared" si="31"/>
        <v/>
      </c>
      <c r="N83" s="39">
        <v>1050</v>
      </c>
      <c r="O83" s="40">
        <v>7.6828779999999997</v>
      </c>
      <c r="P83" s="41">
        <f t="shared" si="30"/>
        <v>0.71699999999999997</v>
      </c>
      <c r="Q83" s="49">
        <v>3.4000000000000002E-2</v>
      </c>
      <c r="R83" s="41">
        <v>0.78700000000000003</v>
      </c>
      <c r="S83" s="41">
        <f t="shared" si="29"/>
        <v>0.751</v>
      </c>
      <c r="T83" s="42">
        <v>7.0000000000000007E-2</v>
      </c>
      <c r="U83" s="52">
        <v>751000</v>
      </c>
    </row>
    <row r="84" spans="1:21" x14ac:dyDescent="0.35">
      <c r="A84" t="str">
        <f t="shared" ref="A84:A88" si="32">IF(A7="","","    "&amp;A7)</f>
        <v xml:space="preserve">    Lower Basin</v>
      </c>
      <c r="C84" s="14" t="str">
        <f t="shared" ref="C84:L88" si="33">IF(OR(C$25="",$A84=""),"",C70-C77)</f>
        <v/>
      </c>
      <c r="D84" s="14" t="str">
        <f t="shared" si="33"/>
        <v/>
      </c>
      <c r="E84" s="14" t="str">
        <f t="shared" si="33"/>
        <v/>
      </c>
      <c r="F84" s="14" t="str">
        <f t="shared" si="33"/>
        <v/>
      </c>
      <c r="G84" s="14" t="str">
        <f t="shared" si="33"/>
        <v/>
      </c>
      <c r="H84" s="14" t="str">
        <f t="shared" si="33"/>
        <v/>
      </c>
      <c r="I84" s="14" t="str">
        <f t="shared" si="33"/>
        <v/>
      </c>
      <c r="J84" s="14" t="str">
        <f t="shared" si="33"/>
        <v/>
      </c>
      <c r="K84" s="14" t="str">
        <f t="shared" si="33"/>
        <v/>
      </c>
      <c r="L84" s="14" t="str">
        <f t="shared" si="33"/>
        <v/>
      </c>
      <c r="N84" s="39">
        <v>1075</v>
      </c>
      <c r="O84" s="40">
        <v>9.6009879999900001</v>
      </c>
      <c r="P84" s="41">
        <f t="shared" si="30"/>
        <v>0.63300000000000001</v>
      </c>
      <c r="Q84" s="49">
        <v>0.03</v>
      </c>
      <c r="R84" s="41">
        <v>0.68300000000000005</v>
      </c>
      <c r="S84" s="41">
        <f t="shared" si="29"/>
        <v>0.66300000000000003</v>
      </c>
      <c r="T84" s="42">
        <v>0.05</v>
      </c>
      <c r="U84" s="52">
        <v>663000</v>
      </c>
    </row>
    <row r="85" spans="1:21" x14ac:dyDescent="0.35">
      <c r="A85" t="str">
        <f t="shared" si="32"/>
        <v xml:space="preserve">    Mexico</v>
      </c>
      <c r="C85" s="14" t="str">
        <f t="shared" si="33"/>
        <v/>
      </c>
      <c r="D85" s="14" t="str">
        <f t="shared" si="33"/>
        <v/>
      </c>
      <c r="E85" s="14" t="str">
        <f t="shared" si="33"/>
        <v/>
      </c>
      <c r="F85" s="14" t="str">
        <f t="shared" si="33"/>
        <v/>
      </c>
      <c r="G85" s="14" t="str">
        <f t="shared" si="33"/>
        <v/>
      </c>
      <c r="H85" s="14" t="str">
        <f t="shared" si="33"/>
        <v/>
      </c>
      <c r="I85" s="14" t="str">
        <f t="shared" si="33"/>
        <v/>
      </c>
      <c r="J85" s="14" t="str">
        <f t="shared" si="33"/>
        <v/>
      </c>
      <c r="K85" s="14" t="str">
        <f t="shared" si="33"/>
        <v/>
      </c>
      <c r="L85" s="14" t="str">
        <f t="shared" si="33"/>
        <v/>
      </c>
      <c r="N85" s="39">
        <v>1090</v>
      </c>
      <c r="O85" s="40">
        <v>10.857008</v>
      </c>
      <c r="P85" s="41">
        <f t="shared" si="30"/>
        <v>0.30000000000000004</v>
      </c>
      <c r="Q85" s="49">
        <v>4.1000000000000002E-2</v>
      </c>
      <c r="R85" s="41">
        <v>0.3</v>
      </c>
      <c r="S85" s="41">
        <f t="shared" si="29"/>
        <v>0.34100000000000003</v>
      </c>
      <c r="T85" s="38"/>
      <c r="U85" s="52">
        <v>341000</v>
      </c>
    </row>
    <row r="86" spans="1:21" x14ac:dyDescent="0.35">
      <c r="A86" t="str">
        <f t="shared" si="32"/>
        <v xml:space="preserve">    Mohave &amp; Havasu Evap &amp; ET</v>
      </c>
      <c r="C86" s="14" t="str">
        <f t="shared" si="33"/>
        <v/>
      </c>
      <c r="D86" s="14" t="str">
        <f t="shared" si="33"/>
        <v/>
      </c>
      <c r="E86" s="14" t="str">
        <f t="shared" si="33"/>
        <v/>
      </c>
      <c r="F86" s="14" t="str">
        <f t="shared" si="33"/>
        <v/>
      </c>
      <c r="G86" s="14" t="str">
        <f t="shared" si="33"/>
        <v/>
      </c>
      <c r="H86" s="14" t="str">
        <f t="shared" si="33"/>
        <v/>
      </c>
      <c r="I86" s="14" t="str">
        <f t="shared" si="33"/>
        <v/>
      </c>
      <c r="J86" s="14" t="str">
        <f t="shared" si="33"/>
        <v/>
      </c>
      <c r="K86" s="14" t="str">
        <f t="shared" si="33"/>
        <v/>
      </c>
      <c r="L86" s="14" t="str">
        <f t="shared" si="33"/>
        <v/>
      </c>
    </row>
    <row r="87" spans="1:21" x14ac:dyDescent="0.35">
      <c r="A87" t="str">
        <f t="shared" si="32"/>
        <v/>
      </c>
      <c r="C87" s="59" t="str">
        <f>IF(OR(C$25="",$A87=""),"",C73-C80)</f>
        <v/>
      </c>
      <c r="D87" s="59" t="str">
        <f t="shared" si="33"/>
        <v/>
      </c>
      <c r="E87" s="59" t="str">
        <f t="shared" si="33"/>
        <v/>
      </c>
      <c r="F87" s="59" t="str">
        <f t="shared" si="33"/>
        <v/>
      </c>
      <c r="G87" s="59" t="str">
        <f t="shared" si="33"/>
        <v/>
      </c>
      <c r="H87" s="59" t="str">
        <f t="shared" si="33"/>
        <v/>
      </c>
      <c r="I87" s="59" t="str">
        <f t="shared" si="33"/>
        <v/>
      </c>
      <c r="J87" s="59" t="str">
        <f t="shared" si="33"/>
        <v/>
      </c>
      <c r="K87" s="59" t="str">
        <f t="shared" si="33"/>
        <v/>
      </c>
      <c r="L87" s="59" t="str">
        <f t="shared" si="33"/>
        <v/>
      </c>
    </row>
    <row r="88" spans="1:21" x14ac:dyDescent="0.35">
      <c r="A88" t="str">
        <f t="shared" si="32"/>
        <v/>
      </c>
      <c r="C88" s="14" t="str">
        <f t="shared" si="33"/>
        <v/>
      </c>
      <c r="D88" s="14" t="str">
        <f t="shared" si="33"/>
        <v/>
      </c>
      <c r="E88" s="14" t="str">
        <f t="shared" si="33"/>
        <v/>
      </c>
      <c r="F88" s="14" t="str">
        <f t="shared" si="33"/>
        <v/>
      </c>
      <c r="G88" s="14" t="str">
        <f t="shared" si="33"/>
        <v/>
      </c>
      <c r="H88" s="14" t="str">
        <f t="shared" si="33"/>
        <v/>
      </c>
      <c r="I88" s="14" t="str">
        <f t="shared" si="33"/>
        <v/>
      </c>
      <c r="J88" s="14" t="str">
        <f t="shared" si="33"/>
        <v/>
      </c>
      <c r="K88" s="14" t="str">
        <f t="shared" si="33"/>
        <v/>
      </c>
      <c r="L88" s="14" t="str">
        <f t="shared" si="33"/>
        <v/>
      </c>
    </row>
    <row r="89" spans="1:21" x14ac:dyDescent="0.35">
      <c r="A89" s="1" t="s">
        <v>125</v>
      </c>
      <c r="B89" s="1"/>
      <c r="C89" s="14" t="str">
        <f>IF(C$25&lt;&gt;"",SUM(C83:C88),"")</f>
        <v/>
      </c>
      <c r="D89" s="14" t="str">
        <f t="shared" ref="D89:L89" si="34">IF(D$25&lt;&gt;"",SUM(D83:D88),"")</f>
        <v/>
      </c>
      <c r="E89" s="14" t="str">
        <f t="shared" si="34"/>
        <v/>
      </c>
      <c r="F89" s="14" t="str">
        <f t="shared" si="34"/>
        <v/>
      </c>
      <c r="G89" s="14" t="str">
        <f t="shared" si="34"/>
        <v/>
      </c>
      <c r="H89" s="14" t="str">
        <f t="shared" si="34"/>
        <v/>
      </c>
      <c r="I89" s="14" t="str">
        <f t="shared" si="34"/>
        <v/>
      </c>
      <c r="J89" s="14" t="str">
        <f t="shared" si="34"/>
        <v/>
      </c>
      <c r="K89" s="14" t="str">
        <f t="shared" si="34"/>
        <v/>
      </c>
      <c r="L89" s="14" t="str">
        <f t="shared" si="34"/>
        <v/>
      </c>
    </row>
    <row r="90" spans="1:21" x14ac:dyDescent="0.35">
      <c r="A90" s="1" t="s">
        <v>147</v>
      </c>
      <c r="B90" s="1"/>
      <c r="C90" s="14" t="str">
        <f>IF(C25&lt;&gt;"",C35+C25-C38-C76-C89*$B$35,"")</f>
        <v/>
      </c>
      <c r="D90" s="14" t="str">
        <f t="shared" ref="D90:L90" si="35">IF(D25&lt;&gt;"",D35+D25-D38-D76-D89*$B$35,"")</f>
        <v/>
      </c>
      <c r="E90" s="14" t="str">
        <f t="shared" si="35"/>
        <v/>
      </c>
      <c r="F90" s="14" t="str">
        <f t="shared" si="35"/>
        <v/>
      </c>
      <c r="G90" s="14" t="str">
        <f t="shared" si="35"/>
        <v/>
      </c>
      <c r="H90" s="14" t="str">
        <f t="shared" si="35"/>
        <v/>
      </c>
      <c r="I90" s="14" t="str">
        <f t="shared" si="35"/>
        <v/>
      </c>
      <c r="J90" s="14" t="str">
        <f t="shared" si="35"/>
        <v/>
      </c>
      <c r="K90" s="14" t="str">
        <f t="shared" si="35"/>
        <v/>
      </c>
      <c r="L90" s="14" t="str">
        <f t="shared" si="35"/>
        <v/>
      </c>
    </row>
    <row r="92" spans="1:21" x14ac:dyDescent="0.35">
      <c r="A92" s="1" t="s">
        <v>127</v>
      </c>
      <c r="C92" s="12" t="str">
        <f>IF(C$25&lt;&gt;"",0.2,"")</f>
        <v/>
      </c>
      <c r="D92" s="12" t="str">
        <f t="shared" ref="D92:L92" si="36">IF(D$25&lt;&gt;"",0.2,"")</f>
        <v/>
      </c>
      <c r="E92" s="12" t="str">
        <f t="shared" si="36"/>
        <v/>
      </c>
      <c r="F92" s="12" t="str">
        <f t="shared" si="36"/>
        <v/>
      </c>
      <c r="G92" s="12" t="str">
        <f t="shared" si="36"/>
        <v/>
      </c>
      <c r="H92" s="12" t="str">
        <f t="shared" si="36"/>
        <v/>
      </c>
      <c r="I92" s="12" t="str">
        <f t="shared" si="36"/>
        <v/>
      </c>
      <c r="J92" s="12" t="str">
        <f t="shared" si="36"/>
        <v/>
      </c>
      <c r="K92" s="12" t="str">
        <f t="shared" si="36"/>
        <v/>
      </c>
      <c r="L92" s="12" t="str">
        <f t="shared" si="36"/>
        <v/>
      </c>
    </row>
    <row r="93" spans="1:21" x14ac:dyDescent="0.35">
      <c r="A93" t="s">
        <v>128</v>
      </c>
      <c r="C93" s="14" t="str">
        <f t="shared" ref="C93:L93" si="37">IF(C$25&lt;&gt;"",C77+C92,"")</f>
        <v/>
      </c>
      <c r="D93" s="14" t="str">
        <f t="shared" si="37"/>
        <v/>
      </c>
      <c r="E93" s="14" t="str">
        <f t="shared" si="37"/>
        <v/>
      </c>
      <c r="F93" s="14" t="str">
        <f t="shared" si="37"/>
        <v/>
      </c>
      <c r="G93" s="14" t="str">
        <f t="shared" si="37"/>
        <v/>
      </c>
      <c r="H93" s="14" t="str">
        <f t="shared" si="37"/>
        <v/>
      </c>
      <c r="I93" s="14" t="str">
        <f t="shared" si="37"/>
        <v/>
      </c>
      <c r="J93" s="14" t="str">
        <f t="shared" si="37"/>
        <v/>
      </c>
      <c r="K93" s="14" t="str">
        <f t="shared" si="37"/>
        <v/>
      </c>
      <c r="L93" s="14" t="str">
        <f t="shared" si="37"/>
        <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432" priority="60" operator="greaterThan">
      <formula>$C$69</formula>
    </cfRule>
  </conditionalFormatting>
  <conditionalFormatting sqref="C77">
    <cfRule type="cellIs" dxfId="431" priority="59" operator="greaterThan">
      <formula>$C$70</formula>
    </cfRule>
  </conditionalFormatting>
  <conditionalFormatting sqref="C78">
    <cfRule type="cellIs" dxfId="430" priority="58" operator="greaterThan">
      <formula>$C$71</formula>
    </cfRule>
  </conditionalFormatting>
  <conditionalFormatting sqref="C79">
    <cfRule type="cellIs" dxfId="429" priority="57" operator="greaterThan">
      <formula>$C$72</formula>
    </cfRule>
  </conditionalFormatting>
  <conditionalFormatting sqref="C80">
    <cfRule type="cellIs" dxfId="428" priority="56" operator="greaterThan">
      <formula>$C$73</formula>
    </cfRule>
  </conditionalFormatting>
  <conditionalFormatting sqref="C81">
    <cfRule type="cellIs" dxfId="427" priority="55" operator="greaterThan">
      <formula>$C$74</formula>
    </cfRule>
  </conditionalFormatting>
  <conditionalFormatting sqref="D76">
    <cfRule type="cellIs" dxfId="426" priority="54" operator="greaterThan">
      <formula>$D$69</formula>
    </cfRule>
  </conditionalFormatting>
  <conditionalFormatting sqref="D77">
    <cfRule type="cellIs" dxfId="425" priority="53" operator="greaterThan">
      <formula>$D$70</formula>
    </cfRule>
  </conditionalFormatting>
  <conditionalFormatting sqref="D78">
    <cfRule type="cellIs" dxfId="424" priority="52" operator="greaterThan">
      <formula>$D$71</formula>
    </cfRule>
  </conditionalFormatting>
  <conditionalFormatting sqref="D79">
    <cfRule type="cellIs" dxfId="423" priority="51" operator="greaterThan">
      <formula>$D$72</formula>
    </cfRule>
  </conditionalFormatting>
  <conditionalFormatting sqref="D80">
    <cfRule type="cellIs" dxfId="422" priority="50" operator="greaterThan">
      <formula>$D$73</formula>
    </cfRule>
  </conditionalFormatting>
  <conditionalFormatting sqref="D81">
    <cfRule type="cellIs" dxfId="421" priority="49" operator="greaterThan">
      <formula>$D$74</formula>
    </cfRule>
  </conditionalFormatting>
  <conditionalFormatting sqref="E76">
    <cfRule type="cellIs" dxfId="420" priority="48" operator="greaterThan">
      <formula>$E$69</formula>
    </cfRule>
  </conditionalFormatting>
  <conditionalFormatting sqref="E77">
    <cfRule type="cellIs" dxfId="419" priority="47" operator="greaterThan">
      <formula>$E$70</formula>
    </cfRule>
  </conditionalFormatting>
  <conditionalFormatting sqref="E78">
    <cfRule type="cellIs" dxfId="418" priority="46" operator="greaterThan">
      <formula>$E$71</formula>
    </cfRule>
  </conditionalFormatting>
  <conditionalFormatting sqref="E79">
    <cfRule type="cellIs" dxfId="417" priority="45" operator="greaterThan">
      <formula>$E$72</formula>
    </cfRule>
  </conditionalFormatting>
  <conditionalFormatting sqref="E80">
    <cfRule type="cellIs" dxfId="416" priority="44" operator="greaterThan">
      <formula>$E$73</formula>
    </cfRule>
  </conditionalFormatting>
  <conditionalFormatting sqref="E81">
    <cfRule type="cellIs" dxfId="415" priority="43" operator="greaterThan">
      <formula>$E$74</formula>
    </cfRule>
  </conditionalFormatting>
  <conditionalFormatting sqref="F76">
    <cfRule type="cellIs" dxfId="414" priority="42" operator="greaterThan">
      <formula>$F$69</formula>
    </cfRule>
  </conditionalFormatting>
  <conditionalFormatting sqref="F77">
    <cfRule type="cellIs" dxfId="413" priority="41" operator="greaterThan">
      <formula>$F$70</formula>
    </cfRule>
  </conditionalFormatting>
  <conditionalFormatting sqref="F78">
    <cfRule type="cellIs" dxfId="412" priority="40" operator="greaterThan">
      <formula>$F$71</formula>
    </cfRule>
  </conditionalFormatting>
  <conditionalFormatting sqref="F79">
    <cfRule type="cellIs" dxfId="411" priority="39" operator="greaterThan">
      <formula>$F$72</formula>
    </cfRule>
  </conditionalFormatting>
  <conditionalFormatting sqref="F80">
    <cfRule type="cellIs" dxfId="410" priority="38" operator="greaterThan">
      <formula>$F$73</formula>
    </cfRule>
  </conditionalFormatting>
  <conditionalFormatting sqref="F81">
    <cfRule type="cellIs" dxfId="409" priority="37" operator="greaterThan">
      <formula>$F$74</formula>
    </cfRule>
  </conditionalFormatting>
  <conditionalFormatting sqref="G76">
    <cfRule type="cellIs" dxfId="408" priority="36" operator="greaterThan">
      <formula>$G$69</formula>
    </cfRule>
  </conditionalFormatting>
  <conditionalFormatting sqref="G77">
    <cfRule type="cellIs" dxfId="407" priority="35" operator="greaterThan">
      <formula>$G$70</formula>
    </cfRule>
  </conditionalFormatting>
  <conditionalFormatting sqref="G78">
    <cfRule type="cellIs" dxfId="406" priority="34" operator="greaterThan">
      <formula>$G$71</formula>
    </cfRule>
  </conditionalFormatting>
  <conditionalFormatting sqref="G79">
    <cfRule type="cellIs" dxfId="405" priority="33" operator="greaterThan">
      <formula>$G$72</formula>
    </cfRule>
  </conditionalFormatting>
  <conditionalFormatting sqref="G80">
    <cfRule type="cellIs" dxfId="404" priority="32" operator="greaterThan">
      <formula>$G$73</formula>
    </cfRule>
  </conditionalFormatting>
  <conditionalFormatting sqref="G81">
    <cfRule type="cellIs" dxfId="403" priority="31" operator="greaterThan">
      <formula>$G$74</formula>
    </cfRule>
  </conditionalFormatting>
  <conditionalFormatting sqref="H76">
    <cfRule type="cellIs" dxfId="402" priority="30" operator="greaterThan">
      <formula>$H$69</formula>
    </cfRule>
  </conditionalFormatting>
  <conditionalFormatting sqref="H77">
    <cfRule type="cellIs" dxfId="401" priority="29" operator="greaterThan">
      <formula>$H$70</formula>
    </cfRule>
  </conditionalFormatting>
  <conditionalFormatting sqref="H78">
    <cfRule type="cellIs" dxfId="400" priority="28" operator="greaterThan">
      <formula>$H$71</formula>
    </cfRule>
  </conditionalFormatting>
  <conditionalFormatting sqref="H79">
    <cfRule type="cellIs" dxfId="399" priority="27" operator="greaterThan">
      <formula>$H$72</formula>
    </cfRule>
  </conditionalFormatting>
  <conditionalFormatting sqref="H80">
    <cfRule type="cellIs" dxfId="398" priority="26" operator="greaterThan">
      <formula>$H$73</formula>
    </cfRule>
  </conditionalFormatting>
  <conditionalFormatting sqref="H81">
    <cfRule type="cellIs" dxfId="397" priority="25" operator="greaterThan">
      <formula>$H$74</formula>
    </cfRule>
  </conditionalFormatting>
  <conditionalFormatting sqref="I76">
    <cfRule type="cellIs" dxfId="396" priority="24" operator="greaterThan">
      <formula>$I$69</formula>
    </cfRule>
  </conditionalFormatting>
  <conditionalFormatting sqref="I77">
    <cfRule type="cellIs" dxfId="395" priority="23" operator="greaterThan">
      <formula>$I$70</formula>
    </cfRule>
  </conditionalFormatting>
  <conditionalFormatting sqref="I78">
    <cfRule type="cellIs" dxfId="394" priority="22" operator="greaterThan">
      <formula>$I$71</formula>
    </cfRule>
  </conditionalFormatting>
  <conditionalFormatting sqref="I79">
    <cfRule type="cellIs" dxfId="393" priority="21" operator="greaterThan">
      <formula>$I$72</formula>
    </cfRule>
  </conditionalFormatting>
  <conditionalFormatting sqref="I80">
    <cfRule type="cellIs" dxfId="392" priority="20" operator="greaterThan">
      <formula>$I$73</formula>
    </cfRule>
  </conditionalFormatting>
  <conditionalFormatting sqref="I81">
    <cfRule type="cellIs" dxfId="391" priority="19" operator="greaterThan">
      <formula>$I$74</formula>
    </cfRule>
  </conditionalFormatting>
  <conditionalFormatting sqref="J76">
    <cfRule type="cellIs" dxfId="390" priority="18" operator="greaterThan">
      <formula>$J$69</formula>
    </cfRule>
  </conditionalFormatting>
  <conditionalFormatting sqref="J77">
    <cfRule type="cellIs" dxfId="389" priority="17" operator="greaterThan">
      <formula>$J$70</formula>
    </cfRule>
  </conditionalFormatting>
  <conditionalFormatting sqref="J78">
    <cfRule type="cellIs" dxfId="388" priority="16" operator="greaterThan">
      <formula>$J$71</formula>
    </cfRule>
  </conditionalFormatting>
  <conditionalFormatting sqref="J79">
    <cfRule type="cellIs" dxfId="387" priority="15" operator="greaterThan">
      <formula>$J$72</formula>
    </cfRule>
  </conditionalFormatting>
  <conditionalFormatting sqref="J80">
    <cfRule type="cellIs" dxfId="386" priority="14" operator="greaterThan">
      <formula>$J$73</formula>
    </cfRule>
  </conditionalFormatting>
  <conditionalFormatting sqref="J81">
    <cfRule type="cellIs" dxfId="385" priority="13" operator="greaterThan">
      <formula>$J$74</formula>
    </cfRule>
  </conditionalFormatting>
  <conditionalFormatting sqref="K76">
    <cfRule type="cellIs" dxfId="384" priority="12" operator="greaterThan">
      <formula>$K$69</formula>
    </cfRule>
  </conditionalFormatting>
  <conditionalFormatting sqref="K77">
    <cfRule type="cellIs" dxfId="383" priority="11" operator="greaterThan">
      <formula>$K$70</formula>
    </cfRule>
  </conditionalFormatting>
  <conditionalFormatting sqref="K78">
    <cfRule type="cellIs" dxfId="382" priority="10" operator="greaterThan">
      <formula>$K$71</formula>
    </cfRule>
  </conditionalFormatting>
  <conditionalFormatting sqref="K79">
    <cfRule type="cellIs" dxfId="381" priority="9" operator="greaterThan">
      <formula>$K$72</formula>
    </cfRule>
  </conditionalFormatting>
  <conditionalFormatting sqref="K80">
    <cfRule type="cellIs" dxfId="380" priority="8" operator="greaterThan">
      <formula>$K$73</formula>
    </cfRule>
  </conditionalFormatting>
  <conditionalFormatting sqref="K81">
    <cfRule type="cellIs" dxfId="379" priority="7" operator="greaterThan">
      <formula>$K$74</formula>
    </cfRule>
  </conditionalFormatting>
  <conditionalFormatting sqref="L76">
    <cfRule type="cellIs" dxfId="378" priority="6" operator="greaterThan">
      <formula>$L$69</formula>
    </cfRule>
  </conditionalFormatting>
  <conditionalFormatting sqref="L77">
    <cfRule type="cellIs" dxfId="377" priority="5" operator="greaterThan">
      <formula>$L$70</formula>
    </cfRule>
  </conditionalFormatting>
  <conditionalFormatting sqref="L78">
    <cfRule type="cellIs" dxfId="376" priority="4" operator="greaterThan">
      <formula>$L$71</formula>
    </cfRule>
  </conditionalFormatting>
  <conditionalFormatting sqref="L79">
    <cfRule type="cellIs" dxfId="375" priority="3" operator="greaterThan">
      <formula>$L$72</formula>
    </cfRule>
  </conditionalFormatting>
  <conditionalFormatting sqref="L80">
    <cfRule type="cellIs" dxfId="374" priority="2" operator="greaterThan">
      <formula>$L$73</formula>
    </cfRule>
  </conditionalFormatting>
  <conditionalFormatting sqref="L81">
    <cfRule type="cellIs" dxfId="373" priority="1" operator="greaterThan">
      <formula>$L$74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758D-E0DB-4065-8684-DE1058D28F26}">
  <dimension ref="A1:U95"/>
  <sheetViews>
    <sheetView topLeftCell="A57" zoomScale="150" zoomScaleNormal="150" workbookViewId="0">
      <selection activeCell="C45" sqref="C45"/>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63"/>
      <c r="I3" s="63"/>
      <c r="J3" s="63"/>
      <c r="K3" s="63"/>
    </row>
    <row r="4" spans="1:11" x14ac:dyDescent="0.35">
      <c r="A4" s="64" t="s">
        <v>39</v>
      </c>
      <c r="B4" s="64" t="s">
        <v>43</v>
      </c>
      <c r="C4" s="99" t="s">
        <v>44</v>
      </c>
      <c r="D4" s="100"/>
      <c r="E4" s="100"/>
      <c r="F4" s="100"/>
      <c r="G4" s="101"/>
    </row>
    <row r="5" spans="1:11" x14ac:dyDescent="0.35">
      <c r="A5" s="65" t="s">
        <v>52</v>
      </c>
      <c r="B5" s="65"/>
      <c r="C5" s="102"/>
      <c r="D5" s="102"/>
      <c r="E5" s="102"/>
      <c r="F5" s="102"/>
      <c r="G5" s="102"/>
    </row>
    <row r="6" spans="1:11" x14ac:dyDescent="0.35">
      <c r="A6" s="66" t="s">
        <v>40</v>
      </c>
      <c r="B6" s="66" t="s">
        <v>184</v>
      </c>
      <c r="C6" s="103" t="s">
        <v>189</v>
      </c>
      <c r="D6" s="103"/>
      <c r="E6" s="103"/>
      <c r="F6" s="103"/>
      <c r="G6" s="103"/>
    </row>
    <row r="7" spans="1:11" x14ac:dyDescent="0.35">
      <c r="A7" s="66" t="s">
        <v>41</v>
      </c>
      <c r="B7" s="66" t="s">
        <v>184</v>
      </c>
      <c r="C7" s="103" t="s">
        <v>190</v>
      </c>
      <c r="D7" s="103"/>
      <c r="E7" s="103"/>
      <c r="F7" s="103"/>
      <c r="G7" s="103"/>
    </row>
    <row r="8" spans="1:11" x14ac:dyDescent="0.35">
      <c r="A8" s="66" t="s">
        <v>42</v>
      </c>
      <c r="B8" s="66" t="s">
        <v>184</v>
      </c>
      <c r="C8" s="103" t="s">
        <v>181</v>
      </c>
      <c r="D8" s="103"/>
      <c r="E8" s="103"/>
      <c r="F8" s="103"/>
      <c r="G8" s="103"/>
    </row>
    <row r="9" spans="1:11" x14ac:dyDescent="0.35">
      <c r="A9" s="66" t="s">
        <v>165</v>
      </c>
      <c r="B9" s="66" t="s">
        <v>184</v>
      </c>
      <c r="C9" s="103" t="s">
        <v>182</v>
      </c>
      <c r="D9" s="103"/>
      <c r="E9" s="103"/>
      <c r="F9" s="103"/>
      <c r="G9" s="103"/>
    </row>
    <row r="10" spans="1:11" x14ac:dyDescent="0.35">
      <c r="A10" s="66"/>
      <c r="B10" s="66"/>
      <c r="C10" s="97"/>
      <c r="D10" s="97"/>
      <c r="E10" s="97"/>
      <c r="F10" s="97"/>
      <c r="G10" s="97"/>
    </row>
    <row r="11" spans="1:11" x14ac:dyDescent="0.35">
      <c r="A11" s="66"/>
      <c r="B11" s="66"/>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3" x14ac:dyDescent="0.35">
      <c r="A18" s="1" t="s">
        <v>54</v>
      </c>
      <c r="D18" s="20" t="s">
        <v>188</v>
      </c>
    </row>
    <row r="20" spans="1:13" x14ac:dyDescent="0.35">
      <c r="A20" s="1" t="s">
        <v>32</v>
      </c>
      <c r="B20" s="1" t="s">
        <v>112</v>
      </c>
      <c r="C20" s="13" t="s">
        <v>113</v>
      </c>
    </row>
    <row r="21" spans="1:13" x14ac:dyDescent="0.35">
      <c r="A21" t="s">
        <v>111</v>
      </c>
      <c r="B21" s="12">
        <v>5.73</v>
      </c>
      <c r="C21" s="12">
        <v>6</v>
      </c>
      <c r="D21" s="23" t="s">
        <v>114</v>
      </c>
    </row>
    <row r="22" spans="1:13" x14ac:dyDescent="0.35">
      <c r="A22" t="s">
        <v>145</v>
      </c>
      <c r="B22" s="12">
        <v>11</v>
      </c>
      <c r="C22" s="12">
        <v>10.1</v>
      </c>
      <c r="D22" s="11" t="s">
        <v>34</v>
      </c>
    </row>
    <row r="24" spans="1:13"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row>
    <row r="25" spans="1:13" x14ac:dyDescent="0.35">
      <c r="A25" s="1" t="s">
        <v>45</v>
      </c>
      <c r="B25" s="1"/>
      <c r="C25" s="45">
        <v>11</v>
      </c>
      <c r="D25" s="45">
        <f>C25</f>
        <v>11</v>
      </c>
      <c r="E25" s="45">
        <f t="shared" ref="E25:G25" si="0">D25</f>
        <v>11</v>
      </c>
      <c r="F25" s="45">
        <f t="shared" si="0"/>
        <v>11</v>
      </c>
      <c r="G25" s="45">
        <f t="shared" si="0"/>
        <v>11</v>
      </c>
      <c r="H25" s="45"/>
      <c r="I25" s="45"/>
      <c r="J25" s="45"/>
      <c r="K25" s="45"/>
      <c r="L25" s="45"/>
    </row>
    <row r="26" spans="1:13" x14ac:dyDescent="0.35">
      <c r="A26" s="1" t="s">
        <v>123</v>
      </c>
      <c r="B26" s="1"/>
      <c r="C26" s="12">
        <f>IF(C$25&lt;&gt;"",0.8,"")</f>
        <v>0.8</v>
      </c>
      <c r="D26" s="12">
        <f t="shared" ref="D26:L26" si="1">IF(D$25&lt;&gt;"",0.8,"")</f>
        <v>0.8</v>
      </c>
      <c r="E26" s="12">
        <f t="shared" si="1"/>
        <v>0.8</v>
      </c>
      <c r="F26" s="12">
        <f t="shared" si="1"/>
        <v>0.8</v>
      </c>
      <c r="G26" s="12">
        <f t="shared" si="1"/>
        <v>0.8</v>
      </c>
      <c r="H26" s="12" t="str">
        <f t="shared" si="1"/>
        <v/>
      </c>
      <c r="I26" s="12" t="str">
        <f t="shared" si="1"/>
        <v/>
      </c>
      <c r="J26" s="12" t="str">
        <f t="shared" si="1"/>
        <v/>
      </c>
      <c r="K26" s="12" t="str">
        <f t="shared" si="1"/>
        <v/>
      </c>
      <c r="L26" s="12" t="str">
        <f t="shared" si="1"/>
        <v/>
      </c>
    </row>
    <row r="27" spans="1:13" x14ac:dyDescent="0.35">
      <c r="A27" s="1" t="s">
        <v>126</v>
      </c>
      <c r="B27" s="14">
        <f>SUM(B28:B33)-SUM(B22:C22)</f>
        <v>0</v>
      </c>
      <c r="C27" s="14">
        <f>IF(C$25&lt;&gt;"",SUM(B22:C22),"")</f>
        <v>21.1</v>
      </c>
      <c r="D27" s="14">
        <f>IF(D$25&lt;&gt;"",C89,"")</f>
        <v>19.241102320000028</v>
      </c>
      <c r="E27" s="14">
        <f t="shared" ref="E27:L27" si="2">IF(E$25&lt;&gt;"",D89,"")</f>
        <v>17.8374425660006</v>
      </c>
      <c r="F27" s="14">
        <f t="shared" si="2"/>
        <v>16.776234643500025</v>
      </c>
      <c r="G27" s="14">
        <f t="shared" si="2"/>
        <v>15.948569994000025</v>
      </c>
      <c r="H27" s="14" t="str">
        <f t="shared" si="2"/>
        <v/>
      </c>
      <c r="I27" s="14" t="str">
        <f t="shared" si="2"/>
        <v/>
      </c>
      <c r="J27" s="14" t="str">
        <f t="shared" si="2"/>
        <v/>
      </c>
      <c r="K27" s="14" t="str">
        <f t="shared" si="2"/>
        <v/>
      </c>
      <c r="L27" s="14" t="str">
        <f t="shared" si="2"/>
        <v/>
      </c>
    </row>
    <row r="28" spans="1:13" x14ac:dyDescent="0.35">
      <c r="A28" t="str">
        <f>IF(A6="","","    "&amp;A6&amp;" Balance")</f>
        <v xml:space="preserve">    Upper Basin Balance</v>
      </c>
      <c r="B28" s="55">
        <f>B22</f>
        <v>11</v>
      </c>
      <c r="C28" s="14">
        <f>IF(OR(C$25="",$A28=""),"",B28)</f>
        <v>11</v>
      </c>
      <c r="D28" s="14">
        <f>IF(OR(D$25="",$A28=""),"",C83)</f>
        <v>9.0322571336493027</v>
      </c>
      <c r="E28" s="14">
        <f t="shared" ref="E28:L28" si="3">IF(OR(E$25="",$A28=""),"",D83)</f>
        <v>7.6434827441332986</v>
      </c>
      <c r="F28" s="14">
        <f t="shared" si="3"/>
        <v>6.6124524678486694</v>
      </c>
      <c r="G28" s="14">
        <f t="shared" si="3"/>
        <v>6.2263917092955738</v>
      </c>
      <c r="H28" s="14" t="str">
        <f t="shared" si="3"/>
        <v/>
      </c>
      <c r="I28" s="14" t="str">
        <f t="shared" si="3"/>
        <v/>
      </c>
      <c r="J28" s="14" t="str">
        <f t="shared" si="3"/>
        <v/>
      </c>
      <c r="K28" s="14" t="str">
        <f t="shared" si="3"/>
        <v/>
      </c>
      <c r="L28" s="14" t="str">
        <f t="shared" si="3"/>
        <v/>
      </c>
    </row>
    <row r="29" spans="1:13" x14ac:dyDescent="0.35">
      <c r="A29" t="str">
        <f t="shared" ref="A29:A33" si="4">IF(A7="","","    "&amp;A7&amp;" Balance")</f>
        <v xml:space="preserve">    Lower Basin Balance</v>
      </c>
      <c r="B29" s="55">
        <f>C22</f>
        <v>10.1</v>
      </c>
      <c r="C29" s="14">
        <f t="shared" ref="C29:C33" si="5">IF(OR(C$25="",$A29=""),"",B29)</f>
        <v>10.1</v>
      </c>
      <c r="D29" s="14">
        <f t="shared" ref="D29:L33" si="6">IF(OR(D$25="",$A29=""),"",C84)</f>
        <v>10.208845186350725</v>
      </c>
      <c r="E29" s="14">
        <f t="shared" si="6"/>
        <v>10.193959821867303</v>
      </c>
      <c r="F29" s="14">
        <f t="shared" si="6"/>
        <v>10.163782175651356</v>
      </c>
      <c r="G29" s="14">
        <f t="shared" si="6"/>
        <v>9.7221782847044516</v>
      </c>
      <c r="H29" s="14" t="str">
        <f t="shared" si="6"/>
        <v/>
      </c>
      <c r="I29" s="14" t="str">
        <f t="shared" si="6"/>
        <v/>
      </c>
      <c r="J29" s="14" t="str">
        <f t="shared" si="6"/>
        <v/>
      </c>
      <c r="K29" s="14" t="str">
        <f t="shared" si="6"/>
        <v/>
      </c>
      <c r="L29" s="14" t="str">
        <f t="shared" si="6"/>
        <v/>
      </c>
    </row>
    <row r="30" spans="1:13" x14ac:dyDescent="0.35">
      <c r="A30" t="str">
        <f t="shared" si="4"/>
        <v xml:space="preserve">    Mexico Balance</v>
      </c>
      <c r="B30" s="56">
        <v>0</v>
      </c>
      <c r="C30" s="14">
        <f t="shared" si="5"/>
        <v>0</v>
      </c>
      <c r="D30" s="14">
        <f t="shared" si="6"/>
        <v>0</v>
      </c>
      <c r="E30" s="14">
        <f t="shared" si="6"/>
        <v>0</v>
      </c>
      <c r="F30" s="14">
        <f t="shared" si="6"/>
        <v>0</v>
      </c>
      <c r="G30" s="14">
        <f t="shared" si="6"/>
        <v>0</v>
      </c>
      <c r="H30" s="14" t="str">
        <f t="shared" si="6"/>
        <v/>
      </c>
      <c r="I30" s="14" t="str">
        <f t="shared" si="6"/>
        <v/>
      </c>
      <c r="J30" s="14" t="str">
        <f t="shared" si="6"/>
        <v/>
      </c>
      <c r="K30" s="14" t="str">
        <f t="shared" si="6"/>
        <v/>
      </c>
      <c r="L30" s="14" t="str">
        <f t="shared" si="6"/>
        <v/>
      </c>
    </row>
    <row r="31" spans="1:13"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t="str">
        <f t="shared" si="6"/>
        <v/>
      </c>
      <c r="I31" s="14" t="str">
        <f t="shared" si="6"/>
        <v/>
      </c>
      <c r="J31" s="14" t="str">
        <f t="shared" si="6"/>
        <v/>
      </c>
      <c r="K31" s="14" t="str">
        <f t="shared" si="6"/>
        <v/>
      </c>
      <c r="L31" s="14" t="str">
        <f t="shared" si="6"/>
        <v/>
      </c>
    </row>
    <row r="32" spans="1:13"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9.620551160000014</v>
      </c>
      <c r="E35" s="14">
        <f t="shared" si="7"/>
        <v>8.9187212830003002</v>
      </c>
      <c r="F35" s="14">
        <f t="shared" si="7"/>
        <v>8.3881173217500127</v>
      </c>
      <c r="G35" s="14">
        <f t="shared" si="7"/>
        <v>7.9742849970000123</v>
      </c>
      <c r="H35" s="14" t="str">
        <f t="shared" si="7"/>
        <v/>
      </c>
      <c r="I35" s="14" t="str">
        <f t="shared" si="7"/>
        <v/>
      </c>
      <c r="J35" s="14" t="str">
        <f t="shared" si="7"/>
        <v/>
      </c>
      <c r="K35" s="14" t="str">
        <f t="shared" si="7"/>
        <v/>
      </c>
      <c r="L35" s="14" t="str">
        <f t="shared" si="7"/>
        <v/>
      </c>
    </row>
    <row r="36" spans="1:12" x14ac:dyDescent="0.35">
      <c r="A36" t="s">
        <v>116</v>
      </c>
      <c r="B36" s="35">
        <f>1-B35</f>
        <v>0.5</v>
      </c>
      <c r="C36" s="14">
        <f>IF(C$25&lt;&gt;"",C22,"")</f>
        <v>10.1</v>
      </c>
      <c r="D36" s="14">
        <f t="shared" si="7"/>
        <v>9.620551160000014</v>
      </c>
      <c r="E36" s="14">
        <f t="shared" si="7"/>
        <v>8.9187212830003002</v>
      </c>
      <c r="F36" s="14">
        <f t="shared" si="7"/>
        <v>8.3881173217500127</v>
      </c>
      <c r="G36" s="14">
        <f t="shared" si="7"/>
        <v>7.9742849970000123</v>
      </c>
      <c r="H36" s="14" t="str">
        <f t="shared" si="7"/>
        <v/>
      </c>
      <c r="I36" s="14" t="str">
        <f t="shared" si="7"/>
        <v/>
      </c>
      <c r="J36" s="14" t="str">
        <f t="shared" si="7"/>
        <v/>
      </c>
      <c r="K36" s="14" t="str">
        <f t="shared" si="7"/>
        <v/>
      </c>
      <c r="L36" s="14" t="str">
        <f t="shared" si="7"/>
        <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0.96665975399942705</v>
      </c>
      <c r="E37" s="14">
        <f>IF(E$25&lt;&gt;"",VLOOKUP(E35*1000000,'Powell-Elevation-Area'!$B$5:$D$689,3)*$B$21/1000000 + VLOOKUP(E36*1000000,'Mead-Elevation-Area'!$B$5:$D$676,3)*$C$21/1000000,"")</f>
        <v>0.92420792250057304</v>
      </c>
      <c r="F37" s="14">
        <f>IF(F$25&lt;&gt;"",VLOOKUP(F35*1000000,'Powell-Elevation-Area'!$B$5:$D$689,3)*$B$21/1000000 + VLOOKUP(F36*1000000,'Mead-Elevation-Area'!$B$5:$D$676,3)*$C$21/1000000,"")</f>
        <v>0.89066464949999991</v>
      </c>
      <c r="G37" s="14">
        <f>IF(G$25&lt;&gt;"",VLOOKUP(G35*1000000,'Powell-Elevation-Area'!$B$5:$D$689,3)*$B$21/1000000 + VLOOKUP(G36*1000000,'Mead-Elevation-Area'!$B$5:$D$676,3)*$C$21/1000000,"")</f>
        <v>0.86367494250117305</v>
      </c>
      <c r="H37" s="14" t="str">
        <f>IF(H$25&lt;&gt;"",VLOOKUP(H35*1000000,'Powell-Elevation-Area'!$B$5:$D$689,3)*$B$21/1000000 + VLOOKUP(H36*1000000,'Mead-Elevation-Area'!$B$5:$D$676,3)*$C$21/1000000,"")</f>
        <v/>
      </c>
      <c r="I37" s="14" t="str">
        <f>IF(I$25&lt;&gt;"",VLOOKUP(I35*1000000,'Powell-Elevation-Area'!$B$5:$D$689,3)*$B$21/1000000 + VLOOKUP(I36*1000000,'Mead-Elevation-Area'!$B$5:$D$676,3)*$C$21/1000000,"")</f>
        <v/>
      </c>
      <c r="J37" s="14" t="str">
        <f>IF(J$25&lt;&gt;"",VLOOKUP(J35*1000000,'Powell-Elevation-Area'!$B$5:$D$689,3)*$B$21/1000000 + VLOOKUP(J36*1000000,'Mead-Elevation-Area'!$B$5:$D$676,3)*$C$21/1000000,"")</f>
        <v/>
      </c>
      <c r="K37" s="14" t="str">
        <f>IF(K$25&lt;&gt;"",VLOOKUP(K35*1000000,'Powell-Elevation-Area'!$B$5:$D$689,3)*$B$21/1000000 + VLOOKUP(K36*1000000,'Mead-Elevation-Area'!$B$5:$D$676,3)*$C$21/1000000,"")</f>
        <v/>
      </c>
      <c r="L37" s="14" t="str">
        <f>IF(L$25&lt;&gt;"",VLOOKUP(L35*1000000,'Powell-Elevation-Area'!$B$5:$D$689,3)*$B$21/1000000 + VLOOKUP(L36*1000000,'Mead-Elevation-Area'!$B$5:$D$676,3)*$C$21/1000000,"")</f>
        <v/>
      </c>
    </row>
    <row r="38" spans="1:12" x14ac:dyDescent="0.35">
      <c r="A38" t="str">
        <f>IF(A6="","","    "&amp;A6&amp;" Share")</f>
        <v xml:space="preserve">    Upper Basin Share</v>
      </c>
      <c r="B38" s="1"/>
      <c r="C38" s="14">
        <f>IF(OR(C$25="",$A38=""),"",C$37*C28/C$27)</f>
        <v>0.5327428663506969</v>
      </c>
      <c r="D38" s="14">
        <f t="shared" ref="D38:L38" si="8">IF(OR(D$25="",$A38=""),"",D$37*D28/D$27)</f>
        <v>0.45377438951600524</v>
      </c>
      <c r="E38" s="14">
        <f t="shared" si="8"/>
        <v>0.39603027628462878</v>
      </c>
      <c r="F38" s="14">
        <f t="shared" si="8"/>
        <v>0.35106075855309588</v>
      </c>
      <c r="G38" s="14">
        <f t="shared" si="8"/>
        <v>0.33718248742920032</v>
      </c>
      <c r="H38" s="14" t="str">
        <f t="shared" si="8"/>
        <v/>
      </c>
      <c r="I38" s="14" t="str">
        <f t="shared" si="8"/>
        <v/>
      </c>
      <c r="J38" s="14" t="str">
        <f t="shared" si="8"/>
        <v/>
      </c>
      <c r="K38" s="14" t="str">
        <f t="shared" si="8"/>
        <v/>
      </c>
      <c r="L38" s="14" t="str">
        <f t="shared" si="8"/>
        <v/>
      </c>
    </row>
    <row r="39" spans="1:12" x14ac:dyDescent="0.35">
      <c r="A39" t="str">
        <f t="shared" ref="A39:A43" si="9">IF(A7="","","    "&amp;A7&amp;" Share")</f>
        <v xml:space="preserve">    Lower Basin Share</v>
      </c>
      <c r="B39" s="1"/>
      <c r="C39" s="14">
        <f t="shared" ref="C39:L43" si="10">IF(OR(C$25="",$A39=""),"",C$37*C29/C$27)</f>
        <v>0.48915481364927621</v>
      </c>
      <c r="D39" s="14">
        <f t="shared" si="10"/>
        <v>0.51288536448342181</v>
      </c>
      <c r="E39" s="14">
        <f t="shared" si="10"/>
        <v>0.52817764621594432</v>
      </c>
      <c r="F39" s="14">
        <f t="shared" si="10"/>
        <v>0.53960389094690397</v>
      </c>
      <c r="G39" s="14">
        <f t="shared" si="10"/>
        <v>0.52649245507197273</v>
      </c>
      <c r="H39" s="14" t="str">
        <f t="shared" si="10"/>
        <v/>
      </c>
      <c r="I39" s="14" t="str">
        <f t="shared" si="10"/>
        <v/>
      </c>
      <c r="J39" s="14" t="str">
        <f t="shared" si="10"/>
        <v/>
      </c>
      <c r="K39" s="14" t="str">
        <f t="shared" si="10"/>
        <v/>
      </c>
      <c r="L39" s="14" t="str">
        <f t="shared" si="10"/>
        <v/>
      </c>
    </row>
    <row r="40" spans="1:12" x14ac:dyDescent="0.35">
      <c r="A40" t="str">
        <f t="shared" si="9"/>
        <v xml:space="preserve">    Mexico Share</v>
      </c>
      <c r="B40" s="1"/>
      <c r="C40" s="14">
        <f t="shared" si="10"/>
        <v>0</v>
      </c>
      <c r="D40" s="14">
        <f t="shared" si="10"/>
        <v>0</v>
      </c>
      <c r="E40" s="14">
        <f t="shared" si="10"/>
        <v>0</v>
      </c>
      <c r="F40" s="14">
        <f t="shared" si="10"/>
        <v>0</v>
      </c>
      <c r="G40" s="14">
        <f t="shared" si="10"/>
        <v>0</v>
      </c>
      <c r="H40" s="14" t="str">
        <f t="shared" si="10"/>
        <v/>
      </c>
      <c r="I40" s="14" t="str">
        <f t="shared" si="10"/>
        <v/>
      </c>
      <c r="J40" s="14" t="str">
        <f t="shared" si="10"/>
        <v/>
      </c>
      <c r="K40" s="14" t="str">
        <f t="shared" si="10"/>
        <v/>
      </c>
      <c r="L40" s="14" t="str">
        <f t="shared" si="10"/>
        <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t="str">
        <f t="shared" si="10"/>
        <v/>
      </c>
      <c r="I41" s="14" t="str">
        <f t="shared" si="10"/>
        <v/>
      </c>
      <c r="J41" s="14" t="str">
        <f t="shared" si="10"/>
        <v/>
      </c>
      <c r="K41" s="14" t="str">
        <f t="shared" si="10"/>
        <v/>
      </c>
      <c r="L41" s="14" t="str">
        <f t="shared" si="10"/>
        <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1.47</v>
      </c>
      <c r="F44" s="50">
        <f t="shared" si="11"/>
        <v>1.47</v>
      </c>
      <c r="G44" s="50">
        <f t="shared" si="11"/>
        <v>1.47</v>
      </c>
      <c r="H44" s="50" t="str">
        <f t="shared" si="11"/>
        <v/>
      </c>
      <c r="I44" s="50" t="str">
        <f t="shared" si="11"/>
        <v/>
      </c>
      <c r="J44" s="50" t="str">
        <f t="shared" si="11"/>
        <v/>
      </c>
      <c r="K44" s="50" t="str">
        <f t="shared" si="11"/>
        <v/>
      </c>
      <c r="L44" s="50" t="str">
        <f t="shared" si="11"/>
        <v/>
      </c>
    </row>
    <row r="45" spans="1:12" x14ac:dyDescent="0.35">
      <c r="A45" s="1" t="s">
        <v>162</v>
      </c>
      <c r="B45" s="1"/>
      <c r="C45" s="46"/>
    </row>
    <row r="46" spans="1:12" x14ac:dyDescent="0.35">
      <c r="A46" t="str">
        <f>IF(A6="","","    To "&amp;A6)</f>
        <v xml:space="preserve">    To Upper Basin</v>
      </c>
      <c r="B46" s="24" t="s">
        <v>164</v>
      </c>
      <c r="C46" s="14">
        <f>IF(OR(C$25="",$A4=""),"",MAX(0,C$25-SUM(C47:C48)))</f>
        <v>2.7650000000000006</v>
      </c>
      <c r="D46" s="14">
        <f t="shared" ref="D46:L46" si="12">IF(OR(D$25="",$A4=""),"",MAX(0,D$25-SUM(D47:D48)))</f>
        <v>2.7650000000000006</v>
      </c>
      <c r="E46" s="14">
        <f t="shared" si="12"/>
        <v>2.7650000000000006</v>
      </c>
      <c r="F46" s="14">
        <f t="shared" si="12"/>
        <v>2.7650000000000006</v>
      </c>
      <c r="G46" s="14">
        <f t="shared" si="12"/>
        <v>2.7650000000000006</v>
      </c>
      <c r="H46" s="14" t="str">
        <f t="shared" si="12"/>
        <v/>
      </c>
      <c r="I46" s="14" t="str">
        <f t="shared" si="12"/>
        <v/>
      </c>
      <c r="J46" s="14" t="str">
        <f t="shared" si="12"/>
        <v/>
      </c>
      <c r="K46" s="14" t="str">
        <f t="shared" si="12"/>
        <v/>
      </c>
      <c r="L46" s="14" t="str">
        <f t="shared" si="12"/>
        <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t="str">
        <f t="shared" si="14"/>
        <v/>
      </c>
      <c r="I47" s="14" t="str">
        <f t="shared" si="14"/>
        <v/>
      </c>
      <c r="J47" s="14" t="str">
        <f t="shared" si="14"/>
        <v/>
      </c>
      <c r="K47" s="14" t="str">
        <f t="shared" si="14"/>
        <v/>
      </c>
      <c r="L47" s="14" t="str">
        <f t="shared" si="14"/>
        <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t="str">
        <f t="shared" si="15"/>
        <v/>
      </c>
      <c r="I48" s="14" t="str">
        <f t="shared" si="15"/>
        <v/>
      </c>
      <c r="J48" s="14" t="str">
        <f t="shared" si="15"/>
        <v/>
      </c>
      <c r="K48" s="14" t="str">
        <f t="shared" si="15"/>
        <v/>
      </c>
      <c r="L48" s="14" t="str">
        <f t="shared" si="15"/>
        <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t="str">
        <f t="shared" si="16"/>
        <v/>
      </c>
      <c r="I49" s="14" t="str">
        <f t="shared" si="16"/>
        <v/>
      </c>
      <c r="J49" s="14" t="str">
        <f t="shared" si="16"/>
        <v/>
      </c>
      <c r="K49" s="14" t="str">
        <f t="shared" si="16"/>
        <v/>
      </c>
      <c r="L49" s="14" t="str">
        <f t="shared" si="16"/>
        <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t="str">
        <f t="shared" si="17"/>
        <v/>
      </c>
      <c r="I53" s="14" t="str">
        <f t="shared" si="17"/>
        <v/>
      </c>
      <c r="J53" s="14" t="str">
        <f t="shared" si="17"/>
        <v/>
      </c>
      <c r="K53" s="14" t="str">
        <f t="shared" si="17"/>
        <v/>
      </c>
      <c r="L53" s="14" t="str">
        <f t="shared" si="17"/>
        <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-0.53499999999999992</v>
      </c>
      <c r="F54" s="14">
        <f t="shared" si="19"/>
        <v>-0.53499999999999992</v>
      </c>
      <c r="G54" s="14">
        <f t="shared" si="19"/>
        <v>-0.53499999999999992</v>
      </c>
      <c r="H54" s="14" t="str">
        <f t="shared" si="19"/>
        <v/>
      </c>
      <c r="I54" s="14" t="str">
        <f t="shared" si="19"/>
        <v/>
      </c>
      <c r="J54" s="14" t="str">
        <f t="shared" si="19"/>
        <v/>
      </c>
      <c r="K54" s="14" t="str">
        <f t="shared" si="19"/>
        <v/>
      </c>
      <c r="L54" s="14" t="str">
        <f t="shared" si="19"/>
        <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0.73499999999999999</v>
      </c>
      <c r="F55" s="14">
        <f t="shared" si="20"/>
        <v>0.73499999999999999</v>
      </c>
      <c r="G55" s="14">
        <f t="shared" si="20"/>
        <v>0.73499999999999999</v>
      </c>
      <c r="H55" s="14" t="str">
        <f t="shared" si="20"/>
        <v/>
      </c>
      <c r="I55" s="14" t="str">
        <f t="shared" si="20"/>
        <v/>
      </c>
      <c r="J55" s="14" t="str">
        <f t="shared" si="20"/>
        <v/>
      </c>
      <c r="K55" s="14" t="str">
        <f t="shared" si="20"/>
        <v/>
      </c>
      <c r="L55" s="14" t="str">
        <f t="shared" si="20"/>
        <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t="str">
        <f t="shared" si="21"/>
        <v/>
      </c>
      <c r="I56" s="14" t="str">
        <f t="shared" si="21"/>
        <v/>
      </c>
      <c r="J56" s="14" t="str">
        <f t="shared" si="21"/>
        <v/>
      </c>
      <c r="K56" s="14" t="str">
        <f t="shared" si="21"/>
        <v/>
      </c>
      <c r="L56" s="14" t="str">
        <f t="shared" si="21"/>
        <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25">
        <v>0.5</v>
      </c>
      <c r="D60" s="25">
        <v>0.4</v>
      </c>
      <c r="E60" s="25">
        <v>0.4</v>
      </c>
      <c r="F60" s="50"/>
      <c r="G60" s="50"/>
      <c r="H60" s="50"/>
      <c r="I60" s="50"/>
      <c r="J60" s="50"/>
      <c r="K60" s="50"/>
      <c r="L60" s="50"/>
      <c r="M60" s="54">
        <f>SUMPRODUCT(C60:L60,C$67:L$67)</f>
        <v>455</v>
      </c>
    </row>
    <row r="61" spans="1:13" x14ac:dyDescent="0.35">
      <c r="A61" t="str">
        <f t="shared" ref="A61:A65" si="23">IF(A7="","","    "&amp;A7)</f>
        <v xml:space="preserve">    Lower Basin</v>
      </c>
      <c r="B61" s="1"/>
      <c r="C61" s="70">
        <f>-C60</f>
        <v>-0.5</v>
      </c>
      <c r="D61" s="70">
        <f t="shared" ref="D61:E61" si="24">-D60</f>
        <v>-0.4</v>
      </c>
      <c r="E61" s="70">
        <f t="shared" si="24"/>
        <v>-0.4</v>
      </c>
      <c r="F61" s="62"/>
      <c r="G61" s="62"/>
      <c r="H61" s="62"/>
      <c r="I61" s="62"/>
      <c r="J61" s="62"/>
      <c r="K61" s="67"/>
      <c r="L61" s="62"/>
      <c r="M61" s="54">
        <f t="shared" ref="M61:M65" si="25">SUMPRODUCT(C61:L61,C$67:L$67)</f>
        <v>-455</v>
      </c>
    </row>
    <row r="62" spans="1:13" x14ac:dyDescent="0.35">
      <c r="A62" t="str">
        <f t="shared" si="23"/>
        <v xml:space="preserve">    Mexico</v>
      </c>
      <c r="B62" s="1"/>
      <c r="C62" s="50"/>
      <c r="D62" s="50"/>
      <c r="E62" s="68"/>
      <c r="F62" s="50"/>
      <c r="G62" s="50"/>
      <c r="H62" s="68"/>
      <c r="I62" s="50"/>
      <c r="J62" s="50"/>
      <c r="K62" s="68"/>
      <c r="L62" s="50"/>
      <c r="M62" s="54">
        <f t="shared" si="25"/>
        <v>0</v>
      </c>
    </row>
    <row r="63" spans="1:13" x14ac:dyDescent="0.35">
      <c r="A63" t="str">
        <f t="shared" si="23"/>
        <v xml:space="preserve">    Mohave &amp; Havasu Evap &amp; ET</v>
      </c>
      <c r="B63" s="1"/>
      <c r="C63" s="50"/>
      <c r="D63" s="50"/>
      <c r="E63" s="68"/>
      <c r="F63" s="50"/>
      <c r="G63" s="50"/>
      <c r="H63" s="68"/>
      <c r="I63" s="50"/>
      <c r="J63" s="50"/>
      <c r="K63" s="68"/>
      <c r="L63" s="50"/>
      <c r="M63" s="54">
        <f t="shared" si="25"/>
        <v>0</v>
      </c>
    </row>
    <row r="64" spans="1:13" x14ac:dyDescent="0.35">
      <c r="A64" t="str">
        <f t="shared" si="23"/>
        <v/>
      </c>
      <c r="B64" s="1"/>
      <c r="C64" s="50"/>
      <c r="D64" s="50"/>
      <c r="E64" s="68"/>
      <c r="F64" s="50"/>
      <c r="G64" s="50"/>
      <c r="H64" s="68"/>
      <c r="I64" s="50"/>
      <c r="J64" s="50"/>
      <c r="K64" s="68"/>
      <c r="L64" s="50"/>
      <c r="M64" s="54">
        <f t="shared" si="25"/>
        <v>0</v>
      </c>
    </row>
    <row r="65" spans="1:21" x14ac:dyDescent="0.35">
      <c r="A65" t="str">
        <f t="shared" si="23"/>
        <v/>
      </c>
      <c r="B65" s="1"/>
      <c r="C65" s="50"/>
      <c r="D65" s="50"/>
      <c r="E65" s="50"/>
      <c r="F65" s="50"/>
      <c r="G65" s="50"/>
      <c r="H65" s="50"/>
      <c r="I65" s="50"/>
      <c r="J65" s="50"/>
      <c r="K65" s="50"/>
      <c r="L65" s="50"/>
      <c r="M65" s="54">
        <f t="shared" si="25"/>
        <v>0</v>
      </c>
    </row>
    <row r="66" spans="1:21" x14ac:dyDescent="0.35">
      <c r="A66" t="s">
        <v>159</v>
      </c>
      <c r="B66" s="1"/>
      <c r="C66" s="53">
        <f>IF(C$25&lt;&gt;"",SUM(C60:C65),"")</f>
        <v>0</v>
      </c>
      <c r="D66" s="53">
        <f t="shared" ref="D66:L66" si="26">IF(D$25&lt;&gt;"",SUM(D60:D65),"")</f>
        <v>0</v>
      </c>
      <c r="E66" s="53">
        <f t="shared" si="26"/>
        <v>0</v>
      </c>
      <c r="F66" s="53">
        <f t="shared" si="26"/>
        <v>0</v>
      </c>
      <c r="G66" s="53">
        <f t="shared" si="26"/>
        <v>0</v>
      </c>
      <c r="H66" s="53" t="str">
        <f t="shared" si="26"/>
        <v/>
      </c>
      <c r="I66" s="53" t="str">
        <f t="shared" si="26"/>
        <v/>
      </c>
      <c r="J66" s="53" t="str">
        <f t="shared" si="26"/>
        <v/>
      </c>
      <c r="K66" s="53" t="str">
        <f t="shared" si="26"/>
        <v/>
      </c>
      <c r="L66" s="53" t="str">
        <f t="shared" si="26"/>
        <v/>
      </c>
      <c r="M66" s="34"/>
    </row>
    <row r="67" spans="1:21" x14ac:dyDescent="0.35">
      <c r="A67" t="s">
        <v>160</v>
      </c>
      <c r="B67" s="1"/>
      <c r="C67" s="31">
        <v>350</v>
      </c>
      <c r="D67" s="31">
        <v>350</v>
      </c>
      <c r="E67" s="31">
        <v>350</v>
      </c>
      <c r="F67" s="31"/>
      <c r="G67" s="31"/>
      <c r="H67" s="31"/>
      <c r="I67" s="31"/>
      <c r="J67" s="31"/>
      <c r="K67" s="31"/>
      <c r="L67" s="31"/>
    </row>
    <row r="68" spans="1:21" x14ac:dyDescent="0.35">
      <c r="A68" s="1" t="s">
        <v>186</v>
      </c>
      <c r="B68" s="1"/>
      <c r="C68"/>
    </row>
    <row r="69" spans="1:21" x14ac:dyDescent="0.35">
      <c r="A69" t="str">
        <f>IF(A6="","","    "&amp;A6)</f>
        <v xml:space="preserve">    Upper Basin</v>
      </c>
      <c r="C69" s="14">
        <f>IF(OR(C$25="",$A69=""),"",C28+C46+C53-C38-C60)</f>
        <v>12.732257133649304</v>
      </c>
      <c r="D69" s="14">
        <f t="shared" ref="D69:L69" si="27">IF(OR(D$25="",$A69=""),"",D28+D46+D53-D38-D60)</f>
        <v>10.943482744133298</v>
      </c>
      <c r="E69" s="14">
        <f t="shared" si="27"/>
        <v>9.6124524678486694</v>
      </c>
      <c r="F69" s="14">
        <f t="shared" si="27"/>
        <v>9.0263917092955737</v>
      </c>
      <c r="G69" s="14">
        <f t="shared" si="27"/>
        <v>8.654209221866374</v>
      </c>
      <c r="H69" s="14" t="str">
        <f t="shared" si="27"/>
        <v/>
      </c>
      <c r="I69" s="14" t="str">
        <f t="shared" si="27"/>
        <v/>
      </c>
      <c r="J69" s="14" t="str">
        <f t="shared" si="27"/>
        <v/>
      </c>
      <c r="K69" s="14" t="str">
        <f t="shared" si="27"/>
        <v/>
      </c>
      <c r="L69" s="14" t="str">
        <f t="shared" si="27"/>
        <v/>
      </c>
    </row>
    <row r="70" spans="1:21" x14ac:dyDescent="0.35">
      <c r="A70" t="str">
        <f t="shared" ref="A70:A74" si="28">IF(A7="","","    "&amp;A7)</f>
        <v xml:space="preserve">    Lower Basin</v>
      </c>
      <c r="C70" s="14">
        <f t="shared" ref="C70:L74" si="29">IF(OR(C$25="",$A70=""),"",C29+C47+C54-C39-C61)</f>
        <v>17.075845186350726</v>
      </c>
      <c r="D70" s="14">
        <f t="shared" si="29"/>
        <v>17.060959821867304</v>
      </c>
      <c r="E70" s="14">
        <f t="shared" si="29"/>
        <v>17.030782175651357</v>
      </c>
      <c r="F70" s="14">
        <f t="shared" si="29"/>
        <v>16.589178284704452</v>
      </c>
      <c r="G70" s="14">
        <f t="shared" si="29"/>
        <v>16.160685829632477</v>
      </c>
      <c r="H70" s="14" t="str">
        <f t="shared" si="29"/>
        <v/>
      </c>
      <c r="I70" s="14" t="str">
        <f t="shared" si="29"/>
        <v/>
      </c>
      <c r="J70" s="14" t="str">
        <f t="shared" si="29"/>
        <v/>
      </c>
      <c r="K70" s="14" t="str">
        <f t="shared" si="29"/>
        <v/>
      </c>
      <c r="L70" s="14" t="str">
        <f t="shared" si="29"/>
        <v/>
      </c>
    </row>
    <row r="71" spans="1:21" x14ac:dyDescent="0.35">
      <c r="A71" t="str">
        <f t="shared" si="28"/>
        <v xml:space="preserve">    Mexico</v>
      </c>
      <c r="C71" s="60">
        <f t="shared" si="29"/>
        <v>1.47</v>
      </c>
      <c r="D71" s="14">
        <f t="shared" si="29"/>
        <v>1.47</v>
      </c>
      <c r="E71" s="14">
        <f t="shared" si="29"/>
        <v>1.47</v>
      </c>
      <c r="F71" s="14">
        <f t="shared" si="29"/>
        <v>1.47</v>
      </c>
      <c r="G71" s="14">
        <f t="shared" si="29"/>
        <v>1.47</v>
      </c>
      <c r="H71" s="14" t="str">
        <f t="shared" si="29"/>
        <v/>
      </c>
      <c r="I71" s="14" t="str">
        <f t="shared" si="29"/>
        <v/>
      </c>
      <c r="J71" s="14" t="str">
        <f t="shared" si="29"/>
        <v/>
      </c>
      <c r="K71" s="14" t="str">
        <f t="shared" si="29"/>
        <v/>
      </c>
      <c r="L71" s="14" t="str">
        <f t="shared" si="29"/>
        <v/>
      </c>
    </row>
    <row r="72" spans="1:21" x14ac:dyDescent="0.35">
      <c r="A72" t="str">
        <f t="shared" si="28"/>
        <v xml:space="preserve">    Mohave &amp; Havasu Evap &amp; ET</v>
      </c>
      <c r="C72" s="14">
        <f t="shared" si="29"/>
        <v>0.6</v>
      </c>
      <c r="D72" s="14">
        <f t="shared" si="29"/>
        <v>0.6</v>
      </c>
      <c r="E72" s="14">
        <f t="shared" si="29"/>
        <v>0.6</v>
      </c>
      <c r="F72" s="14">
        <f t="shared" si="29"/>
        <v>0.6</v>
      </c>
      <c r="G72" s="14">
        <f t="shared" si="29"/>
        <v>0.6</v>
      </c>
      <c r="H72" s="14" t="str">
        <f t="shared" si="29"/>
        <v/>
      </c>
      <c r="I72" s="14" t="str">
        <f t="shared" si="29"/>
        <v/>
      </c>
      <c r="J72" s="14" t="str">
        <f t="shared" si="29"/>
        <v/>
      </c>
      <c r="K72" s="14" t="str">
        <f t="shared" si="29"/>
        <v/>
      </c>
      <c r="L72" s="14" t="str">
        <f t="shared" si="29"/>
        <v/>
      </c>
    </row>
    <row r="73" spans="1:21" x14ac:dyDescent="0.35">
      <c r="A73" t="str">
        <f t="shared" si="28"/>
        <v/>
      </c>
      <c r="C73" s="60" t="str">
        <f t="shared" si="29"/>
        <v/>
      </c>
      <c r="D73" s="60" t="str">
        <f t="shared" si="29"/>
        <v/>
      </c>
      <c r="E73" s="60" t="str">
        <f t="shared" si="29"/>
        <v/>
      </c>
      <c r="F73" s="60" t="str">
        <f t="shared" si="29"/>
        <v/>
      </c>
      <c r="G73" s="60" t="str">
        <f t="shared" si="29"/>
        <v/>
      </c>
      <c r="H73" s="60" t="str">
        <f t="shared" si="29"/>
        <v/>
      </c>
      <c r="I73" s="60" t="str">
        <f t="shared" si="29"/>
        <v/>
      </c>
      <c r="J73" s="60" t="str">
        <f t="shared" si="29"/>
        <v/>
      </c>
      <c r="K73" s="60" t="str">
        <f t="shared" si="29"/>
        <v/>
      </c>
      <c r="L73" s="60" t="str">
        <f t="shared" si="29"/>
        <v/>
      </c>
    </row>
    <row r="74" spans="1:21" x14ac:dyDescent="0.35">
      <c r="A74" t="str">
        <f t="shared" si="28"/>
        <v/>
      </c>
      <c r="C74" s="14" t="str">
        <f t="shared" si="29"/>
        <v/>
      </c>
      <c r="D74" s="14" t="str">
        <f t="shared" si="29"/>
        <v/>
      </c>
      <c r="E74" s="14" t="str">
        <f t="shared" si="29"/>
        <v/>
      </c>
      <c r="F74" s="14" t="str">
        <f t="shared" si="29"/>
        <v/>
      </c>
      <c r="G74" s="14" t="str">
        <f t="shared" si="29"/>
        <v/>
      </c>
      <c r="H74" s="14" t="str">
        <f t="shared" si="29"/>
        <v/>
      </c>
      <c r="I74" s="14" t="str">
        <f t="shared" si="29"/>
        <v/>
      </c>
      <c r="J74" s="14" t="str">
        <f t="shared" si="29"/>
        <v/>
      </c>
      <c r="K74" s="14" t="str">
        <f t="shared" si="29"/>
        <v/>
      </c>
      <c r="L74" s="14" t="str">
        <f t="shared" si="29"/>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v>3.7</v>
      </c>
      <c r="D76" s="43">
        <v>3.3</v>
      </c>
      <c r="E76" s="43">
        <v>3</v>
      </c>
      <c r="F76" s="43">
        <v>2.8</v>
      </c>
      <c r="G76" s="43">
        <v>2.8</v>
      </c>
      <c r="H76" s="43"/>
      <c r="I76" s="43"/>
      <c r="J76" s="43"/>
      <c r="K76" s="43"/>
      <c r="L76" s="43"/>
      <c r="N76" s="1" t="s">
        <v>129</v>
      </c>
    </row>
    <row r="77" spans="1:21" x14ac:dyDescent="0.35">
      <c r="A77" t="str">
        <f>IF(A7="","","    "&amp;A7&amp;" - Release from Mead")</f>
        <v xml:space="preserve">    Lower Basin - Release from Mead</v>
      </c>
      <c r="C77" s="43">
        <f>7.5-IF(C$29&lt;$O$78,$P$78,IF(C$29&lt;=$O$85,VLOOKUP(C$29,$O$78:$P$85,2),0))</f>
        <v>6.867</v>
      </c>
      <c r="D77" s="43">
        <f t="shared" ref="D77:G77" si="30">7.5-IF(D$29&lt;$O$78,$P$78,IF(D$29&lt;=$O$85,VLOOKUP(D$29,$O$78:$P$85,2),0))</f>
        <v>6.867</v>
      </c>
      <c r="E77" s="43">
        <f t="shared" si="30"/>
        <v>6.867</v>
      </c>
      <c r="F77" s="43">
        <f t="shared" si="30"/>
        <v>6.867</v>
      </c>
      <c r="G77" s="43">
        <f t="shared" si="30"/>
        <v>6.867</v>
      </c>
      <c r="H77" s="43"/>
      <c r="I77" s="43"/>
      <c r="J77" s="43"/>
      <c r="K77" s="43"/>
      <c r="L77" s="43"/>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C71</f>
        <v>1.47</v>
      </c>
      <c r="D78" s="50">
        <f>D71</f>
        <v>1.47</v>
      </c>
      <c r="E78" s="50">
        <f>E71</f>
        <v>1.47</v>
      </c>
      <c r="F78" s="50">
        <f>F71</f>
        <v>1.47</v>
      </c>
      <c r="G78" s="50">
        <f>G71</f>
        <v>1.47</v>
      </c>
      <c r="H78" s="50"/>
      <c r="I78" s="50"/>
      <c r="J78" s="50"/>
      <c r="K78" s="50"/>
      <c r="L78" s="50"/>
      <c r="N78" s="39">
        <v>1025</v>
      </c>
      <c r="O78" s="40">
        <v>5.981122</v>
      </c>
      <c r="P78" s="41">
        <f>S78-Q78</f>
        <v>1.2000000000000002</v>
      </c>
      <c r="Q78" s="49">
        <v>0.15</v>
      </c>
      <c r="R78" s="41">
        <v>1.325</v>
      </c>
      <c r="S78" s="41">
        <f t="shared" ref="S78:S85" si="32">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c r="I79" s="43"/>
      <c r="J79" s="43"/>
      <c r="K79" s="43"/>
      <c r="L79" s="43"/>
      <c r="N79" s="39">
        <v>1030</v>
      </c>
      <c r="O79" s="40">
        <v>6.305377</v>
      </c>
      <c r="P79" s="41">
        <f t="shared" ref="P79:P85" si="33">S79-Q79</f>
        <v>1.117</v>
      </c>
      <c r="Q79" s="49">
        <v>0.10100000000000001</v>
      </c>
      <c r="R79" s="41">
        <v>1.1870000000000001</v>
      </c>
      <c r="S79" s="41">
        <f t="shared" si="32"/>
        <v>1.218</v>
      </c>
      <c r="T79" s="42">
        <v>7.0000000000000007E-2</v>
      </c>
      <c r="U79" s="52">
        <v>1218000</v>
      </c>
    </row>
    <row r="80" spans="1:21" x14ac:dyDescent="0.35">
      <c r="A80" t="str">
        <f t="shared" si="31"/>
        <v/>
      </c>
      <c r="C80" s="68"/>
      <c r="D80" s="68"/>
      <c r="E80" s="50" t="str">
        <f>E73</f>
        <v/>
      </c>
      <c r="F80" s="50"/>
      <c r="G80" s="50"/>
      <c r="H80" s="50" t="str">
        <f>H73</f>
        <v/>
      </c>
      <c r="I80" s="50"/>
      <c r="J80" s="50"/>
      <c r="K80" s="50" t="str">
        <f>K73</f>
        <v/>
      </c>
      <c r="L80" s="50"/>
      <c r="N80" s="39">
        <v>1035</v>
      </c>
      <c r="O80" s="40">
        <v>6.6375080000000004</v>
      </c>
      <c r="P80" s="41">
        <f t="shared" si="33"/>
        <v>1.0669999999999999</v>
      </c>
      <c r="Q80" s="49">
        <v>9.1999999999999998E-2</v>
      </c>
      <c r="R80" s="41">
        <v>1.137</v>
      </c>
      <c r="S80" s="41">
        <f t="shared" si="32"/>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3"/>
        <v>1.0169999999999999</v>
      </c>
      <c r="Q81" s="49">
        <v>8.4000000000000005E-2</v>
      </c>
      <c r="R81" s="41">
        <v>1.087</v>
      </c>
      <c r="S81" s="41">
        <f t="shared" si="32"/>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3"/>
        <v>0.96699999999999997</v>
      </c>
      <c r="Q82" s="49">
        <v>7.5999999999999998E-2</v>
      </c>
      <c r="R82" s="41">
        <v>1.0369999999999999</v>
      </c>
      <c r="S82" s="41">
        <f t="shared" si="32"/>
        <v>1.0429999999999999</v>
      </c>
      <c r="T82" s="42">
        <v>7.0000000000000007E-2</v>
      </c>
      <c r="U82" s="52">
        <v>1043000</v>
      </c>
    </row>
    <row r="83" spans="1:21" x14ac:dyDescent="0.35">
      <c r="A83" t="str">
        <f>IF(A6="","","    "&amp;A6)</f>
        <v xml:space="preserve">    Upper Basin</v>
      </c>
      <c r="C83" s="14">
        <f>IF(OR(C$25="",$A83=""),"",C69-C76)</f>
        <v>9.0322571336493027</v>
      </c>
      <c r="D83" s="14">
        <f t="shared" ref="D83:L83" si="34">IF(OR(D$25="",$A83=""),"",D69-D76)</f>
        <v>7.6434827441332986</v>
      </c>
      <c r="E83" s="14">
        <f t="shared" si="34"/>
        <v>6.6124524678486694</v>
      </c>
      <c r="F83" s="14">
        <f t="shared" si="34"/>
        <v>6.2263917092955738</v>
      </c>
      <c r="G83" s="14">
        <f t="shared" si="34"/>
        <v>5.8542092218663742</v>
      </c>
      <c r="H83" s="14" t="str">
        <f t="shared" si="34"/>
        <v/>
      </c>
      <c r="I83" s="14" t="str">
        <f t="shared" si="34"/>
        <v/>
      </c>
      <c r="J83" s="14" t="str">
        <f t="shared" si="34"/>
        <v/>
      </c>
      <c r="K83" s="14" t="str">
        <f t="shared" si="34"/>
        <v/>
      </c>
      <c r="L83" s="14" t="str">
        <f t="shared" si="34"/>
        <v/>
      </c>
      <c r="N83" s="39">
        <v>1050</v>
      </c>
      <c r="O83" s="40">
        <v>7.6828779999999997</v>
      </c>
      <c r="P83" s="41">
        <f t="shared" si="33"/>
        <v>0.71699999999999997</v>
      </c>
      <c r="Q83" s="49">
        <v>3.4000000000000002E-2</v>
      </c>
      <c r="R83" s="41">
        <v>0.78700000000000003</v>
      </c>
      <c r="S83" s="41">
        <f t="shared" si="32"/>
        <v>0.751</v>
      </c>
      <c r="T83" s="42">
        <v>7.0000000000000007E-2</v>
      </c>
      <c r="U83" s="52">
        <v>751000</v>
      </c>
    </row>
    <row r="84" spans="1:21" x14ac:dyDescent="0.35">
      <c r="A84" t="str">
        <f t="shared" ref="A84:A88" si="35">IF(A7="","","    "&amp;A7)</f>
        <v xml:space="preserve">    Lower Basin</v>
      </c>
      <c r="C84" s="14">
        <f t="shared" ref="C84:L88" si="36">IF(OR(C$25="",$A84=""),"",C70-C77)</f>
        <v>10.208845186350725</v>
      </c>
      <c r="D84" s="14">
        <f t="shared" si="36"/>
        <v>10.193959821867303</v>
      </c>
      <c r="E84" s="14">
        <f t="shared" si="36"/>
        <v>10.163782175651356</v>
      </c>
      <c r="F84" s="14">
        <f t="shared" si="36"/>
        <v>9.7221782847044516</v>
      </c>
      <c r="G84" s="14">
        <f t="shared" si="36"/>
        <v>9.2936858296324765</v>
      </c>
      <c r="H84" s="14" t="str">
        <f t="shared" si="36"/>
        <v/>
      </c>
      <c r="I84" s="14" t="str">
        <f t="shared" si="36"/>
        <v/>
      </c>
      <c r="J84" s="14" t="str">
        <f t="shared" si="36"/>
        <v/>
      </c>
      <c r="K84" s="14" t="str">
        <f t="shared" si="36"/>
        <v/>
      </c>
      <c r="L84" s="14" t="str">
        <f t="shared" si="36"/>
        <v/>
      </c>
      <c r="N84" s="39">
        <v>1075</v>
      </c>
      <c r="O84" s="40">
        <v>9.6009879999900001</v>
      </c>
      <c r="P84" s="41">
        <f t="shared" si="33"/>
        <v>0.63300000000000001</v>
      </c>
      <c r="Q84" s="49">
        <v>0.03</v>
      </c>
      <c r="R84" s="41">
        <v>0.68300000000000005</v>
      </c>
      <c r="S84" s="41">
        <f t="shared" si="32"/>
        <v>0.66300000000000003</v>
      </c>
      <c r="T84" s="42">
        <v>0.05</v>
      </c>
      <c r="U84" s="52">
        <v>663000</v>
      </c>
    </row>
    <row r="85" spans="1:21" x14ac:dyDescent="0.35">
      <c r="A85" t="str">
        <f t="shared" si="35"/>
        <v xml:space="preserve">    Mexico</v>
      </c>
      <c r="C85" s="14">
        <f t="shared" si="36"/>
        <v>0</v>
      </c>
      <c r="D85" s="14">
        <f t="shared" si="36"/>
        <v>0</v>
      </c>
      <c r="E85" s="14">
        <f t="shared" si="36"/>
        <v>0</v>
      </c>
      <c r="F85" s="14">
        <f t="shared" si="36"/>
        <v>0</v>
      </c>
      <c r="G85" s="14">
        <f t="shared" si="36"/>
        <v>0</v>
      </c>
      <c r="H85" s="14" t="str">
        <f t="shared" si="36"/>
        <v/>
      </c>
      <c r="I85" s="14" t="str">
        <f t="shared" si="36"/>
        <v/>
      </c>
      <c r="J85" s="14" t="str">
        <f t="shared" si="36"/>
        <v/>
      </c>
      <c r="K85" s="14" t="str">
        <f t="shared" si="36"/>
        <v/>
      </c>
      <c r="L85" s="14" t="str">
        <f t="shared" si="36"/>
        <v/>
      </c>
      <c r="N85" s="39">
        <v>1090</v>
      </c>
      <c r="O85" s="40">
        <v>10.857008</v>
      </c>
      <c r="P85" s="41">
        <f t="shared" si="33"/>
        <v>0.30000000000000004</v>
      </c>
      <c r="Q85" s="49">
        <v>4.1000000000000002E-2</v>
      </c>
      <c r="R85" s="41">
        <v>0.3</v>
      </c>
      <c r="S85" s="41">
        <f t="shared" si="32"/>
        <v>0.34100000000000003</v>
      </c>
      <c r="T85" s="38"/>
      <c r="U85" s="52">
        <v>341000</v>
      </c>
    </row>
    <row r="86" spans="1:21" x14ac:dyDescent="0.35">
      <c r="A86" t="str">
        <f t="shared" si="35"/>
        <v xml:space="preserve">    Mohave &amp; Havasu Evap &amp; ET</v>
      </c>
      <c r="C86" s="14">
        <f t="shared" si="36"/>
        <v>0</v>
      </c>
      <c r="D86" s="14">
        <f t="shared" si="36"/>
        <v>0</v>
      </c>
      <c r="E86" s="14">
        <f t="shared" si="36"/>
        <v>0</v>
      </c>
      <c r="F86" s="14">
        <f t="shared" si="36"/>
        <v>0</v>
      </c>
      <c r="G86" s="14">
        <f t="shared" si="36"/>
        <v>0</v>
      </c>
      <c r="H86" s="14" t="str">
        <f t="shared" si="36"/>
        <v/>
      </c>
      <c r="I86" s="14" t="str">
        <f t="shared" si="36"/>
        <v/>
      </c>
      <c r="J86" s="14" t="str">
        <f t="shared" si="36"/>
        <v/>
      </c>
      <c r="K86" s="14" t="str">
        <f t="shared" si="36"/>
        <v/>
      </c>
      <c r="L86" s="14" t="str">
        <f t="shared" si="36"/>
        <v/>
      </c>
    </row>
    <row r="87" spans="1:21" x14ac:dyDescent="0.35">
      <c r="A87" t="str">
        <f t="shared" si="35"/>
        <v/>
      </c>
      <c r="C87" s="59" t="str">
        <f>IF(OR(C$25="",$A87=""),"",C73-C80)</f>
        <v/>
      </c>
      <c r="D87" s="59" t="str">
        <f t="shared" si="36"/>
        <v/>
      </c>
      <c r="E87" s="59" t="str">
        <f t="shared" si="36"/>
        <v/>
      </c>
      <c r="F87" s="59" t="str">
        <f t="shared" si="36"/>
        <v/>
      </c>
      <c r="G87" s="59" t="str">
        <f t="shared" si="36"/>
        <v/>
      </c>
      <c r="H87" s="59" t="str">
        <f t="shared" si="36"/>
        <v/>
      </c>
      <c r="I87" s="59" t="str">
        <f t="shared" si="36"/>
        <v/>
      </c>
      <c r="J87" s="59" t="str">
        <f t="shared" si="36"/>
        <v/>
      </c>
      <c r="K87" s="59" t="str">
        <f t="shared" si="36"/>
        <v/>
      </c>
      <c r="L87" s="59" t="str">
        <f t="shared" si="36"/>
        <v/>
      </c>
    </row>
    <row r="88" spans="1:21" x14ac:dyDescent="0.35">
      <c r="A88" t="str">
        <f t="shared" si="35"/>
        <v/>
      </c>
      <c r="C88" s="14" t="str">
        <f t="shared" si="36"/>
        <v/>
      </c>
      <c r="D88" s="14" t="str">
        <f t="shared" si="36"/>
        <v/>
      </c>
      <c r="E88" s="14" t="str">
        <f t="shared" si="36"/>
        <v/>
      </c>
      <c r="F88" s="14" t="str">
        <f t="shared" si="36"/>
        <v/>
      </c>
      <c r="G88" s="14" t="str">
        <f t="shared" si="36"/>
        <v/>
      </c>
      <c r="H88" s="14" t="str">
        <f t="shared" si="36"/>
        <v/>
      </c>
      <c r="I88" s="14" t="str">
        <f t="shared" si="36"/>
        <v/>
      </c>
      <c r="J88" s="14" t="str">
        <f t="shared" si="36"/>
        <v/>
      </c>
      <c r="K88" s="14" t="str">
        <f t="shared" si="36"/>
        <v/>
      </c>
      <c r="L88" s="14" t="str">
        <f t="shared" si="36"/>
        <v/>
      </c>
    </row>
    <row r="89" spans="1:21" x14ac:dyDescent="0.35">
      <c r="A89" s="1" t="s">
        <v>125</v>
      </c>
      <c r="B89" s="1"/>
      <c r="C89" s="14">
        <f>IF(C$25&lt;&gt;"",SUM(C83:C88),"")</f>
        <v>19.241102320000028</v>
      </c>
      <c r="D89" s="14">
        <f t="shared" ref="D89:L89" si="37">IF(D$25&lt;&gt;"",SUM(D83:D88),"")</f>
        <v>17.8374425660006</v>
      </c>
      <c r="E89" s="14">
        <f t="shared" si="37"/>
        <v>16.776234643500025</v>
      </c>
      <c r="F89" s="14">
        <f t="shared" si="37"/>
        <v>15.948569994000025</v>
      </c>
      <c r="G89" s="14">
        <f t="shared" si="37"/>
        <v>15.14789505149885</v>
      </c>
      <c r="H89" s="14" t="str">
        <f t="shared" si="37"/>
        <v/>
      </c>
      <c r="I89" s="14" t="str">
        <f t="shared" si="37"/>
        <v/>
      </c>
      <c r="J89" s="14" t="str">
        <f t="shared" si="37"/>
        <v/>
      </c>
      <c r="K89" s="14" t="str">
        <f t="shared" si="37"/>
        <v/>
      </c>
      <c r="L89" s="14" t="str">
        <f t="shared" si="37"/>
        <v/>
      </c>
    </row>
    <row r="90" spans="1:21" x14ac:dyDescent="0.35">
      <c r="A90" s="1" t="s">
        <v>147</v>
      </c>
      <c r="B90" s="1"/>
      <c r="C90" s="14">
        <f>IF(C25&lt;&gt;"",C35+C25-C38-C76-C89*$B$35,"")</f>
        <v>8.1467059736492882</v>
      </c>
      <c r="D90" s="14">
        <f t="shared" ref="D90:L90" si="38">IF(D25&lt;&gt;"",D35+D25-D38-D76-D89*$B$35,"")</f>
        <v>7.9480554874837051</v>
      </c>
      <c r="E90" s="14">
        <f t="shared" si="38"/>
        <v>8.1345736849656589</v>
      </c>
      <c r="F90" s="14">
        <f t="shared" si="38"/>
        <v>8.2627715661969034</v>
      </c>
      <c r="G90" s="14">
        <f t="shared" si="38"/>
        <v>8.2631549838213871</v>
      </c>
      <c r="H90" s="14" t="str">
        <f t="shared" si="38"/>
        <v/>
      </c>
      <c r="I90" s="14" t="str">
        <f t="shared" si="38"/>
        <v/>
      </c>
      <c r="J90" s="14" t="str">
        <f t="shared" si="38"/>
        <v/>
      </c>
      <c r="K90" s="14" t="str">
        <f t="shared" si="38"/>
        <v/>
      </c>
      <c r="L90" s="14" t="str">
        <f t="shared" si="38"/>
        <v/>
      </c>
    </row>
    <row r="92" spans="1:21" x14ac:dyDescent="0.35">
      <c r="A92" s="1" t="s">
        <v>127</v>
      </c>
      <c r="C92" s="12">
        <f>IF(C$25&lt;&gt;"",0.2,"")</f>
        <v>0.2</v>
      </c>
      <c r="D92" s="12">
        <f t="shared" ref="D92:L92" si="39">IF(D$25&lt;&gt;"",0.2,"")</f>
        <v>0.2</v>
      </c>
      <c r="E92" s="12">
        <f t="shared" si="39"/>
        <v>0.2</v>
      </c>
      <c r="F92" s="12">
        <f t="shared" si="39"/>
        <v>0.2</v>
      </c>
      <c r="G92" s="12">
        <f t="shared" si="39"/>
        <v>0.2</v>
      </c>
      <c r="H92" s="12" t="str">
        <f t="shared" si="39"/>
        <v/>
      </c>
      <c r="I92" s="12" t="str">
        <f t="shared" si="39"/>
        <v/>
      </c>
      <c r="J92" s="12" t="str">
        <f t="shared" si="39"/>
        <v/>
      </c>
      <c r="K92" s="12" t="str">
        <f t="shared" si="39"/>
        <v/>
      </c>
      <c r="L92" s="12" t="str">
        <f t="shared" si="39"/>
        <v/>
      </c>
    </row>
    <row r="93" spans="1:21" x14ac:dyDescent="0.35">
      <c r="A93" t="s">
        <v>128</v>
      </c>
      <c r="C93" s="14">
        <f t="shared" ref="C93:L93" si="40">IF(C$25&lt;&gt;"",C77+C92,"")</f>
        <v>7.0670000000000002</v>
      </c>
      <c r="D93" s="14">
        <f t="shared" si="40"/>
        <v>7.0670000000000002</v>
      </c>
      <c r="E93" s="14">
        <f t="shared" si="40"/>
        <v>7.0670000000000002</v>
      </c>
      <c r="F93" s="14">
        <f t="shared" si="40"/>
        <v>7.0670000000000002</v>
      </c>
      <c r="G93" s="14">
        <f t="shared" si="40"/>
        <v>7.0670000000000002</v>
      </c>
      <c r="H93" s="14" t="str">
        <f t="shared" si="40"/>
        <v/>
      </c>
      <c r="I93" s="14" t="str">
        <f t="shared" si="40"/>
        <v/>
      </c>
      <c r="J93" s="14" t="str">
        <f t="shared" si="40"/>
        <v/>
      </c>
      <c r="K93" s="14" t="str">
        <f t="shared" si="40"/>
        <v/>
      </c>
      <c r="L93" s="14" t="str">
        <f t="shared" si="40"/>
        <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7">
    <cfRule type="cellIs" dxfId="372" priority="65" operator="greaterThan">
      <formula>$C$70</formula>
    </cfRule>
  </conditionalFormatting>
  <conditionalFormatting sqref="C78">
    <cfRule type="cellIs" dxfId="371" priority="64" operator="greaterThan">
      <formula>$C$71</formula>
    </cfRule>
  </conditionalFormatting>
  <conditionalFormatting sqref="C79">
    <cfRule type="cellIs" dxfId="370" priority="63" operator="greaterThan">
      <formula>$C$72</formula>
    </cfRule>
  </conditionalFormatting>
  <conditionalFormatting sqref="C80">
    <cfRule type="cellIs" dxfId="369" priority="62" operator="greaterThan">
      <formula>$C$73</formula>
    </cfRule>
  </conditionalFormatting>
  <conditionalFormatting sqref="C81">
    <cfRule type="cellIs" dxfId="368" priority="61" operator="greaterThan">
      <formula>$C$74</formula>
    </cfRule>
  </conditionalFormatting>
  <conditionalFormatting sqref="D77">
    <cfRule type="cellIs" dxfId="367" priority="59" operator="greaterThan">
      <formula>$D$70</formula>
    </cfRule>
  </conditionalFormatting>
  <conditionalFormatting sqref="D78">
    <cfRule type="cellIs" dxfId="366" priority="58" operator="greaterThan">
      <formula>$D$71</formula>
    </cfRule>
  </conditionalFormatting>
  <conditionalFormatting sqref="D79">
    <cfRule type="cellIs" dxfId="365" priority="57" operator="greaterThan">
      <formula>$D$72</formula>
    </cfRule>
  </conditionalFormatting>
  <conditionalFormatting sqref="D80">
    <cfRule type="cellIs" dxfId="364" priority="56" operator="greaterThan">
      <formula>$D$73</formula>
    </cfRule>
  </conditionalFormatting>
  <conditionalFormatting sqref="D81">
    <cfRule type="cellIs" dxfId="363" priority="55" operator="greaterThan">
      <formula>$D$74</formula>
    </cfRule>
  </conditionalFormatting>
  <conditionalFormatting sqref="E77">
    <cfRule type="cellIs" dxfId="362" priority="53" operator="greaterThan">
      <formula>$E$70</formula>
    </cfRule>
  </conditionalFormatting>
  <conditionalFormatting sqref="E78">
    <cfRule type="cellIs" dxfId="361" priority="52" operator="greaterThan">
      <formula>$E$71</formula>
    </cfRule>
  </conditionalFormatting>
  <conditionalFormatting sqref="E79">
    <cfRule type="cellIs" dxfId="360" priority="51" operator="greaterThan">
      <formula>$E$72</formula>
    </cfRule>
  </conditionalFormatting>
  <conditionalFormatting sqref="E80">
    <cfRule type="cellIs" dxfId="359" priority="50" operator="greaterThan">
      <formula>$E$73</formula>
    </cfRule>
  </conditionalFormatting>
  <conditionalFormatting sqref="E81">
    <cfRule type="cellIs" dxfId="358" priority="49" operator="greaterThan">
      <formula>$E$74</formula>
    </cfRule>
  </conditionalFormatting>
  <conditionalFormatting sqref="F77">
    <cfRule type="cellIs" dxfId="357" priority="47" operator="greaterThan">
      <formula>$F$70</formula>
    </cfRule>
  </conditionalFormatting>
  <conditionalFormatting sqref="F78">
    <cfRule type="cellIs" dxfId="356" priority="46" operator="greaterThan">
      <formula>$F$71</formula>
    </cfRule>
  </conditionalFormatting>
  <conditionalFormatting sqref="F79">
    <cfRule type="cellIs" dxfId="355" priority="45" operator="greaterThan">
      <formula>$F$72</formula>
    </cfRule>
  </conditionalFormatting>
  <conditionalFormatting sqref="F80">
    <cfRule type="cellIs" dxfId="354" priority="44" operator="greaterThan">
      <formula>$F$73</formula>
    </cfRule>
  </conditionalFormatting>
  <conditionalFormatting sqref="F81">
    <cfRule type="cellIs" dxfId="353" priority="43" operator="greaterThan">
      <formula>$F$74</formula>
    </cfRule>
  </conditionalFormatting>
  <conditionalFormatting sqref="G77">
    <cfRule type="cellIs" dxfId="352" priority="41" operator="greaterThan">
      <formula>$G$70</formula>
    </cfRule>
  </conditionalFormatting>
  <conditionalFormatting sqref="G78">
    <cfRule type="cellIs" dxfId="351" priority="40" operator="greaterThan">
      <formula>$G$71</formula>
    </cfRule>
  </conditionalFormatting>
  <conditionalFormatting sqref="G79">
    <cfRule type="cellIs" dxfId="350" priority="39" operator="greaterThan">
      <formula>$G$72</formula>
    </cfRule>
  </conditionalFormatting>
  <conditionalFormatting sqref="G80">
    <cfRule type="cellIs" dxfId="349" priority="38" operator="greaterThan">
      <formula>$G$73</formula>
    </cfRule>
  </conditionalFormatting>
  <conditionalFormatting sqref="G81">
    <cfRule type="cellIs" dxfId="348" priority="37" operator="greaterThan">
      <formula>$G$74</formula>
    </cfRule>
  </conditionalFormatting>
  <conditionalFormatting sqref="H76">
    <cfRule type="cellIs" dxfId="347" priority="36" operator="greaterThan">
      <formula>$H$69</formula>
    </cfRule>
  </conditionalFormatting>
  <conditionalFormatting sqref="H77">
    <cfRule type="cellIs" dxfId="346" priority="35" operator="greaterThan">
      <formula>$H$70</formula>
    </cfRule>
  </conditionalFormatting>
  <conditionalFormatting sqref="H78">
    <cfRule type="cellIs" dxfId="345" priority="34" operator="greaterThan">
      <formula>$H$71</formula>
    </cfRule>
  </conditionalFormatting>
  <conditionalFormatting sqref="H79">
    <cfRule type="cellIs" dxfId="344" priority="33" operator="greaterThan">
      <formula>$H$72</formula>
    </cfRule>
  </conditionalFormatting>
  <conditionalFormatting sqref="H80">
    <cfRule type="cellIs" dxfId="343" priority="32" operator="greaterThan">
      <formula>$H$73</formula>
    </cfRule>
  </conditionalFormatting>
  <conditionalFormatting sqref="H81">
    <cfRule type="cellIs" dxfId="342" priority="31" operator="greaterThan">
      <formula>$H$74</formula>
    </cfRule>
  </conditionalFormatting>
  <conditionalFormatting sqref="I76">
    <cfRule type="cellIs" dxfId="341" priority="30" operator="greaterThan">
      <formula>$I$69</formula>
    </cfRule>
  </conditionalFormatting>
  <conditionalFormatting sqref="I77">
    <cfRule type="cellIs" dxfId="340" priority="29" operator="greaterThan">
      <formula>$I$70</formula>
    </cfRule>
  </conditionalFormatting>
  <conditionalFormatting sqref="I78">
    <cfRule type="cellIs" dxfId="339" priority="28" operator="greaterThan">
      <formula>$I$71</formula>
    </cfRule>
  </conditionalFormatting>
  <conditionalFormatting sqref="I79">
    <cfRule type="cellIs" dxfId="338" priority="27" operator="greaterThan">
      <formula>$I$72</formula>
    </cfRule>
  </conditionalFormatting>
  <conditionalFormatting sqref="I80">
    <cfRule type="cellIs" dxfId="337" priority="26" operator="greaterThan">
      <formula>$I$73</formula>
    </cfRule>
  </conditionalFormatting>
  <conditionalFormatting sqref="I81">
    <cfRule type="cellIs" dxfId="336" priority="25" operator="greaterThan">
      <formula>$I$74</formula>
    </cfRule>
  </conditionalFormatting>
  <conditionalFormatting sqref="J76">
    <cfRule type="cellIs" dxfId="335" priority="24" operator="greaterThan">
      <formula>$J$69</formula>
    </cfRule>
  </conditionalFormatting>
  <conditionalFormatting sqref="J77">
    <cfRule type="cellIs" dxfId="334" priority="23" operator="greaterThan">
      <formula>$J$70</formula>
    </cfRule>
  </conditionalFormatting>
  <conditionalFormatting sqref="J78">
    <cfRule type="cellIs" dxfId="333" priority="22" operator="greaterThan">
      <formula>$J$71</formula>
    </cfRule>
  </conditionalFormatting>
  <conditionalFormatting sqref="J79">
    <cfRule type="cellIs" dxfId="332" priority="21" operator="greaterThan">
      <formula>$J$72</formula>
    </cfRule>
  </conditionalFormatting>
  <conditionalFormatting sqref="J80">
    <cfRule type="cellIs" dxfId="331" priority="20" operator="greaterThan">
      <formula>$J$73</formula>
    </cfRule>
  </conditionalFormatting>
  <conditionalFormatting sqref="J81">
    <cfRule type="cellIs" dxfId="330" priority="19" operator="greaterThan">
      <formula>$J$74</formula>
    </cfRule>
  </conditionalFormatting>
  <conditionalFormatting sqref="K76">
    <cfRule type="cellIs" dxfId="329" priority="18" operator="greaterThan">
      <formula>$K$69</formula>
    </cfRule>
  </conditionalFormatting>
  <conditionalFormatting sqref="K77">
    <cfRule type="cellIs" dxfId="328" priority="17" operator="greaterThan">
      <formula>$K$70</formula>
    </cfRule>
  </conditionalFormatting>
  <conditionalFormatting sqref="K78">
    <cfRule type="cellIs" dxfId="327" priority="16" operator="greaterThan">
      <formula>$K$71</formula>
    </cfRule>
  </conditionalFormatting>
  <conditionalFormatting sqref="K79">
    <cfRule type="cellIs" dxfId="326" priority="15" operator="greaterThan">
      <formula>$K$72</formula>
    </cfRule>
  </conditionalFormatting>
  <conditionalFormatting sqref="K80">
    <cfRule type="cellIs" dxfId="325" priority="14" operator="greaterThan">
      <formula>$K$73</formula>
    </cfRule>
  </conditionalFormatting>
  <conditionalFormatting sqref="K81">
    <cfRule type="cellIs" dxfId="324" priority="13" operator="greaterThan">
      <formula>$K$74</formula>
    </cfRule>
  </conditionalFormatting>
  <conditionalFormatting sqref="L76">
    <cfRule type="cellIs" dxfId="323" priority="12" operator="greaterThan">
      <formula>$L$69</formula>
    </cfRule>
  </conditionalFormatting>
  <conditionalFormatting sqref="L77">
    <cfRule type="cellIs" dxfId="322" priority="11" operator="greaterThan">
      <formula>$L$70</formula>
    </cfRule>
  </conditionalFormatting>
  <conditionalFormatting sqref="L78">
    <cfRule type="cellIs" dxfId="321" priority="10" operator="greaterThan">
      <formula>$L$71</formula>
    </cfRule>
  </conditionalFormatting>
  <conditionalFormatting sqref="L79">
    <cfRule type="cellIs" dxfId="320" priority="9" operator="greaterThan">
      <formula>$L$72</formula>
    </cfRule>
  </conditionalFormatting>
  <conditionalFormatting sqref="L80">
    <cfRule type="cellIs" dxfId="319" priority="8" operator="greaterThan">
      <formula>$L$73</formula>
    </cfRule>
  </conditionalFormatting>
  <conditionalFormatting sqref="L81">
    <cfRule type="cellIs" dxfId="318" priority="7" operator="greaterThan">
      <formula>$L$74</formula>
    </cfRule>
  </conditionalFormatting>
  <conditionalFormatting sqref="D76:F76">
    <cfRule type="cellIs" dxfId="317" priority="3" operator="greaterThan">
      <formula>$D$69</formula>
    </cfRule>
  </conditionalFormatting>
  <conditionalFormatting sqref="G76">
    <cfRule type="cellIs" dxfId="316" priority="1" operator="greaterThan">
      <formula>$G$69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9E82-F81D-4149-A4BD-C0AE45078004}">
  <dimension ref="A1:U95"/>
  <sheetViews>
    <sheetView zoomScale="150" zoomScaleNormal="150" workbookViewId="0">
      <selection activeCell="G77" sqref="G77"/>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75"/>
      <c r="I3" s="75"/>
      <c r="J3" s="75"/>
      <c r="K3" s="75"/>
    </row>
    <row r="4" spans="1:11" x14ac:dyDescent="0.35">
      <c r="A4" s="64" t="s">
        <v>39</v>
      </c>
      <c r="B4" s="64" t="s">
        <v>43</v>
      </c>
      <c r="C4" s="99" t="s">
        <v>44</v>
      </c>
      <c r="D4" s="100"/>
      <c r="E4" s="100"/>
      <c r="F4" s="100"/>
      <c r="G4" s="101"/>
    </row>
    <row r="5" spans="1:11" x14ac:dyDescent="0.35">
      <c r="A5" s="76" t="s">
        <v>52</v>
      </c>
      <c r="B5" s="76"/>
      <c r="C5" s="102"/>
      <c r="D5" s="102"/>
      <c r="E5" s="102"/>
      <c r="F5" s="102"/>
      <c r="G5" s="102"/>
    </row>
    <row r="6" spans="1:11" x14ac:dyDescent="0.35">
      <c r="A6" s="74" t="s">
        <v>40</v>
      </c>
      <c r="B6" s="74" t="s">
        <v>184</v>
      </c>
      <c r="C6" s="103" t="s">
        <v>189</v>
      </c>
      <c r="D6" s="103"/>
      <c r="E6" s="103"/>
      <c r="F6" s="103"/>
      <c r="G6" s="103"/>
    </row>
    <row r="7" spans="1:11" x14ac:dyDescent="0.35">
      <c r="A7" s="74" t="s">
        <v>41</v>
      </c>
      <c r="B7" s="74" t="s">
        <v>184</v>
      </c>
      <c r="C7" s="103" t="s">
        <v>190</v>
      </c>
      <c r="D7" s="103"/>
      <c r="E7" s="103"/>
      <c r="F7" s="103"/>
      <c r="G7" s="103"/>
    </row>
    <row r="8" spans="1:11" x14ac:dyDescent="0.35">
      <c r="A8" s="74" t="s">
        <v>42</v>
      </c>
      <c r="B8" s="74" t="s">
        <v>184</v>
      </c>
      <c r="C8" s="103" t="s">
        <v>181</v>
      </c>
      <c r="D8" s="103"/>
      <c r="E8" s="103"/>
      <c r="F8" s="103"/>
      <c r="G8" s="103"/>
    </row>
    <row r="9" spans="1:11" x14ac:dyDescent="0.35">
      <c r="A9" s="74" t="s">
        <v>165</v>
      </c>
      <c r="B9" s="74" t="s">
        <v>184</v>
      </c>
      <c r="C9" s="103" t="s">
        <v>182</v>
      </c>
      <c r="D9" s="103"/>
      <c r="E9" s="103"/>
      <c r="F9" s="103"/>
      <c r="G9" s="103"/>
    </row>
    <row r="10" spans="1:11" x14ac:dyDescent="0.35">
      <c r="A10" s="74" t="s">
        <v>200</v>
      </c>
      <c r="B10" s="74" t="s">
        <v>184</v>
      </c>
      <c r="C10" s="97" t="s">
        <v>201</v>
      </c>
      <c r="D10" s="97"/>
      <c r="E10" s="97"/>
      <c r="F10" s="97"/>
      <c r="G10" s="97"/>
    </row>
    <row r="11" spans="1:11" x14ac:dyDescent="0.35">
      <c r="A11" s="74"/>
      <c r="B11" s="74"/>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3" x14ac:dyDescent="0.35">
      <c r="A18" s="1" t="s">
        <v>54</v>
      </c>
      <c r="D18" s="20" t="s">
        <v>188</v>
      </c>
    </row>
    <row r="20" spans="1:13" x14ac:dyDescent="0.35">
      <c r="A20" s="1" t="s">
        <v>32</v>
      </c>
      <c r="B20" s="1" t="s">
        <v>112</v>
      </c>
      <c r="C20" s="13" t="s">
        <v>113</v>
      </c>
    </row>
    <row r="21" spans="1:13" x14ac:dyDescent="0.35">
      <c r="A21" t="s">
        <v>111</v>
      </c>
      <c r="B21" s="12">
        <v>5.73</v>
      </c>
      <c r="C21" s="12">
        <v>6</v>
      </c>
      <c r="D21" s="23" t="s">
        <v>114</v>
      </c>
    </row>
    <row r="22" spans="1:13" x14ac:dyDescent="0.35">
      <c r="A22" t="s">
        <v>145</v>
      </c>
      <c r="B22" s="12">
        <v>11</v>
      </c>
      <c r="C22" s="12">
        <v>10.1</v>
      </c>
      <c r="D22" s="11" t="s">
        <v>34</v>
      </c>
    </row>
    <row r="24" spans="1:13"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row>
    <row r="25" spans="1:13" x14ac:dyDescent="0.35">
      <c r="A25" s="1" t="s">
        <v>45</v>
      </c>
      <c r="B25" s="1"/>
      <c r="C25" s="45">
        <v>11</v>
      </c>
      <c r="D25" s="45">
        <f>C25</f>
        <v>11</v>
      </c>
      <c r="E25" s="45">
        <f t="shared" ref="E25:G25" si="0">D25</f>
        <v>11</v>
      </c>
      <c r="F25" s="45">
        <f t="shared" si="0"/>
        <v>11</v>
      </c>
      <c r="G25" s="45">
        <f t="shared" si="0"/>
        <v>11</v>
      </c>
      <c r="H25" s="45"/>
      <c r="I25" s="45"/>
      <c r="J25" s="45"/>
      <c r="K25" s="45"/>
      <c r="L25" s="45"/>
    </row>
    <row r="26" spans="1:13" x14ac:dyDescent="0.35">
      <c r="A26" s="1" t="s">
        <v>123</v>
      </c>
      <c r="B26" s="1"/>
      <c r="C26" s="12">
        <f>IF(C$25&lt;&gt;"",0.8,"")</f>
        <v>0.8</v>
      </c>
      <c r="D26" s="12">
        <f t="shared" ref="D26:L26" si="1">IF(D$25&lt;&gt;"",0.8,"")</f>
        <v>0.8</v>
      </c>
      <c r="E26" s="12">
        <f t="shared" si="1"/>
        <v>0.8</v>
      </c>
      <c r="F26" s="12">
        <f t="shared" si="1"/>
        <v>0.8</v>
      </c>
      <c r="G26" s="12">
        <f t="shared" si="1"/>
        <v>0.8</v>
      </c>
      <c r="H26" s="12" t="str">
        <f t="shared" si="1"/>
        <v/>
      </c>
      <c r="I26" s="12" t="str">
        <f t="shared" si="1"/>
        <v/>
      </c>
      <c r="J26" s="12" t="str">
        <f t="shared" si="1"/>
        <v/>
      </c>
      <c r="K26" s="12" t="str">
        <f t="shared" si="1"/>
        <v/>
      </c>
      <c r="L26" s="12" t="str">
        <f t="shared" si="1"/>
        <v/>
      </c>
    </row>
    <row r="27" spans="1:13" x14ac:dyDescent="0.35">
      <c r="A27" s="1" t="s">
        <v>126</v>
      </c>
      <c r="B27" s="14">
        <f>SUM(B28:B33)-SUM(B22:C22)</f>
        <v>0</v>
      </c>
      <c r="C27" s="14">
        <f>IF(C$25&lt;&gt;"",SUM(B22:C22),"")</f>
        <v>21.1</v>
      </c>
      <c r="D27" s="14">
        <f>IF(D$25&lt;&gt;"",C89,"")</f>
        <v>19.461791381186753</v>
      </c>
      <c r="E27" s="14">
        <f t="shared" ref="E27:L27" si="2">IF(E$25&lt;&gt;"",D89,"")</f>
        <v>18.874868255749597</v>
      </c>
      <c r="F27" s="14">
        <f t="shared" si="2"/>
        <v>18.614181669453274</v>
      </c>
      <c r="G27" s="14">
        <f t="shared" si="2"/>
        <v>18.565492937683537</v>
      </c>
      <c r="H27" s="14" t="str">
        <f t="shared" si="2"/>
        <v/>
      </c>
      <c r="I27" s="14" t="str">
        <f t="shared" si="2"/>
        <v/>
      </c>
      <c r="J27" s="14" t="str">
        <f t="shared" si="2"/>
        <v/>
      </c>
      <c r="K27" s="14" t="str">
        <f t="shared" si="2"/>
        <v/>
      </c>
      <c r="L27" s="14" t="str">
        <f t="shared" si="2"/>
        <v/>
      </c>
    </row>
    <row r="28" spans="1:13" x14ac:dyDescent="0.35">
      <c r="A28" t="str">
        <f>IF(A6="","","    "&amp;A6&amp;" Balance")</f>
        <v xml:space="preserve">    Upper Basin Balance</v>
      </c>
      <c r="B28" s="55">
        <v>5</v>
      </c>
      <c r="C28" s="14">
        <f>IF(OR(C$25="",$A28=""),"",B28)</f>
        <v>5</v>
      </c>
      <c r="D28" s="14">
        <f>IF(OR(D$25="",$A28=""),"",C83)</f>
        <v>3.1841016642426663</v>
      </c>
      <c r="E28" s="14">
        <f t="shared" ref="E28:L28" si="3">IF(OR(E$25="",$A28=""),"",D83)</f>
        <v>2.5432464755189956</v>
      </c>
      <c r="F28" s="14">
        <f t="shared" si="3"/>
        <v>2.2370907183780364</v>
      </c>
      <c r="G28" s="14">
        <f t="shared" si="3"/>
        <v>2.5475834362304477</v>
      </c>
      <c r="H28" s="14" t="str">
        <f t="shared" si="3"/>
        <v/>
      </c>
      <c r="I28" s="14" t="str">
        <f t="shared" si="3"/>
        <v/>
      </c>
      <c r="J28" s="14" t="str">
        <f t="shared" si="3"/>
        <v/>
      </c>
      <c r="K28" s="14" t="str">
        <f t="shared" si="3"/>
        <v/>
      </c>
      <c r="L28" s="14" t="str">
        <f t="shared" si="3"/>
        <v/>
      </c>
    </row>
    <row r="29" spans="1:13" x14ac:dyDescent="0.35">
      <c r="A29" t="str">
        <f t="shared" ref="A29:A33" si="4">IF(A7="","","    "&amp;A7&amp;" Balance")</f>
        <v xml:space="preserve">    Lower Basin Balance</v>
      </c>
      <c r="B29" s="55">
        <v>4.0999999999999996</v>
      </c>
      <c r="C29" s="14">
        <f t="shared" ref="C29:C33" si="5">IF(OR(C$25="",$A29=""),"",B29)</f>
        <v>4.0999999999999996</v>
      </c>
      <c r="D29" s="14">
        <f t="shared" ref="D29:L33" si="6">IF(OR(D$25="",$A29=""),"",C84)</f>
        <v>4.2776897169440868</v>
      </c>
      <c r="E29" s="14">
        <f t="shared" si="6"/>
        <v>4.3316217802306003</v>
      </c>
      <c r="F29" s="14">
        <f t="shared" si="6"/>
        <v>4.3770909510752372</v>
      </c>
      <c r="G29" s="14">
        <f t="shared" si="6"/>
        <v>4.0179095014530901</v>
      </c>
      <c r="H29" s="14" t="str">
        <f t="shared" si="6"/>
        <v/>
      </c>
      <c r="I29" s="14" t="str">
        <f t="shared" si="6"/>
        <v/>
      </c>
      <c r="J29" s="14" t="str">
        <f t="shared" si="6"/>
        <v/>
      </c>
      <c r="K29" s="14" t="str">
        <f t="shared" si="6"/>
        <v/>
      </c>
      <c r="L29" s="14" t="str">
        <f t="shared" si="6"/>
        <v/>
      </c>
    </row>
    <row r="30" spans="1:13" x14ac:dyDescent="0.35">
      <c r="A30" t="str">
        <f t="shared" si="4"/>
        <v xml:space="preserve">    Mexico Balance</v>
      </c>
      <c r="B30" s="56">
        <v>0</v>
      </c>
      <c r="C30" s="14">
        <f t="shared" si="5"/>
        <v>0</v>
      </c>
      <c r="D30" s="14">
        <f t="shared" si="6"/>
        <v>0</v>
      </c>
      <c r="E30" s="14">
        <f t="shared" si="6"/>
        <v>0</v>
      </c>
      <c r="F30" s="14">
        <f t="shared" si="6"/>
        <v>0</v>
      </c>
      <c r="G30" s="14">
        <f t="shared" si="6"/>
        <v>0</v>
      </c>
      <c r="H30" s="14" t="str">
        <f t="shared" si="6"/>
        <v/>
      </c>
      <c r="I30" s="14" t="str">
        <f t="shared" si="6"/>
        <v/>
      </c>
      <c r="J30" s="14" t="str">
        <f t="shared" si="6"/>
        <v/>
      </c>
      <c r="K30" s="14" t="str">
        <f t="shared" si="6"/>
        <v/>
      </c>
      <c r="L30" s="14" t="str">
        <f t="shared" si="6"/>
        <v/>
      </c>
    </row>
    <row r="31" spans="1:13"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t="str">
        <f t="shared" si="6"/>
        <v/>
      </c>
      <c r="I31" s="14" t="str">
        <f t="shared" si="6"/>
        <v/>
      </c>
      <c r="J31" s="14" t="str">
        <f t="shared" si="6"/>
        <v/>
      </c>
      <c r="K31" s="14" t="str">
        <f t="shared" si="6"/>
        <v/>
      </c>
      <c r="L31" s="14" t="str">
        <f t="shared" si="6"/>
        <v/>
      </c>
    </row>
    <row r="32" spans="1:13" x14ac:dyDescent="0.35">
      <c r="A32" t="str">
        <f t="shared" si="4"/>
        <v xml:space="preserve">    Shared, Reserve Balance</v>
      </c>
      <c r="B32" s="56">
        <v>12</v>
      </c>
      <c r="C32" s="14">
        <f t="shared" si="5"/>
        <v>12</v>
      </c>
      <c r="D32" s="14">
        <f t="shared" si="6"/>
        <v>12</v>
      </c>
      <c r="E32" s="14">
        <f t="shared" si="6"/>
        <v>12</v>
      </c>
      <c r="F32" s="14">
        <f t="shared" si="6"/>
        <v>12</v>
      </c>
      <c r="G32" s="14">
        <f t="shared" si="6"/>
        <v>12</v>
      </c>
      <c r="H32" s="14" t="str">
        <f t="shared" si="6"/>
        <v/>
      </c>
      <c r="I32" s="14" t="str">
        <f t="shared" si="6"/>
        <v/>
      </c>
      <c r="J32" s="14" t="str">
        <f t="shared" si="6"/>
        <v/>
      </c>
      <c r="K32" s="14" t="str">
        <f t="shared" si="6"/>
        <v/>
      </c>
      <c r="L32" s="14" t="str">
        <f t="shared" si="6"/>
        <v/>
      </c>
    </row>
    <row r="33" spans="1:15"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5" x14ac:dyDescent="0.35">
      <c r="A34" s="1" t="s">
        <v>117</v>
      </c>
      <c r="C34"/>
    </row>
    <row r="35" spans="1:15" x14ac:dyDescent="0.35">
      <c r="A35" t="s">
        <v>115</v>
      </c>
      <c r="B35" s="35">
        <v>0.5</v>
      </c>
      <c r="C35" s="14">
        <f>IF(C$25&lt;&gt;"",B22,"")</f>
        <v>11</v>
      </c>
      <c r="D35" s="14">
        <f t="shared" ref="D35:L36" si="7">IF(D25&lt;&gt;"",$B35*D$27,"")</f>
        <v>9.7308956905933766</v>
      </c>
      <c r="E35" s="14">
        <f t="shared" si="7"/>
        <v>9.4374341278747984</v>
      </c>
      <c r="F35" s="14">
        <f t="shared" si="7"/>
        <v>9.3070908347266368</v>
      </c>
      <c r="G35" s="14">
        <f t="shared" si="7"/>
        <v>9.2827464688417685</v>
      </c>
      <c r="H35" s="14" t="str">
        <f t="shared" si="7"/>
        <v/>
      </c>
      <c r="I35" s="14" t="str">
        <f t="shared" si="7"/>
        <v/>
      </c>
      <c r="J35" s="14" t="str">
        <f t="shared" si="7"/>
        <v/>
      </c>
      <c r="K35" s="14" t="str">
        <f t="shared" si="7"/>
        <v/>
      </c>
      <c r="L35" s="14" t="str">
        <f t="shared" si="7"/>
        <v/>
      </c>
    </row>
    <row r="36" spans="1:15" x14ac:dyDescent="0.35">
      <c r="A36" t="s">
        <v>116</v>
      </c>
      <c r="B36" s="35">
        <f>1-B35</f>
        <v>0.5</v>
      </c>
      <c r="C36" s="14">
        <f>IF(C$25&lt;&gt;"",C22,"")</f>
        <v>10.1</v>
      </c>
      <c r="D36" s="14">
        <f t="shared" si="7"/>
        <v>9.7308956905933766</v>
      </c>
      <c r="E36" s="14">
        <f t="shared" si="7"/>
        <v>9.4374341278747984</v>
      </c>
      <c r="F36" s="14">
        <f t="shared" si="7"/>
        <v>9.3070908347266368</v>
      </c>
      <c r="G36" s="14">
        <f t="shared" si="7"/>
        <v>9.2827464688417685</v>
      </c>
      <c r="H36" s="14" t="str">
        <f t="shared" si="7"/>
        <v/>
      </c>
      <c r="I36" s="14" t="str">
        <f t="shared" si="7"/>
        <v/>
      </c>
      <c r="J36" s="14" t="str">
        <f t="shared" si="7"/>
        <v/>
      </c>
      <c r="K36" s="14" t="str">
        <f t="shared" si="7"/>
        <v/>
      </c>
      <c r="L36" s="14" t="str">
        <f t="shared" si="7"/>
        <v/>
      </c>
    </row>
    <row r="37" spans="1:15"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0.97388231249882695</v>
      </c>
      <c r="E37" s="14">
        <f>IF(E$25&lt;&gt;"",VLOOKUP(E35*1000000,'Powell-Elevation-Area'!$B$5:$D$689,3)*$B$21/1000000 + VLOOKUP(E36*1000000,'Mead-Elevation-Area'!$B$5:$D$676,3)*$C$21/1000000,"")</f>
        <v>0.95600367599997305</v>
      </c>
      <c r="F37" s="14">
        <f>IF(F$25&lt;&gt;"",VLOOKUP(F35*1000000,'Powell-Elevation-Area'!$B$5:$D$689,3)*$B$21/1000000 + VLOOKUP(F36*1000000,'Mead-Elevation-Area'!$B$5:$D$676,3)*$C$21/1000000,"")</f>
        <v>0.94739359800057299</v>
      </c>
      <c r="G37" s="14">
        <f>IF(G$25&lt;&gt;"",VLOOKUP(G35*1000000,'Powell-Elevation-Area'!$B$5:$D$689,3)*$B$21/1000000 + VLOOKUP(G36*1000000,'Mead-Elevation-Area'!$B$5:$D$676,3)*$C$21/1000000,"")</f>
        <v>0.94739359800057299</v>
      </c>
      <c r="H37" s="14" t="str">
        <f>IF(H$25&lt;&gt;"",VLOOKUP(H35*1000000,'Powell-Elevation-Area'!$B$5:$D$689,3)*$B$21/1000000 + VLOOKUP(H36*1000000,'Mead-Elevation-Area'!$B$5:$D$676,3)*$C$21/1000000,"")</f>
        <v/>
      </c>
      <c r="I37" s="14" t="str">
        <f>IF(I$25&lt;&gt;"",VLOOKUP(I35*1000000,'Powell-Elevation-Area'!$B$5:$D$689,3)*$B$21/1000000 + VLOOKUP(I36*1000000,'Mead-Elevation-Area'!$B$5:$D$676,3)*$C$21/1000000,"")</f>
        <v/>
      </c>
      <c r="J37" s="14" t="str">
        <f>IF(J$25&lt;&gt;"",VLOOKUP(J35*1000000,'Powell-Elevation-Area'!$B$5:$D$689,3)*$B$21/1000000 + VLOOKUP(J36*1000000,'Mead-Elevation-Area'!$B$5:$D$676,3)*$C$21/1000000,"")</f>
        <v/>
      </c>
      <c r="K37" s="14" t="str">
        <f>IF(K$25&lt;&gt;"",VLOOKUP(K35*1000000,'Powell-Elevation-Area'!$B$5:$D$689,3)*$B$21/1000000 + VLOOKUP(K36*1000000,'Mead-Elevation-Area'!$B$5:$D$676,3)*$C$21/1000000,"")</f>
        <v/>
      </c>
      <c r="L37" s="14" t="str">
        <f>IF(L$25&lt;&gt;"",VLOOKUP(L35*1000000,'Powell-Elevation-Area'!$B$5:$D$689,3)*$B$21/1000000 + VLOOKUP(L36*1000000,'Mead-Elevation-Area'!$B$5:$D$676,3)*$C$21/1000000,"")</f>
        <v/>
      </c>
    </row>
    <row r="38" spans="1:15" x14ac:dyDescent="0.35">
      <c r="A38" t="str">
        <f>IF(A6="","","    "&amp;A6&amp;" Share")</f>
        <v xml:space="preserve">    Upper Basin Share</v>
      </c>
      <c r="B38" s="1"/>
      <c r="C38" s="14">
        <f>IF(OR(C$25="",$A38=""),"",C$37*C28/C$27)</f>
        <v>0.24215584834122589</v>
      </c>
      <c r="D38" s="14">
        <f t="shared" ref="D38:L38" si="8">IF(OR(D$25="",$A38=""),"",D$37*D28/D$27)</f>
        <v>0.15933478225450592</v>
      </c>
      <c r="E38" s="14">
        <f t="shared" si="8"/>
        <v>0.12881430199278371</v>
      </c>
      <c r="F38" s="14">
        <f t="shared" si="8"/>
        <v>0.11385971526300812</v>
      </c>
      <c r="G38" s="14">
        <f t="shared" si="8"/>
        <v>0.13000270156889104</v>
      </c>
      <c r="H38" s="14" t="str">
        <f t="shared" si="8"/>
        <v/>
      </c>
      <c r="I38" s="14" t="str">
        <f t="shared" si="8"/>
        <v/>
      </c>
      <c r="J38" s="14" t="str">
        <f t="shared" si="8"/>
        <v/>
      </c>
      <c r="K38" s="14" t="str">
        <f t="shared" si="8"/>
        <v/>
      </c>
      <c r="L38" s="14" t="str">
        <f t="shared" si="8"/>
        <v/>
      </c>
    </row>
    <row r="39" spans="1:15" x14ac:dyDescent="0.35">
      <c r="A39" t="str">
        <f t="shared" ref="A39:A43" si="9">IF(A7="","","    "&amp;A7&amp;" Share")</f>
        <v xml:space="preserve">    Lower Basin Share</v>
      </c>
      <c r="B39" s="1"/>
      <c r="C39" s="14">
        <f t="shared" ref="C39:L43" si="10">IF(OR(C$25="",$A39=""),"",C$37*C29/C$27)</f>
        <v>0.1985677956398052</v>
      </c>
      <c r="D39" s="14">
        <f t="shared" si="10"/>
        <v>0.21405873036523759</v>
      </c>
      <c r="E39" s="14">
        <f t="shared" si="10"/>
        <v>0.21939471517532685</v>
      </c>
      <c r="F39" s="14">
        <f t="shared" si="10"/>
        <v>0.22277788078753169</v>
      </c>
      <c r="G39" s="14">
        <f t="shared" si="10"/>
        <v>0.20503316296525351</v>
      </c>
      <c r="H39" s="14" t="str">
        <f t="shared" si="10"/>
        <v/>
      </c>
      <c r="I39" s="14" t="str">
        <f t="shared" si="10"/>
        <v/>
      </c>
      <c r="J39" s="14" t="str">
        <f t="shared" si="10"/>
        <v/>
      </c>
      <c r="K39" s="14" t="str">
        <f t="shared" si="10"/>
        <v/>
      </c>
      <c r="L39" s="14" t="str">
        <f t="shared" si="10"/>
        <v/>
      </c>
    </row>
    <row r="40" spans="1:15" x14ac:dyDescent="0.35">
      <c r="A40" t="str">
        <f t="shared" si="9"/>
        <v xml:space="preserve">    Mexico Share</v>
      </c>
      <c r="B40" s="1"/>
      <c r="C40" s="14">
        <f t="shared" si="10"/>
        <v>0</v>
      </c>
      <c r="D40" s="14">
        <f t="shared" si="10"/>
        <v>0</v>
      </c>
      <c r="E40" s="14">
        <f t="shared" si="10"/>
        <v>0</v>
      </c>
      <c r="F40" s="14">
        <f t="shared" si="10"/>
        <v>0</v>
      </c>
      <c r="G40" s="14">
        <f t="shared" si="10"/>
        <v>0</v>
      </c>
      <c r="H40" s="14" t="str">
        <f t="shared" si="10"/>
        <v/>
      </c>
      <c r="I40" s="14" t="str">
        <f t="shared" si="10"/>
        <v/>
      </c>
      <c r="J40" s="14" t="str">
        <f t="shared" si="10"/>
        <v/>
      </c>
      <c r="K40" s="14" t="str">
        <f t="shared" si="10"/>
        <v/>
      </c>
      <c r="L40" s="14" t="str">
        <f t="shared" si="10"/>
        <v/>
      </c>
    </row>
    <row r="41" spans="1:15"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t="str">
        <f t="shared" si="10"/>
        <v/>
      </c>
      <c r="I41" s="14" t="str">
        <f t="shared" si="10"/>
        <v/>
      </c>
      <c r="J41" s="14" t="str">
        <f t="shared" si="10"/>
        <v/>
      </c>
      <c r="K41" s="14" t="str">
        <f t="shared" si="10"/>
        <v/>
      </c>
      <c r="L41" s="14" t="str">
        <f t="shared" si="10"/>
        <v/>
      </c>
    </row>
    <row r="42" spans="1:15" x14ac:dyDescent="0.35">
      <c r="A42" t="str">
        <f t="shared" si="9"/>
        <v xml:space="preserve">    Shared, Reserve Share</v>
      </c>
      <c r="B42" s="1"/>
      <c r="C42" s="14">
        <f t="shared" si="10"/>
        <v>0.58117403601894213</v>
      </c>
      <c r="D42" s="14">
        <f t="shared" si="10"/>
        <v>0.60048879987908343</v>
      </c>
      <c r="E42" s="14">
        <f t="shared" si="10"/>
        <v>0.60779465883186234</v>
      </c>
      <c r="F42" s="14">
        <f t="shared" si="10"/>
        <v>0.61075600195003321</v>
      </c>
      <c r="G42" s="14">
        <f t="shared" si="10"/>
        <v>0.61235773346642852</v>
      </c>
      <c r="H42" s="14" t="str">
        <f t="shared" si="10"/>
        <v/>
      </c>
      <c r="I42" s="14" t="str">
        <f t="shared" si="10"/>
        <v/>
      </c>
      <c r="J42" s="14" t="str">
        <f t="shared" si="10"/>
        <v/>
      </c>
      <c r="K42" s="14" t="str">
        <f t="shared" si="10"/>
        <v/>
      </c>
      <c r="L42" s="14" t="str">
        <f t="shared" si="10"/>
        <v/>
      </c>
    </row>
    <row r="43" spans="1:15"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5" x14ac:dyDescent="0.35">
      <c r="A44" s="1" t="s">
        <v>161</v>
      </c>
      <c r="B44" s="1"/>
      <c r="C44" s="50">
        <f>IF(C$25&lt;&gt;"",1.5-$B$50/9/2-IF(C$29&lt;$O$78,$Q$78,IF(C$29&lt;=$O$85,VLOOKUP(C$29,$O$78:$Q$85,3),0)),"")</f>
        <v>1.35</v>
      </c>
      <c r="D44" s="50">
        <f t="shared" ref="D44:L44" si="11">IF(D$25&lt;&gt;"",1.5-$B$50/9-IF(D$29&lt;$O$78,$Q$78,IF(D$29&lt;=$O$85,VLOOKUP(D$29,$O$78:$Q$85,3),0)),"")</f>
        <v>1.35</v>
      </c>
      <c r="E44" s="50">
        <f t="shared" si="11"/>
        <v>1.35</v>
      </c>
      <c r="F44" s="50">
        <f t="shared" si="11"/>
        <v>1.35</v>
      </c>
      <c r="G44" s="50">
        <f t="shared" si="11"/>
        <v>1.35</v>
      </c>
      <c r="H44" s="50" t="str">
        <f t="shared" si="11"/>
        <v/>
      </c>
      <c r="I44" s="50" t="str">
        <f t="shared" si="11"/>
        <v/>
      </c>
      <c r="J44" s="50" t="str">
        <f t="shared" si="11"/>
        <v/>
      </c>
      <c r="K44" s="50" t="str">
        <f t="shared" si="11"/>
        <v/>
      </c>
      <c r="L44" s="50" t="str">
        <f t="shared" si="11"/>
        <v/>
      </c>
    </row>
    <row r="45" spans="1:15" x14ac:dyDescent="0.35">
      <c r="A45" s="1" t="s">
        <v>162</v>
      </c>
      <c r="B45" s="1"/>
      <c r="C45" s="46"/>
    </row>
    <row r="46" spans="1:15" x14ac:dyDescent="0.35">
      <c r="A46" t="str">
        <f>IF(A6="","","    To "&amp;A6)</f>
        <v xml:space="preserve">    To Upper Basin</v>
      </c>
      <c r="B46" s="24" t="s">
        <v>164</v>
      </c>
      <c r="C46" s="14">
        <f>IF(OR(C$25="",$A4=""),"",MAX(0,C$25-SUM(C47:C50)))</f>
        <v>2.6262575125838925</v>
      </c>
      <c r="D46" s="14">
        <f t="shared" ref="D46:L46" si="12">IF(OR(D$25="",$A4=""),"",MAX(0,D$25-SUM(D47:D48)))</f>
        <v>3.2184795935308355</v>
      </c>
      <c r="E46" s="14">
        <f t="shared" si="12"/>
        <v>3.222658544851825</v>
      </c>
      <c r="F46" s="14">
        <f t="shared" si="12"/>
        <v>3.2243524331154196</v>
      </c>
      <c r="G46" s="14">
        <f t="shared" si="12"/>
        <v>3.2252686235427976</v>
      </c>
      <c r="H46" s="14" t="str">
        <f t="shared" si="12"/>
        <v/>
      </c>
      <c r="I46" s="14" t="str">
        <f t="shared" si="12"/>
        <v/>
      </c>
      <c r="J46" s="14" t="str">
        <f t="shared" si="12"/>
        <v/>
      </c>
      <c r="K46" s="14" t="str">
        <f t="shared" si="12"/>
        <v/>
      </c>
      <c r="L46" s="14" t="str">
        <f t="shared" si="12"/>
        <v/>
      </c>
      <c r="N46" s="78"/>
      <c r="O46" s="78"/>
    </row>
    <row r="47" spans="1:15" x14ac:dyDescent="0.35">
      <c r="A47" t="str">
        <f t="shared" ref="A47:A51" si="13">IF(A7="","","    To "&amp;A7)</f>
        <v xml:space="preserve">    To Lower Basin</v>
      </c>
      <c r="B47" s="44">
        <f>7.5-$B$50</f>
        <v>7.5</v>
      </c>
      <c r="C47" s="14">
        <f>IF(OR(C$25="",$A47=""),"",IF(C$25&lt;SUM(C48:C50),0,IF(C$25&lt;SUM(C48:C50)+$B47-C50*(1-0.144)/2,C$25-SUM(C48:C50),$B47-C50*(1-0.144)/2)))</f>
        <v>7.2512575125838925</v>
      </c>
      <c r="D47" s="14">
        <f t="shared" ref="D47:G47" si="14">IF(OR(D$25="",$A47=""),"",IF(D$25&lt;SUM(D48:D50),0,IF(D$25&lt;SUM(D48:D50)+$B47-D50*(1-0.144)/2,D$25-SUM(D48:D50),$B47-D50*(1-0.144)/2)))</f>
        <v>7.2429907936517521</v>
      </c>
      <c r="E47" s="14">
        <f t="shared" si="14"/>
        <v>7.2398638860199629</v>
      </c>
      <c r="F47" s="14">
        <f t="shared" si="14"/>
        <v>7.2385964311653854</v>
      </c>
      <c r="G47" s="14">
        <f t="shared" si="14"/>
        <v>7.2379108900763685</v>
      </c>
      <c r="H47" s="14" t="str">
        <f t="shared" ref="H47:L47" si="15">IF(OR(H$25="",$A47=""),"",IF(H$25&lt;$B48,0,IF(H$25&gt;$B47,$B47,H$25)))</f>
        <v/>
      </c>
      <c r="I47" s="14" t="str">
        <f t="shared" si="15"/>
        <v/>
      </c>
      <c r="J47" s="14" t="str">
        <f t="shared" si="15"/>
        <v/>
      </c>
      <c r="K47" s="14" t="str">
        <f t="shared" si="15"/>
        <v/>
      </c>
      <c r="L47" s="14" t="str">
        <f t="shared" si="15"/>
        <v/>
      </c>
      <c r="N47" s="78"/>
      <c r="O47" s="78"/>
    </row>
    <row r="48" spans="1:15" x14ac:dyDescent="0.35">
      <c r="A48" t="str">
        <f t="shared" si="13"/>
        <v xml:space="preserve">    To Mexico</v>
      </c>
      <c r="B48" s="44">
        <f>C44/2-0.05</f>
        <v>0.625</v>
      </c>
      <c r="C48" s="14">
        <f>IF(OR(C$25="",$A48=""),"",IF(C$25&gt;C50,$B48-C$42*0.144,C$25-C50))</f>
        <v>0.5413109388132723</v>
      </c>
      <c r="D48" s="14">
        <f t="shared" ref="D48:G48" si="16">IF(OR(D$25="",$A48=""),"",IF(D$25&gt;D50,$B48-D$42*0.144,D$25-D50))</f>
        <v>0.53852961281741196</v>
      </c>
      <c r="E48" s="14">
        <f t="shared" si="16"/>
        <v>0.53747756912821187</v>
      </c>
      <c r="F48" s="14">
        <f t="shared" si="16"/>
        <v>0.53705113571919527</v>
      </c>
      <c r="G48" s="14">
        <f t="shared" si="16"/>
        <v>0.53682048638083435</v>
      </c>
      <c r="H48" s="14" t="str">
        <f t="shared" ref="H48:L48" si="17">IF(OR(H$25="",$A48=""),"",IF(H$25&gt;$B48,$B48,H$25))</f>
        <v/>
      </c>
      <c r="I48" s="14" t="str">
        <f t="shared" si="17"/>
        <v/>
      </c>
      <c r="J48" s="14" t="str">
        <f t="shared" si="17"/>
        <v/>
      </c>
      <c r="K48" s="14" t="str">
        <f t="shared" si="17"/>
        <v/>
      </c>
      <c r="L48" s="14" t="str">
        <f t="shared" si="17"/>
        <v/>
      </c>
      <c r="N48" s="78"/>
      <c r="O48" s="78"/>
    </row>
    <row r="49" spans="1:13" x14ac:dyDescent="0.35">
      <c r="A49" t="str">
        <f t="shared" si="13"/>
        <v xml:space="preserve">    To Mohave &amp; Havasu Evap &amp; ET</v>
      </c>
      <c r="B49" s="44">
        <v>0</v>
      </c>
      <c r="C49" s="14">
        <f t="shared" ref="C49:L51" si="18">IF(OR(C$25="",$A49=""),"",IF(C$25&gt;$B49,$B49,C$25))</f>
        <v>0</v>
      </c>
      <c r="D49" s="14">
        <f t="shared" si="18"/>
        <v>0</v>
      </c>
      <c r="E49" s="14">
        <f t="shared" si="18"/>
        <v>0</v>
      </c>
      <c r="F49" s="14">
        <f t="shared" si="18"/>
        <v>0</v>
      </c>
      <c r="G49" s="14">
        <f t="shared" si="18"/>
        <v>0</v>
      </c>
      <c r="H49" s="14" t="str">
        <f t="shared" si="18"/>
        <v/>
      </c>
      <c r="I49" s="14" t="str">
        <f t="shared" si="18"/>
        <v/>
      </c>
      <c r="J49" s="14" t="str">
        <f t="shared" si="18"/>
        <v/>
      </c>
      <c r="K49" s="14" t="str">
        <f t="shared" si="18"/>
        <v/>
      </c>
      <c r="L49" s="14" t="str">
        <f t="shared" si="18"/>
        <v/>
      </c>
    </row>
    <row r="50" spans="1:13" x14ac:dyDescent="0.35">
      <c r="A50" t="str">
        <f t="shared" si="13"/>
        <v xml:space="preserve">    To Shared, Reserve</v>
      </c>
      <c r="B50" s="44"/>
      <c r="C50" s="14">
        <f>IF(OR(C$25="",$A50=""),"",IF(C$25&gt;C42,C42,C$25))</f>
        <v>0.58117403601894213</v>
      </c>
      <c r="D50" s="14">
        <f t="shared" ref="D50:G50" si="19">IF(OR(D$25="",$A50=""),"",IF(D$25&gt;D42,D42,D$25))</f>
        <v>0.60048879987908343</v>
      </c>
      <c r="E50" s="14">
        <f t="shared" si="19"/>
        <v>0.60779465883186234</v>
      </c>
      <c r="F50" s="14">
        <f t="shared" si="19"/>
        <v>0.61075600195003321</v>
      </c>
      <c r="G50" s="14">
        <f t="shared" si="19"/>
        <v>0.61235773346642852</v>
      </c>
      <c r="H50" s="59" t="str">
        <f t="shared" si="18"/>
        <v/>
      </c>
      <c r="I50" s="59" t="str">
        <f t="shared" si="18"/>
        <v/>
      </c>
      <c r="J50" s="59" t="str">
        <f t="shared" si="18"/>
        <v/>
      </c>
      <c r="K50" s="59" t="str">
        <f t="shared" si="18"/>
        <v/>
      </c>
      <c r="L50" s="59" t="str">
        <f t="shared" si="18"/>
        <v/>
      </c>
    </row>
    <row r="51" spans="1:13" x14ac:dyDescent="0.35">
      <c r="A51" t="str">
        <f t="shared" si="13"/>
        <v/>
      </c>
      <c r="B51" s="44"/>
      <c r="C51" s="14" t="str">
        <f t="shared" si="18"/>
        <v/>
      </c>
      <c r="D51" s="14" t="str">
        <f t="shared" si="18"/>
        <v/>
      </c>
      <c r="E51" s="14" t="str">
        <f t="shared" si="18"/>
        <v/>
      </c>
      <c r="F51" s="14" t="str">
        <f t="shared" si="18"/>
        <v/>
      </c>
      <c r="G51" s="14" t="str">
        <f t="shared" si="18"/>
        <v/>
      </c>
      <c r="H51" s="14" t="str">
        <f t="shared" si="18"/>
        <v/>
      </c>
      <c r="I51" s="14" t="str">
        <f t="shared" si="18"/>
        <v/>
      </c>
      <c r="J51" s="14" t="str">
        <f t="shared" si="18"/>
        <v/>
      </c>
      <c r="K51" s="14" t="str">
        <f t="shared" si="18"/>
        <v/>
      </c>
      <c r="L51" s="14" t="str">
        <f t="shared" si="18"/>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20">IF(OR($A53="",D$25=""),"",IF(D$26&gt;$B53,$B53,D$26))</f>
        <v>0</v>
      </c>
      <c r="E53" s="14">
        <f t="shared" si="20"/>
        <v>0</v>
      </c>
      <c r="F53" s="14">
        <f t="shared" si="20"/>
        <v>0</v>
      </c>
      <c r="G53" s="14">
        <f t="shared" si="20"/>
        <v>0</v>
      </c>
      <c r="H53" s="14" t="str">
        <f t="shared" si="20"/>
        <v/>
      </c>
      <c r="I53" s="14" t="str">
        <f t="shared" si="20"/>
        <v/>
      </c>
      <c r="J53" s="14" t="str">
        <f t="shared" si="20"/>
        <v/>
      </c>
      <c r="K53" s="14" t="str">
        <f t="shared" si="20"/>
        <v/>
      </c>
      <c r="L53" s="14" t="str">
        <f t="shared" si="20"/>
        <v/>
      </c>
    </row>
    <row r="54" spans="1:13" x14ac:dyDescent="0.35">
      <c r="A54" t="str">
        <f t="shared" ref="A54:A58" si="21">IF(A7="","","    To "&amp;A7)</f>
        <v xml:space="preserve">    To Lower Basin</v>
      </c>
      <c r="B54" s="44" t="s">
        <v>164</v>
      </c>
      <c r="C54" s="14">
        <f>IF(OR(C$25="",$A54=""),"",C$26-SUM(C55:C56))</f>
        <v>-0.47499999999999987</v>
      </c>
      <c r="D54" s="14">
        <f t="shared" ref="D54:L54" si="22">IF(OR(D$25="",$A54=""),"",D$26-SUM(D55:D56))</f>
        <v>-0.47499999999999987</v>
      </c>
      <c r="E54" s="14">
        <f t="shared" si="22"/>
        <v>-0.47499999999999987</v>
      </c>
      <c r="F54" s="14">
        <f t="shared" si="22"/>
        <v>-0.47499999999999987</v>
      </c>
      <c r="G54" s="14">
        <f t="shared" si="22"/>
        <v>-0.47499999999999987</v>
      </c>
      <c r="H54" s="14" t="str">
        <f t="shared" si="22"/>
        <v/>
      </c>
      <c r="I54" s="14" t="str">
        <f t="shared" si="22"/>
        <v/>
      </c>
      <c r="J54" s="14" t="str">
        <f t="shared" si="22"/>
        <v/>
      </c>
      <c r="K54" s="14" t="str">
        <f t="shared" si="22"/>
        <v/>
      </c>
      <c r="L54" s="14" t="str">
        <f t="shared" si="22"/>
        <v/>
      </c>
    </row>
    <row r="55" spans="1:13" x14ac:dyDescent="0.35">
      <c r="A55" t="str">
        <f t="shared" si="21"/>
        <v xml:space="preserve">    To Mexico</v>
      </c>
      <c r="B55" s="44">
        <f>C44/2</f>
        <v>0.67500000000000004</v>
      </c>
      <c r="C55" s="14">
        <f>IF(OR(C$25="",$A55=""),"",C44/2)</f>
        <v>0.67500000000000004</v>
      </c>
      <c r="D55" s="14">
        <f t="shared" ref="D55:L55" si="23">IF(OR(D$25="",$A55=""),"",D44/2)</f>
        <v>0.67500000000000004</v>
      </c>
      <c r="E55" s="14">
        <f t="shared" si="23"/>
        <v>0.67500000000000004</v>
      </c>
      <c r="F55" s="14">
        <f t="shared" si="23"/>
        <v>0.67500000000000004</v>
      </c>
      <c r="G55" s="14">
        <f t="shared" si="23"/>
        <v>0.67500000000000004</v>
      </c>
      <c r="H55" s="14" t="str">
        <f t="shared" si="23"/>
        <v/>
      </c>
      <c r="I55" s="14" t="str">
        <f t="shared" si="23"/>
        <v/>
      </c>
      <c r="J55" s="14" t="str">
        <f t="shared" si="23"/>
        <v/>
      </c>
      <c r="K55" s="14" t="str">
        <f t="shared" si="23"/>
        <v/>
      </c>
      <c r="L55" s="14" t="str">
        <f t="shared" si="23"/>
        <v/>
      </c>
    </row>
    <row r="56" spans="1:13" x14ac:dyDescent="0.35">
      <c r="A56" t="str">
        <f t="shared" si="21"/>
        <v xml:space="preserve">    To Mohave &amp; Havasu Evap &amp; ET</v>
      </c>
      <c r="B56" s="44">
        <v>0.6</v>
      </c>
      <c r="C56" s="14">
        <f>IF(OR($A56="",C$25=""),"",IF(C$26&gt;$B56,$B56,C$26))</f>
        <v>0.6</v>
      </c>
      <c r="D56" s="14">
        <f t="shared" ref="D56:L56" si="24">IF(OR($A56="",D$25=""),"",IF(D$26&gt;$B56,$B56,D$26))</f>
        <v>0.6</v>
      </c>
      <c r="E56" s="14">
        <f t="shared" si="24"/>
        <v>0.6</v>
      </c>
      <c r="F56" s="14">
        <f t="shared" si="24"/>
        <v>0.6</v>
      </c>
      <c r="G56" s="14">
        <f t="shared" si="24"/>
        <v>0.6</v>
      </c>
      <c r="H56" s="14" t="str">
        <f t="shared" si="24"/>
        <v/>
      </c>
      <c r="I56" s="14" t="str">
        <f t="shared" si="24"/>
        <v/>
      </c>
      <c r="J56" s="14" t="str">
        <f t="shared" si="24"/>
        <v/>
      </c>
      <c r="K56" s="14" t="str">
        <f t="shared" si="24"/>
        <v/>
      </c>
      <c r="L56" s="14" t="str">
        <f t="shared" si="24"/>
        <v/>
      </c>
    </row>
    <row r="57" spans="1:13" x14ac:dyDescent="0.35">
      <c r="A57" t="str">
        <f t="shared" si="21"/>
        <v xml:space="preserve">    To Shared, Reserve</v>
      </c>
      <c r="B57" s="61"/>
      <c r="C57" s="14">
        <f t="shared" ref="C57:L58" si="25">IF(OR($A57="",C$25=""),"",IF(C$26&gt;$B57,$B57,C$26))</f>
        <v>0</v>
      </c>
      <c r="D57" s="14">
        <f t="shared" si="25"/>
        <v>0</v>
      </c>
      <c r="E57" s="14">
        <f t="shared" si="25"/>
        <v>0</v>
      </c>
      <c r="F57" s="14">
        <f t="shared" si="25"/>
        <v>0</v>
      </c>
      <c r="G57" s="14">
        <f t="shared" si="25"/>
        <v>0</v>
      </c>
      <c r="H57" s="14" t="str">
        <f t="shared" si="25"/>
        <v/>
      </c>
      <c r="I57" s="14" t="str">
        <f t="shared" si="25"/>
        <v/>
      </c>
      <c r="J57" s="14" t="str">
        <f t="shared" si="25"/>
        <v/>
      </c>
      <c r="K57" s="14" t="str">
        <f t="shared" si="25"/>
        <v/>
      </c>
      <c r="L57" s="14" t="str">
        <f t="shared" si="25"/>
        <v/>
      </c>
    </row>
    <row r="58" spans="1:13" x14ac:dyDescent="0.35">
      <c r="A58" t="str">
        <f t="shared" si="21"/>
        <v/>
      </c>
      <c r="B58" s="44"/>
      <c r="C58" s="14" t="str">
        <f t="shared" si="25"/>
        <v/>
      </c>
      <c r="D58" s="14" t="str">
        <f t="shared" si="25"/>
        <v/>
      </c>
      <c r="E58" s="14" t="str">
        <f t="shared" si="25"/>
        <v/>
      </c>
      <c r="F58" s="14" t="str">
        <f t="shared" si="25"/>
        <v/>
      </c>
      <c r="G58" s="14" t="str">
        <f t="shared" si="25"/>
        <v/>
      </c>
      <c r="H58" s="14" t="str">
        <f t="shared" si="25"/>
        <v/>
      </c>
      <c r="I58" s="14" t="str">
        <f t="shared" si="25"/>
        <v/>
      </c>
      <c r="J58" s="14" t="str">
        <f t="shared" si="25"/>
        <v/>
      </c>
      <c r="K58" s="14" t="str">
        <f t="shared" si="25"/>
        <v/>
      </c>
      <c r="L58" s="14" t="str">
        <f t="shared" si="25"/>
        <v/>
      </c>
    </row>
    <row r="59" spans="1:13" x14ac:dyDescent="0.35">
      <c r="A59" s="1" t="s">
        <v>167</v>
      </c>
      <c r="C59"/>
      <c r="M59" t="s">
        <v>168</v>
      </c>
    </row>
    <row r="60" spans="1:13" x14ac:dyDescent="0.35">
      <c r="A60" t="str">
        <f>IF(A6="","","    "&amp;A6)</f>
        <v xml:space="preserve">    Upper Basin</v>
      </c>
      <c r="B60" s="1"/>
      <c r="C60" s="25">
        <v>0.5</v>
      </c>
      <c r="D60" s="25">
        <v>0.4</v>
      </c>
      <c r="E60" s="25">
        <v>0.4</v>
      </c>
      <c r="F60" s="50"/>
      <c r="G60" s="50"/>
      <c r="H60" s="50"/>
      <c r="I60" s="50"/>
      <c r="J60" s="50"/>
      <c r="K60" s="50"/>
      <c r="L60" s="50"/>
      <c r="M60" s="54">
        <f>SUMPRODUCT(C60:L60,C$67:L$67)</f>
        <v>455</v>
      </c>
    </row>
    <row r="61" spans="1:13" x14ac:dyDescent="0.35">
      <c r="A61" t="str">
        <f t="shared" ref="A61:A65" si="26">IF(A7="","","    "&amp;A7)</f>
        <v xml:space="preserve">    Lower Basin</v>
      </c>
      <c r="B61" s="1"/>
      <c r="C61" s="70">
        <f>-C60</f>
        <v>-0.5</v>
      </c>
      <c r="D61" s="70">
        <f t="shared" ref="D61:E61" si="27">-D60</f>
        <v>-0.4</v>
      </c>
      <c r="E61" s="70">
        <f t="shared" si="27"/>
        <v>-0.4</v>
      </c>
      <c r="F61" s="62"/>
      <c r="G61" s="62"/>
      <c r="H61" s="62"/>
      <c r="I61" s="62"/>
      <c r="J61" s="62"/>
      <c r="K61" s="67"/>
      <c r="L61" s="62"/>
      <c r="M61" s="54">
        <f t="shared" ref="M61:M65" si="28">SUMPRODUCT(C61:L61,C$67:L$67)</f>
        <v>-455</v>
      </c>
    </row>
    <row r="62" spans="1:13" x14ac:dyDescent="0.35">
      <c r="A62" t="str">
        <f t="shared" si="26"/>
        <v xml:space="preserve">    Mexico</v>
      </c>
      <c r="B62" s="1"/>
      <c r="C62" s="50"/>
      <c r="D62" s="50"/>
      <c r="E62" s="68"/>
      <c r="F62" s="50"/>
      <c r="G62" s="50"/>
      <c r="H62" s="68"/>
      <c r="I62" s="50"/>
      <c r="J62" s="50"/>
      <c r="K62" s="68"/>
      <c r="L62" s="50"/>
      <c r="M62" s="54">
        <f t="shared" si="28"/>
        <v>0</v>
      </c>
    </row>
    <row r="63" spans="1:13" x14ac:dyDescent="0.35">
      <c r="A63" t="str">
        <f t="shared" si="26"/>
        <v xml:space="preserve">    Mohave &amp; Havasu Evap &amp; ET</v>
      </c>
      <c r="B63" s="1"/>
      <c r="C63" s="50"/>
      <c r="D63" s="50"/>
      <c r="E63" s="68"/>
      <c r="F63" s="50"/>
      <c r="G63" s="50"/>
      <c r="H63" s="68"/>
      <c r="I63" s="50"/>
      <c r="J63" s="50"/>
      <c r="K63" s="68"/>
      <c r="L63" s="50"/>
      <c r="M63" s="54">
        <f t="shared" si="28"/>
        <v>0</v>
      </c>
    </row>
    <row r="64" spans="1:13" x14ac:dyDescent="0.35">
      <c r="A64" t="str">
        <f t="shared" si="26"/>
        <v xml:space="preserve">    Shared, Reserve</v>
      </c>
      <c r="B64" s="1"/>
      <c r="C64" s="50"/>
      <c r="D64" s="50"/>
      <c r="E64" s="68"/>
      <c r="F64" s="50"/>
      <c r="G64" s="50"/>
      <c r="H64" s="68"/>
      <c r="I64" s="50"/>
      <c r="J64" s="50"/>
      <c r="K64" s="68"/>
      <c r="L64" s="50"/>
      <c r="M64" s="54">
        <f t="shared" si="28"/>
        <v>0</v>
      </c>
    </row>
    <row r="65" spans="1:21" x14ac:dyDescent="0.35">
      <c r="A65" t="str">
        <f t="shared" si="26"/>
        <v/>
      </c>
      <c r="B65" s="1"/>
      <c r="C65" s="50"/>
      <c r="D65" s="50"/>
      <c r="E65" s="50"/>
      <c r="F65" s="50"/>
      <c r="G65" s="50"/>
      <c r="H65" s="50"/>
      <c r="I65" s="50"/>
      <c r="J65" s="50"/>
      <c r="K65" s="50"/>
      <c r="L65" s="50"/>
      <c r="M65" s="54">
        <f t="shared" si="28"/>
        <v>0</v>
      </c>
    </row>
    <row r="66" spans="1:21" x14ac:dyDescent="0.35">
      <c r="A66" t="s">
        <v>159</v>
      </c>
      <c r="B66" s="1"/>
      <c r="C66" s="53">
        <f>IF(C$25&lt;&gt;"",SUM(C60:C65),"")</f>
        <v>0</v>
      </c>
      <c r="D66" s="53">
        <f t="shared" ref="D66:L66" si="29">IF(D$25&lt;&gt;"",SUM(D60:D65),"")</f>
        <v>0</v>
      </c>
      <c r="E66" s="53">
        <f t="shared" si="29"/>
        <v>0</v>
      </c>
      <c r="F66" s="53">
        <f t="shared" si="29"/>
        <v>0</v>
      </c>
      <c r="G66" s="53">
        <f t="shared" si="29"/>
        <v>0</v>
      </c>
      <c r="H66" s="53" t="str">
        <f t="shared" si="29"/>
        <v/>
      </c>
      <c r="I66" s="53" t="str">
        <f t="shared" si="29"/>
        <v/>
      </c>
      <c r="J66" s="53" t="str">
        <f t="shared" si="29"/>
        <v/>
      </c>
      <c r="K66" s="53" t="str">
        <f t="shared" si="29"/>
        <v/>
      </c>
      <c r="L66" s="53" t="str">
        <f t="shared" si="29"/>
        <v/>
      </c>
      <c r="M66" s="34"/>
    </row>
    <row r="67" spans="1:21" x14ac:dyDescent="0.35">
      <c r="A67" t="s">
        <v>160</v>
      </c>
      <c r="B67" s="1"/>
      <c r="C67" s="31">
        <v>350</v>
      </c>
      <c r="D67" s="31">
        <v>350</v>
      </c>
      <c r="E67" s="31">
        <v>350</v>
      </c>
      <c r="F67" s="31"/>
      <c r="G67" s="31"/>
      <c r="H67" s="31"/>
      <c r="I67" s="31"/>
      <c r="J67" s="31"/>
      <c r="K67" s="31"/>
      <c r="L67" s="31"/>
    </row>
    <row r="68" spans="1:21" x14ac:dyDescent="0.35">
      <c r="A68" s="1" t="s">
        <v>186</v>
      </c>
      <c r="B68" s="1"/>
      <c r="C68"/>
    </row>
    <row r="69" spans="1:21" x14ac:dyDescent="0.35">
      <c r="A69" t="str">
        <f>IF(A6="","","    "&amp;A6)</f>
        <v xml:space="preserve">    Upper Basin</v>
      </c>
      <c r="C69" s="14">
        <f>IF(OR(C$25="",$A69=""),"",C28+C46+C53-C38-C60)</f>
        <v>6.8841016642426665</v>
      </c>
      <c r="D69" s="14">
        <f t="shared" ref="D69:L69" si="30">IF(OR(D$25="",$A69=""),"",D28+D46+D53-D38-D60)</f>
        <v>5.8432464755189955</v>
      </c>
      <c r="E69" s="14">
        <f t="shared" si="30"/>
        <v>5.2370907183780364</v>
      </c>
      <c r="F69" s="14">
        <f t="shared" si="30"/>
        <v>5.3475834362304475</v>
      </c>
      <c r="G69" s="14">
        <f t="shared" si="30"/>
        <v>5.6428493582043542</v>
      </c>
      <c r="H69" s="14" t="str">
        <f t="shared" si="30"/>
        <v/>
      </c>
      <c r="I69" s="14" t="str">
        <f t="shared" si="30"/>
        <v/>
      </c>
      <c r="J69" s="14" t="str">
        <f t="shared" si="30"/>
        <v/>
      </c>
      <c r="K69" s="14" t="str">
        <f t="shared" si="30"/>
        <v/>
      </c>
      <c r="L69" s="14" t="str">
        <f t="shared" si="30"/>
        <v/>
      </c>
    </row>
    <row r="70" spans="1:21" x14ac:dyDescent="0.35">
      <c r="A70" t="str">
        <f t="shared" ref="A70:A74" si="31">IF(A7="","","    "&amp;A7)</f>
        <v xml:space="preserve">    Lower Basin</v>
      </c>
      <c r="C70" s="14">
        <f t="shared" ref="C70:L74" si="32">IF(OR(C$25="",$A70=""),"",C29+C47+C54-C39-C61)</f>
        <v>11.177689716944087</v>
      </c>
      <c r="D70" s="14">
        <f t="shared" si="32"/>
        <v>11.231621780230601</v>
      </c>
      <c r="E70" s="14">
        <f t="shared" si="32"/>
        <v>11.277090951075238</v>
      </c>
      <c r="F70" s="14">
        <f t="shared" si="32"/>
        <v>10.91790950145309</v>
      </c>
      <c r="G70" s="14">
        <f t="shared" si="32"/>
        <v>10.575787228564204</v>
      </c>
      <c r="H70" s="14" t="str">
        <f t="shared" si="32"/>
        <v/>
      </c>
      <c r="I70" s="14" t="str">
        <f t="shared" si="32"/>
        <v/>
      </c>
      <c r="J70" s="14" t="str">
        <f t="shared" si="32"/>
        <v/>
      </c>
      <c r="K70" s="14" t="str">
        <f t="shared" si="32"/>
        <v/>
      </c>
      <c r="L70" s="14" t="str">
        <f t="shared" si="32"/>
        <v/>
      </c>
    </row>
    <row r="71" spans="1:21" x14ac:dyDescent="0.35">
      <c r="A71" t="str">
        <f t="shared" si="31"/>
        <v xml:space="preserve">    Mexico</v>
      </c>
      <c r="C71" s="60">
        <f t="shared" si="32"/>
        <v>1.2163109388132725</v>
      </c>
      <c r="D71" s="14">
        <f t="shared" si="32"/>
        <v>1.213529612817412</v>
      </c>
      <c r="E71" s="14">
        <f t="shared" si="32"/>
        <v>1.2124775691282119</v>
      </c>
      <c r="F71" s="14">
        <f t="shared" si="32"/>
        <v>1.2120511357191952</v>
      </c>
      <c r="G71" s="14">
        <f t="shared" si="32"/>
        <v>1.2118204863808344</v>
      </c>
      <c r="H71" s="14" t="str">
        <f t="shared" si="32"/>
        <v/>
      </c>
      <c r="I71" s="14" t="str">
        <f t="shared" si="32"/>
        <v/>
      </c>
      <c r="J71" s="14" t="str">
        <f t="shared" si="32"/>
        <v/>
      </c>
      <c r="K71" s="14" t="str">
        <f t="shared" si="32"/>
        <v/>
      </c>
      <c r="L71" s="14" t="str">
        <f t="shared" si="32"/>
        <v/>
      </c>
    </row>
    <row r="72" spans="1:21" x14ac:dyDescent="0.35">
      <c r="A72" t="str">
        <f t="shared" si="31"/>
        <v xml:space="preserve">    Mohave &amp; Havasu Evap &amp; ET</v>
      </c>
      <c r="C72" s="14">
        <f t="shared" si="32"/>
        <v>0.6</v>
      </c>
      <c r="D72" s="14">
        <f t="shared" si="32"/>
        <v>0.6</v>
      </c>
      <c r="E72" s="14">
        <f t="shared" si="32"/>
        <v>0.6</v>
      </c>
      <c r="F72" s="14">
        <f t="shared" si="32"/>
        <v>0.6</v>
      </c>
      <c r="G72" s="14">
        <f t="shared" si="32"/>
        <v>0.6</v>
      </c>
      <c r="H72" s="14" t="str">
        <f t="shared" si="32"/>
        <v/>
      </c>
      <c r="I72" s="14" t="str">
        <f t="shared" si="32"/>
        <v/>
      </c>
      <c r="J72" s="14" t="str">
        <f t="shared" si="32"/>
        <v/>
      </c>
      <c r="K72" s="14" t="str">
        <f t="shared" si="32"/>
        <v/>
      </c>
      <c r="L72" s="14" t="str">
        <f t="shared" si="32"/>
        <v/>
      </c>
    </row>
    <row r="73" spans="1:21" x14ac:dyDescent="0.35">
      <c r="A73" t="str">
        <f t="shared" si="31"/>
        <v xml:space="preserve">    Shared, Reserve</v>
      </c>
      <c r="C73" s="14">
        <f t="shared" si="32"/>
        <v>12</v>
      </c>
      <c r="D73" s="14">
        <f t="shared" si="32"/>
        <v>12</v>
      </c>
      <c r="E73" s="14">
        <f t="shared" si="32"/>
        <v>12</v>
      </c>
      <c r="F73" s="14">
        <f t="shared" si="32"/>
        <v>12</v>
      </c>
      <c r="G73" s="14">
        <f t="shared" si="32"/>
        <v>12</v>
      </c>
      <c r="H73" s="60" t="str">
        <f t="shared" si="32"/>
        <v/>
      </c>
      <c r="I73" s="60" t="str">
        <f t="shared" si="32"/>
        <v/>
      </c>
      <c r="J73" s="60" t="str">
        <f t="shared" si="32"/>
        <v/>
      </c>
      <c r="K73" s="60" t="str">
        <f t="shared" si="32"/>
        <v/>
      </c>
      <c r="L73" s="60" t="str">
        <f t="shared" si="32"/>
        <v/>
      </c>
    </row>
    <row r="74" spans="1:21" x14ac:dyDescent="0.35">
      <c r="A74" t="str">
        <f t="shared" si="31"/>
        <v/>
      </c>
      <c r="C74" s="14" t="str">
        <f t="shared" si="32"/>
        <v/>
      </c>
      <c r="D74" s="14" t="str">
        <f t="shared" si="32"/>
        <v/>
      </c>
      <c r="E74" s="14" t="str">
        <f t="shared" si="32"/>
        <v/>
      </c>
      <c r="F74" s="14" t="str">
        <f t="shared" si="32"/>
        <v/>
      </c>
      <c r="G74" s="14" t="str">
        <f t="shared" si="32"/>
        <v/>
      </c>
      <c r="H74" s="14" t="str">
        <f t="shared" si="32"/>
        <v/>
      </c>
      <c r="I74" s="14" t="str">
        <f t="shared" si="32"/>
        <v/>
      </c>
      <c r="J74" s="14" t="str">
        <f t="shared" si="32"/>
        <v/>
      </c>
      <c r="K74" s="14" t="str">
        <f t="shared" si="32"/>
        <v/>
      </c>
      <c r="L74" s="14" t="str">
        <f t="shared" si="32"/>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v>3.7</v>
      </c>
      <c r="D76" s="43">
        <v>3.3</v>
      </c>
      <c r="E76" s="43">
        <v>3</v>
      </c>
      <c r="F76" s="43">
        <v>2.8</v>
      </c>
      <c r="G76" s="43">
        <v>2.8</v>
      </c>
      <c r="H76" s="43"/>
      <c r="I76" s="43"/>
      <c r="J76" s="43"/>
      <c r="K76" s="43"/>
      <c r="L76" s="43"/>
      <c r="N76" s="1" t="s">
        <v>129</v>
      </c>
    </row>
    <row r="77" spans="1:21" x14ac:dyDescent="0.35">
      <c r="A77" t="str">
        <f>IF(A7="","","    "&amp;A7&amp;" - Release from Mead")</f>
        <v xml:space="preserve">    Lower Basin - Release from Mead</v>
      </c>
      <c r="C77" s="43">
        <v>6.9</v>
      </c>
      <c r="D77" s="43">
        <v>6.9</v>
      </c>
      <c r="E77" s="43">
        <v>6.9</v>
      </c>
      <c r="F77" s="43">
        <v>6.9</v>
      </c>
      <c r="G77" s="43">
        <f t="shared" ref="G77" si="33">F77</f>
        <v>6.9</v>
      </c>
      <c r="H77" s="43"/>
      <c r="I77" s="43"/>
      <c r="J77" s="43"/>
      <c r="K77" s="43"/>
      <c r="L77" s="43"/>
      <c r="N77" s="37" t="s">
        <v>130</v>
      </c>
      <c r="O77" s="37" t="s">
        <v>131</v>
      </c>
      <c r="P77" s="38" t="s">
        <v>132</v>
      </c>
      <c r="Q77" s="38" t="s">
        <v>133</v>
      </c>
      <c r="R77" s="37" t="s">
        <v>134</v>
      </c>
      <c r="S77" s="37" t="s">
        <v>134</v>
      </c>
      <c r="T77" s="51" t="s">
        <v>157</v>
      </c>
      <c r="U77" s="51" t="s">
        <v>158</v>
      </c>
    </row>
    <row r="78" spans="1:21" x14ac:dyDescent="0.35">
      <c r="A78" t="str">
        <f t="shared" ref="A78:A81" si="34">IF(A8="","","    "&amp;A8&amp;" - Release from Mead")</f>
        <v xml:space="preserve">    Mexico - Release from Mead</v>
      </c>
      <c r="C78" s="50">
        <f>C71</f>
        <v>1.2163109388132725</v>
      </c>
      <c r="D78" s="50">
        <f>D71</f>
        <v>1.213529612817412</v>
      </c>
      <c r="E78" s="50">
        <f>E71</f>
        <v>1.2124775691282119</v>
      </c>
      <c r="F78" s="50">
        <f>F71</f>
        <v>1.2120511357191952</v>
      </c>
      <c r="G78" s="50">
        <f>G71</f>
        <v>1.2118204863808344</v>
      </c>
      <c r="H78" s="50"/>
      <c r="I78" s="50"/>
      <c r="J78" s="50"/>
      <c r="K78" s="50"/>
      <c r="L78" s="50"/>
      <c r="N78" s="39">
        <v>1025</v>
      </c>
      <c r="O78" s="40">
        <v>5.981122</v>
      </c>
      <c r="P78" s="41">
        <f>S78-Q78</f>
        <v>1.2000000000000002</v>
      </c>
      <c r="Q78" s="49">
        <v>0.15</v>
      </c>
      <c r="R78" s="41">
        <v>1.325</v>
      </c>
      <c r="S78" s="41">
        <f t="shared" ref="S78:S85" si="35">U78/1000000</f>
        <v>1.35</v>
      </c>
      <c r="T78" s="42">
        <v>0.125</v>
      </c>
      <c r="U78" s="52">
        <v>1350000</v>
      </c>
    </row>
    <row r="79" spans="1:21" x14ac:dyDescent="0.35">
      <c r="A79" t="str">
        <f t="shared" si="34"/>
        <v xml:space="preserve">    Mohave &amp; Havasu Evap &amp; ET - Release from Mead</v>
      </c>
      <c r="C79" s="43">
        <v>0.6</v>
      </c>
      <c r="D79" s="43">
        <v>0.6</v>
      </c>
      <c r="E79" s="43">
        <v>0.6</v>
      </c>
      <c r="F79" s="43">
        <v>0.6</v>
      </c>
      <c r="G79" s="43">
        <v>0.6</v>
      </c>
      <c r="H79" s="43"/>
      <c r="I79" s="43"/>
      <c r="J79" s="43"/>
      <c r="K79" s="43"/>
      <c r="L79" s="43"/>
      <c r="N79" s="39">
        <v>1030</v>
      </c>
      <c r="O79" s="40">
        <v>6.305377</v>
      </c>
      <c r="P79" s="41">
        <f t="shared" ref="P79:P85" si="36">S79-Q79</f>
        <v>1.117</v>
      </c>
      <c r="Q79" s="49">
        <v>0.10100000000000001</v>
      </c>
      <c r="R79" s="41">
        <v>1.1870000000000001</v>
      </c>
      <c r="S79" s="41">
        <f t="shared" si="35"/>
        <v>1.218</v>
      </c>
      <c r="T79" s="42">
        <v>7.0000000000000007E-2</v>
      </c>
      <c r="U79" s="52">
        <v>1218000</v>
      </c>
    </row>
    <row r="80" spans="1:21" x14ac:dyDescent="0.35">
      <c r="A80" t="str">
        <f t="shared" si="34"/>
        <v xml:space="preserve">    Shared, Reserve - Release from Mead</v>
      </c>
      <c r="C80" s="68"/>
      <c r="D80" s="68"/>
      <c r="E80" s="50"/>
      <c r="F80" s="50"/>
      <c r="G80" s="50"/>
      <c r="H80" s="50" t="str">
        <f>H73</f>
        <v/>
      </c>
      <c r="I80" s="50"/>
      <c r="J80" s="50"/>
      <c r="K80" s="50" t="str">
        <f>K73</f>
        <v/>
      </c>
      <c r="L80" s="50"/>
      <c r="N80" s="39">
        <v>1035</v>
      </c>
      <c r="O80" s="40">
        <v>6.6375080000000004</v>
      </c>
      <c r="P80" s="41">
        <f t="shared" si="36"/>
        <v>1.0669999999999999</v>
      </c>
      <c r="Q80" s="49">
        <v>9.1999999999999998E-2</v>
      </c>
      <c r="R80" s="41">
        <v>1.137</v>
      </c>
      <c r="S80" s="41">
        <f t="shared" si="35"/>
        <v>1.159</v>
      </c>
      <c r="T80" s="42">
        <v>7.0000000000000007E-2</v>
      </c>
      <c r="U80" s="52">
        <v>1159000</v>
      </c>
    </row>
    <row r="81" spans="1:21" x14ac:dyDescent="0.35">
      <c r="A81" t="str">
        <f t="shared" si="34"/>
        <v/>
      </c>
      <c r="C81" s="43"/>
      <c r="D81" s="43"/>
      <c r="E81" s="43"/>
      <c r="F81" s="43"/>
      <c r="G81" s="43"/>
      <c r="H81" s="43"/>
      <c r="I81" s="43"/>
      <c r="J81" s="43"/>
      <c r="K81" s="43"/>
      <c r="L81" s="43"/>
      <c r="N81" s="39">
        <v>1040</v>
      </c>
      <c r="O81" s="40">
        <v>6.977665</v>
      </c>
      <c r="P81" s="41">
        <f t="shared" si="36"/>
        <v>1.0169999999999999</v>
      </c>
      <c r="Q81" s="49">
        <v>8.4000000000000005E-2</v>
      </c>
      <c r="R81" s="41">
        <v>1.087</v>
      </c>
      <c r="S81" s="41">
        <f t="shared" si="35"/>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6"/>
        <v>0.96699999999999997</v>
      </c>
      <c r="Q82" s="49">
        <v>7.5999999999999998E-2</v>
      </c>
      <c r="R82" s="41">
        <v>1.0369999999999999</v>
      </c>
      <c r="S82" s="41">
        <f t="shared" si="35"/>
        <v>1.0429999999999999</v>
      </c>
      <c r="T82" s="42">
        <v>7.0000000000000007E-2</v>
      </c>
      <c r="U82" s="52">
        <v>1043000</v>
      </c>
    </row>
    <row r="83" spans="1:21" x14ac:dyDescent="0.35">
      <c r="A83" t="str">
        <f>IF(A6="","","    "&amp;A6)</f>
        <v xml:space="preserve">    Upper Basin</v>
      </c>
      <c r="C83" s="14">
        <f>IF(OR(C$25="",$A83=""),"",C69-C76)</f>
        <v>3.1841016642426663</v>
      </c>
      <c r="D83" s="14">
        <f t="shared" ref="D83:L83" si="37">IF(OR(D$25="",$A83=""),"",D69-D76)</f>
        <v>2.5432464755189956</v>
      </c>
      <c r="E83" s="14">
        <f t="shared" si="37"/>
        <v>2.2370907183780364</v>
      </c>
      <c r="F83" s="14">
        <f t="shared" si="37"/>
        <v>2.5475834362304477</v>
      </c>
      <c r="G83" s="14">
        <f t="shared" si="37"/>
        <v>2.8428493582043544</v>
      </c>
      <c r="H83" s="14" t="str">
        <f t="shared" si="37"/>
        <v/>
      </c>
      <c r="I83" s="14" t="str">
        <f t="shared" si="37"/>
        <v/>
      </c>
      <c r="J83" s="14" t="str">
        <f t="shared" si="37"/>
        <v/>
      </c>
      <c r="K83" s="14" t="str">
        <f t="shared" si="37"/>
        <v/>
      </c>
      <c r="L83" s="14" t="str">
        <f t="shared" si="37"/>
        <v/>
      </c>
      <c r="N83" s="39">
        <v>1050</v>
      </c>
      <c r="O83" s="40">
        <v>7.6828779999999997</v>
      </c>
      <c r="P83" s="41">
        <f t="shared" si="36"/>
        <v>0.71699999999999997</v>
      </c>
      <c r="Q83" s="49">
        <v>3.4000000000000002E-2</v>
      </c>
      <c r="R83" s="41">
        <v>0.78700000000000003</v>
      </c>
      <c r="S83" s="41">
        <f t="shared" si="35"/>
        <v>0.751</v>
      </c>
      <c r="T83" s="42">
        <v>7.0000000000000007E-2</v>
      </c>
      <c r="U83" s="52">
        <v>751000</v>
      </c>
    </row>
    <row r="84" spans="1:21" x14ac:dyDescent="0.35">
      <c r="A84" t="str">
        <f t="shared" ref="A84:A88" si="38">IF(A7="","","    "&amp;A7)</f>
        <v xml:space="preserve">    Lower Basin</v>
      </c>
      <c r="C84" s="14">
        <f t="shared" ref="C84:L88" si="39">IF(OR(C$25="",$A84=""),"",C70-C77)</f>
        <v>4.2776897169440868</v>
      </c>
      <c r="D84" s="14">
        <f t="shared" si="39"/>
        <v>4.3316217802306003</v>
      </c>
      <c r="E84" s="14">
        <f t="shared" si="39"/>
        <v>4.3770909510752372</v>
      </c>
      <c r="F84" s="14">
        <f t="shared" si="39"/>
        <v>4.0179095014530901</v>
      </c>
      <c r="G84" s="14">
        <f t="shared" si="39"/>
        <v>3.6757872285642037</v>
      </c>
      <c r="H84" s="14" t="str">
        <f t="shared" si="39"/>
        <v/>
      </c>
      <c r="I84" s="14" t="str">
        <f t="shared" si="39"/>
        <v/>
      </c>
      <c r="J84" s="14" t="str">
        <f t="shared" si="39"/>
        <v/>
      </c>
      <c r="K84" s="14" t="str">
        <f t="shared" si="39"/>
        <v/>
      </c>
      <c r="L84" s="14" t="str">
        <f t="shared" si="39"/>
        <v/>
      </c>
      <c r="N84" s="39">
        <v>1075</v>
      </c>
      <c r="O84" s="40">
        <v>9.6009879999900001</v>
      </c>
      <c r="P84" s="41">
        <f t="shared" si="36"/>
        <v>0.63300000000000001</v>
      </c>
      <c r="Q84" s="49">
        <v>0.03</v>
      </c>
      <c r="R84" s="41">
        <v>0.68300000000000005</v>
      </c>
      <c r="S84" s="41">
        <f t="shared" si="35"/>
        <v>0.66300000000000003</v>
      </c>
      <c r="T84" s="42">
        <v>0.05</v>
      </c>
      <c r="U84" s="52">
        <v>663000</v>
      </c>
    </row>
    <row r="85" spans="1:21" x14ac:dyDescent="0.35">
      <c r="A85" t="str">
        <f t="shared" si="38"/>
        <v xml:space="preserve">    Mexico</v>
      </c>
      <c r="C85" s="14">
        <f t="shared" si="39"/>
        <v>0</v>
      </c>
      <c r="D85" s="14">
        <f t="shared" si="39"/>
        <v>0</v>
      </c>
      <c r="E85" s="14">
        <f t="shared" si="39"/>
        <v>0</v>
      </c>
      <c r="F85" s="14">
        <f t="shared" si="39"/>
        <v>0</v>
      </c>
      <c r="G85" s="14">
        <f t="shared" si="39"/>
        <v>0</v>
      </c>
      <c r="H85" s="14" t="str">
        <f t="shared" si="39"/>
        <v/>
      </c>
      <c r="I85" s="14" t="str">
        <f t="shared" si="39"/>
        <v/>
      </c>
      <c r="J85" s="14" t="str">
        <f t="shared" si="39"/>
        <v/>
      </c>
      <c r="K85" s="14" t="str">
        <f t="shared" si="39"/>
        <v/>
      </c>
      <c r="L85" s="14" t="str">
        <f t="shared" si="39"/>
        <v/>
      </c>
      <c r="N85" s="39">
        <v>1090</v>
      </c>
      <c r="O85" s="40">
        <v>10.857008</v>
      </c>
      <c r="P85" s="41">
        <f t="shared" si="36"/>
        <v>0.30000000000000004</v>
      </c>
      <c r="Q85" s="49">
        <v>4.1000000000000002E-2</v>
      </c>
      <c r="R85" s="41">
        <v>0.3</v>
      </c>
      <c r="S85" s="41">
        <f t="shared" si="35"/>
        <v>0.34100000000000003</v>
      </c>
      <c r="T85" s="38"/>
      <c r="U85" s="52">
        <v>341000</v>
      </c>
    </row>
    <row r="86" spans="1:21" x14ac:dyDescent="0.35">
      <c r="A86" t="str">
        <f t="shared" si="38"/>
        <v xml:space="preserve">    Mohave &amp; Havasu Evap &amp; ET</v>
      </c>
      <c r="C86" s="14">
        <f t="shared" si="39"/>
        <v>0</v>
      </c>
      <c r="D86" s="14">
        <f t="shared" si="39"/>
        <v>0</v>
      </c>
      <c r="E86" s="14">
        <f t="shared" si="39"/>
        <v>0</v>
      </c>
      <c r="F86" s="14">
        <f t="shared" si="39"/>
        <v>0</v>
      </c>
      <c r="G86" s="14">
        <f t="shared" si="39"/>
        <v>0</v>
      </c>
      <c r="H86" s="14" t="str">
        <f t="shared" si="39"/>
        <v/>
      </c>
      <c r="I86" s="14" t="str">
        <f t="shared" si="39"/>
        <v/>
      </c>
      <c r="J86" s="14" t="str">
        <f t="shared" si="39"/>
        <v/>
      </c>
      <c r="K86" s="14" t="str">
        <f t="shared" si="39"/>
        <v/>
      </c>
      <c r="L86" s="14" t="str">
        <f t="shared" si="39"/>
        <v/>
      </c>
    </row>
    <row r="87" spans="1:21" x14ac:dyDescent="0.35">
      <c r="A87" t="str">
        <f t="shared" si="38"/>
        <v xml:space="preserve">    Shared, Reserve</v>
      </c>
      <c r="C87" s="14">
        <f>IF(OR(C$25="",$A87=""),"",C73-C80)</f>
        <v>12</v>
      </c>
      <c r="D87" s="14">
        <f t="shared" si="39"/>
        <v>12</v>
      </c>
      <c r="E87" s="14">
        <f t="shared" si="39"/>
        <v>12</v>
      </c>
      <c r="F87" s="14">
        <f t="shared" si="39"/>
        <v>12</v>
      </c>
      <c r="G87" s="14">
        <f t="shared" si="39"/>
        <v>12</v>
      </c>
      <c r="H87" s="59" t="str">
        <f t="shared" si="39"/>
        <v/>
      </c>
      <c r="I87" s="59" t="str">
        <f t="shared" si="39"/>
        <v/>
      </c>
      <c r="J87" s="59" t="str">
        <f t="shared" si="39"/>
        <v/>
      </c>
      <c r="K87" s="59" t="str">
        <f t="shared" si="39"/>
        <v/>
      </c>
      <c r="L87" s="59" t="str">
        <f t="shared" si="39"/>
        <v/>
      </c>
    </row>
    <row r="88" spans="1:21" x14ac:dyDescent="0.35">
      <c r="A88" t="str">
        <f t="shared" si="38"/>
        <v/>
      </c>
      <c r="C88" s="14" t="str">
        <f t="shared" si="39"/>
        <v/>
      </c>
      <c r="D88" s="14" t="str">
        <f t="shared" si="39"/>
        <v/>
      </c>
      <c r="E88" s="14" t="str">
        <f t="shared" si="39"/>
        <v/>
      </c>
      <c r="F88" s="14" t="str">
        <f t="shared" si="39"/>
        <v/>
      </c>
      <c r="G88" s="14" t="str">
        <f t="shared" si="39"/>
        <v/>
      </c>
      <c r="H88" s="14" t="str">
        <f t="shared" si="39"/>
        <v/>
      </c>
      <c r="I88" s="14" t="str">
        <f t="shared" si="39"/>
        <v/>
      </c>
      <c r="J88" s="14" t="str">
        <f t="shared" si="39"/>
        <v/>
      </c>
      <c r="K88" s="14" t="str">
        <f t="shared" si="39"/>
        <v/>
      </c>
      <c r="L88" s="14" t="str">
        <f t="shared" si="39"/>
        <v/>
      </c>
    </row>
    <row r="89" spans="1:21" x14ac:dyDescent="0.35">
      <c r="A89" s="1" t="s">
        <v>125</v>
      </c>
      <c r="B89" s="1"/>
      <c r="C89" s="14">
        <f>IF(C$25&lt;&gt;"",SUM(C83:C88),"")</f>
        <v>19.461791381186753</v>
      </c>
      <c r="D89" s="14">
        <f t="shared" ref="D89:L89" si="40">IF(D$25&lt;&gt;"",SUM(D83:D88),"")</f>
        <v>18.874868255749597</v>
      </c>
      <c r="E89" s="14">
        <f t="shared" si="40"/>
        <v>18.614181669453274</v>
      </c>
      <c r="F89" s="14">
        <f t="shared" si="40"/>
        <v>18.565492937683537</v>
      </c>
      <c r="G89" s="14">
        <f t="shared" si="40"/>
        <v>18.518636586768558</v>
      </c>
      <c r="H89" s="14" t="str">
        <f t="shared" si="40"/>
        <v/>
      </c>
      <c r="I89" s="14" t="str">
        <f t="shared" si="40"/>
        <v/>
      </c>
      <c r="J89" s="14" t="str">
        <f t="shared" si="40"/>
        <v/>
      </c>
      <c r="K89" s="14" t="str">
        <f t="shared" si="40"/>
        <v/>
      </c>
      <c r="L89" s="14" t="str">
        <f t="shared" si="40"/>
        <v/>
      </c>
    </row>
    <row r="90" spans="1:21" x14ac:dyDescent="0.35">
      <c r="A90" s="1" t="s">
        <v>147</v>
      </c>
      <c r="B90" s="1"/>
      <c r="C90" s="14">
        <f>IF(C25&lt;&gt;"",C35+C25-C38-C76-C89*$B$35,"")</f>
        <v>8.3269484610653972</v>
      </c>
      <c r="D90" s="14">
        <f t="shared" ref="D90:L90" si="41">IF(D25&lt;&gt;"",D35+D25-D38-D76-D89*$B$35,"")</f>
        <v>7.8341267804640751</v>
      </c>
      <c r="E90" s="14">
        <f t="shared" si="41"/>
        <v>8.0015289911553786</v>
      </c>
      <c r="F90" s="14">
        <f t="shared" si="41"/>
        <v>8.11048465062186</v>
      </c>
      <c r="G90" s="14">
        <f t="shared" si="41"/>
        <v>8.0934254738885976</v>
      </c>
      <c r="H90" s="14" t="str">
        <f t="shared" si="41"/>
        <v/>
      </c>
      <c r="I90" s="14" t="str">
        <f t="shared" si="41"/>
        <v/>
      </c>
      <c r="J90" s="14" t="str">
        <f t="shared" si="41"/>
        <v/>
      </c>
      <c r="K90" s="14" t="str">
        <f t="shared" si="41"/>
        <v/>
      </c>
      <c r="L90" s="14" t="str">
        <f t="shared" si="41"/>
        <v/>
      </c>
    </row>
    <row r="92" spans="1:21" x14ac:dyDescent="0.35">
      <c r="A92" s="1" t="s">
        <v>127</v>
      </c>
      <c r="C92" s="12">
        <f>IF(C$25&lt;&gt;"",0.2,"")</f>
        <v>0.2</v>
      </c>
      <c r="D92" s="12">
        <f t="shared" ref="D92:L92" si="42">IF(D$25&lt;&gt;"",0.2,"")</f>
        <v>0.2</v>
      </c>
      <c r="E92" s="12">
        <f t="shared" si="42"/>
        <v>0.2</v>
      </c>
      <c r="F92" s="12">
        <f t="shared" si="42"/>
        <v>0.2</v>
      </c>
      <c r="G92" s="12">
        <f t="shared" si="42"/>
        <v>0.2</v>
      </c>
      <c r="H92" s="12" t="str">
        <f t="shared" si="42"/>
        <v/>
      </c>
      <c r="I92" s="12" t="str">
        <f t="shared" si="42"/>
        <v/>
      </c>
      <c r="J92" s="12" t="str">
        <f t="shared" si="42"/>
        <v/>
      </c>
      <c r="K92" s="12" t="str">
        <f t="shared" si="42"/>
        <v/>
      </c>
      <c r="L92" s="12" t="str">
        <f t="shared" si="42"/>
        <v/>
      </c>
    </row>
    <row r="93" spans="1:21" x14ac:dyDescent="0.35">
      <c r="A93" t="s">
        <v>128</v>
      </c>
      <c r="C93" s="14">
        <f t="shared" ref="C93:L93" si="43">IF(C$25&lt;&gt;"",C77+C92,"")</f>
        <v>7.1000000000000005</v>
      </c>
      <c r="D93" s="14">
        <f t="shared" si="43"/>
        <v>7.1000000000000005</v>
      </c>
      <c r="E93" s="14">
        <f t="shared" si="43"/>
        <v>7.1000000000000005</v>
      </c>
      <c r="F93" s="14">
        <f t="shared" si="43"/>
        <v>7.1000000000000005</v>
      </c>
      <c r="G93" s="14">
        <f t="shared" si="43"/>
        <v>7.1000000000000005</v>
      </c>
      <c r="H93" s="14" t="str">
        <f t="shared" si="43"/>
        <v/>
      </c>
      <c r="I93" s="14" t="str">
        <f t="shared" si="43"/>
        <v/>
      </c>
      <c r="J93" s="14" t="str">
        <f t="shared" si="43"/>
        <v/>
      </c>
      <c r="K93" s="14" t="str">
        <f t="shared" si="43"/>
        <v/>
      </c>
      <c r="L93" s="14" t="str">
        <f t="shared" si="43"/>
        <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7">
    <cfRule type="cellIs" dxfId="315" priority="57" operator="greaterThan">
      <formula>$C$70</formula>
    </cfRule>
  </conditionalFormatting>
  <conditionalFormatting sqref="C78">
    <cfRule type="cellIs" dxfId="314" priority="56" operator="greaterThan">
      <formula>$C$71</formula>
    </cfRule>
  </conditionalFormatting>
  <conditionalFormatting sqref="C79">
    <cfRule type="cellIs" dxfId="313" priority="55" operator="greaterThan">
      <formula>$C$72</formula>
    </cfRule>
  </conditionalFormatting>
  <conditionalFormatting sqref="C80">
    <cfRule type="cellIs" dxfId="312" priority="54" operator="greaterThan">
      <formula>$C$73</formula>
    </cfRule>
  </conditionalFormatting>
  <conditionalFormatting sqref="C81">
    <cfRule type="cellIs" dxfId="311" priority="53" operator="greaterThan">
      <formula>$C$74</formula>
    </cfRule>
  </conditionalFormatting>
  <conditionalFormatting sqref="D77:G77">
    <cfRule type="cellIs" dxfId="310" priority="52" operator="greaterThan">
      <formula>$D$70</formula>
    </cfRule>
  </conditionalFormatting>
  <conditionalFormatting sqref="D78">
    <cfRule type="cellIs" dxfId="309" priority="51" operator="greaterThan">
      <formula>$D$71</formula>
    </cfRule>
  </conditionalFormatting>
  <conditionalFormatting sqref="D79">
    <cfRule type="cellIs" dxfId="308" priority="50" operator="greaterThan">
      <formula>$D$72</formula>
    </cfRule>
  </conditionalFormatting>
  <conditionalFormatting sqref="D80">
    <cfRule type="cellIs" dxfId="307" priority="49" operator="greaterThan">
      <formula>$D$73</formula>
    </cfRule>
  </conditionalFormatting>
  <conditionalFormatting sqref="D81">
    <cfRule type="cellIs" dxfId="306" priority="48" operator="greaterThan">
      <formula>$D$74</formula>
    </cfRule>
  </conditionalFormatting>
  <conditionalFormatting sqref="E78">
    <cfRule type="cellIs" dxfId="305" priority="46" operator="greaterThan">
      <formula>$E$71</formula>
    </cfRule>
  </conditionalFormatting>
  <conditionalFormatting sqref="E79">
    <cfRule type="cellIs" dxfId="304" priority="45" operator="greaterThan">
      <formula>$E$72</formula>
    </cfRule>
  </conditionalFormatting>
  <conditionalFormatting sqref="E80">
    <cfRule type="cellIs" dxfId="303" priority="44" operator="greaterThan">
      <formula>$E$73</formula>
    </cfRule>
  </conditionalFormatting>
  <conditionalFormatting sqref="E81">
    <cfRule type="cellIs" dxfId="302" priority="43" operator="greaterThan">
      <formula>$E$74</formula>
    </cfRule>
  </conditionalFormatting>
  <conditionalFormatting sqref="F78">
    <cfRule type="cellIs" dxfId="301" priority="41" operator="greaterThan">
      <formula>$F$71</formula>
    </cfRule>
  </conditionalFormatting>
  <conditionalFormatting sqref="F79">
    <cfRule type="cellIs" dxfId="300" priority="40" operator="greaterThan">
      <formula>$F$72</formula>
    </cfRule>
  </conditionalFormatting>
  <conditionalFormatting sqref="F80">
    <cfRule type="cellIs" dxfId="299" priority="39" operator="greaterThan">
      <formula>$F$73</formula>
    </cfRule>
  </conditionalFormatting>
  <conditionalFormatting sqref="F81">
    <cfRule type="cellIs" dxfId="298" priority="38" operator="greaterThan">
      <formula>$F$74</formula>
    </cfRule>
  </conditionalFormatting>
  <conditionalFormatting sqref="G78">
    <cfRule type="cellIs" dxfId="297" priority="36" operator="greaterThan">
      <formula>$G$71</formula>
    </cfRule>
  </conditionalFormatting>
  <conditionalFormatting sqref="G79">
    <cfRule type="cellIs" dxfId="296" priority="35" operator="greaterThan">
      <formula>$G$72</formula>
    </cfRule>
  </conditionalFormatting>
  <conditionalFormatting sqref="G80">
    <cfRule type="cellIs" dxfId="295" priority="34" operator="greaterThan">
      <formula>$G$73</formula>
    </cfRule>
  </conditionalFormatting>
  <conditionalFormatting sqref="G81">
    <cfRule type="cellIs" dxfId="294" priority="33" operator="greaterThan">
      <formula>$G$74</formula>
    </cfRule>
  </conditionalFormatting>
  <conditionalFormatting sqref="H76">
    <cfRule type="cellIs" dxfId="293" priority="32" operator="greaterThan">
      <formula>$H$69</formula>
    </cfRule>
  </conditionalFormatting>
  <conditionalFormatting sqref="H77">
    <cfRule type="cellIs" dxfId="292" priority="31" operator="greaterThan">
      <formula>$H$70</formula>
    </cfRule>
  </conditionalFormatting>
  <conditionalFormatting sqref="H78">
    <cfRule type="cellIs" dxfId="291" priority="30" operator="greaterThan">
      <formula>$H$71</formula>
    </cfRule>
  </conditionalFormatting>
  <conditionalFormatting sqref="H79">
    <cfRule type="cellIs" dxfId="290" priority="29" operator="greaterThan">
      <formula>$H$72</formula>
    </cfRule>
  </conditionalFormatting>
  <conditionalFormatting sqref="H80">
    <cfRule type="cellIs" dxfId="289" priority="28" operator="greaterThan">
      <formula>$H$73</formula>
    </cfRule>
  </conditionalFormatting>
  <conditionalFormatting sqref="H81">
    <cfRule type="cellIs" dxfId="288" priority="27" operator="greaterThan">
      <formula>$H$74</formula>
    </cfRule>
  </conditionalFormatting>
  <conditionalFormatting sqref="I76">
    <cfRule type="cellIs" dxfId="287" priority="26" operator="greaterThan">
      <formula>$I$69</formula>
    </cfRule>
  </conditionalFormatting>
  <conditionalFormatting sqref="I77">
    <cfRule type="cellIs" dxfId="286" priority="25" operator="greaterThan">
      <formula>$I$70</formula>
    </cfRule>
  </conditionalFormatting>
  <conditionalFormatting sqref="I78">
    <cfRule type="cellIs" dxfId="285" priority="24" operator="greaterThan">
      <formula>$I$71</formula>
    </cfRule>
  </conditionalFormatting>
  <conditionalFormatting sqref="I79">
    <cfRule type="cellIs" dxfId="284" priority="23" operator="greaterThan">
      <formula>$I$72</formula>
    </cfRule>
  </conditionalFormatting>
  <conditionalFormatting sqref="I80">
    <cfRule type="cellIs" dxfId="283" priority="22" operator="greaterThan">
      <formula>$I$73</formula>
    </cfRule>
  </conditionalFormatting>
  <conditionalFormatting sqref="I81">
    <cfRule type="cellIs" dxfId="282" priority="21" operator="greaterThan">
      <formula>$I$74</formula>
    </cfRule>
  </conditionalFormatting>
  <conditionalFormatting sqref="J76">
    <cfRule type="cellIs" dxfId="281" priority="20" operator="greaterThan">
      <formula>$J$69</formula>
    </cfRule>
  </conditionalFormatting>
  <conditionalFormatting sqref="J77">
    <cfRule type="cellIs" dxfId="280" priority="19" operator="greaterThan">
      <formula>$J$70</formula>
    </cfRule>
  </conditionalFormatting>
  <conditionalFormatting sqref="J78">
    <cfRule type="cellIs" dxfId="279" priority="18" operator="greaterThan">
      <formula>$J$71</formula>
    </cfRule>
  </conditionalFormatting>
  <conditionalFormatting sqref="J79">
    <cfRule type="cellIs" dxfId="278" priority="17" operator="greaterThan">
      <formula>$J$72</formula>
    </cfRule>
  </conditionalFormatting>
  <conditionalFormatting sqref="J80">
    <cfRule type="cellIs" dxfId="277" priority="16" operator="greaterThan">
      <formula>$J$73</formula>
    </cfRule>
  </conditionalFormatting>
  <conditionalFormatting sqref="J81">
    <cfRule type="cellIs" dxfId="276" priority="15" operator="greaterThan">
      <formula>$J$74</formula>
    </cfRule>
  </conditionalFormatting>
  <conditionalFormatting sqref="K76">
    <cfRule type="cellIs" dxfId="275" priority="14" operator="greaterThan">
      <formula>$K$69</formula>
    </cfRule>
  </conditionalFormatting>
  <conditionalFormatting sqref="K77">
    <cfRule type="cellIs" dxfId="274" priority="13" operator="greaterThan">
      <formula>$K$70</formula>
    </cfRule>
  </conditionalFormatting>
  <conditionalFormatting sqref="K78">
    <cfRule type="cellIs" dxfId="273" priority="12" operator="greaterThan">
      <formula>$K$71</formula>
    </cfRule>
  </conditionalFormatting>
  <conditionalFormatting sqref="K79">
    <cfRule type="cellIs" dxfId="272" priority="11" operator="greaterThan">
      <formula>$K$72</formula>
    </cfRule>
  </conditionalFormatting>
  <conditionalFormatting sqref="K80">
    <cfRule type="cellIs" dxfId="271" priority="10" operator="greaterThan">
      <formula>$K$73</formula>
    </cfRule>
  </conditionalFormatting>
  <conditionalFormatting sqref="K81">
    <cfRule type="cellIs" dxfId="270" priority="9" operator="greaterThan">
      <formula>$K$74</formula>
    </cfRule>
  </conditionalFormatting>
  <conditionalFormatting sqref="L76">
    <cfRule type="cellIs" dxfId="269" priority="8" operator="greaterThan">
      <formula>$L$69</formula>
    </cfRule>
  </conditionalFormatting>
  <conditionalFormatting sqref="L77">
    <cfRule type="cellIs" dxfId="268" priority="7" operator="greaterThan">
      <formula>$L$70</formula>
    </cfRule>
  </conditionalFormatting>
  <conditionalFormatting sqref="L78">
    <cfRule type="cellIs" dxfId="267" priority="6" operator="greaterThan">
      <formula>$L$71</formula>
    </cfRule>
  </conditionalFormatting>
  <conditionalFormatting sqref="L79">
    <cfRule type="cellIs" dxfId="266" priority="5" operator="greaterThan">
      <formula>$L$72</formula>
    </cfRule>
  </conditionalFormatting>
  <conditionalFormatting sqref="L80">
    <cfRule type="cellIs" dxfId="265" priority="4" operator="greaterThan">
      <formula>$L$73</formula>
    </cfRule>
  </conditionalFormatting>
  <conditionalFormatting sqref="L81">
    <cfRule type="cellIs" dxfId="264" priority="3" operator="greaterThan">
      <formula>$L$74</formula>
    </cfRule>
  </conditionalFormatting>
  <conditionalFormatting sqref="D76:F76">
    <cfRule type="cellIs" dxfId="263" priority="2" operator="greaterThan">
      <formula>$D$69</formula>
    </cfRule>
  </conditionalFormatting>
  <conditionalFormatting sqref="G76">
    <cfRule type="cellIs" dxfId="262" priority="1" operator="greaterThan">
      <formula>$G$69</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AAC35-3C4F-4FAD-BA5E-009A6B38BA4B}">
  <dimension ref="A1:U95"/>
  <sheetViews>
    <sheetView topLeftCell="A70" zoomScale="150" zoomScaleNormal="150" workbookViewId="0">
      <selection activeCell="C77" sqref="C77:D77"/>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63"/>
      <c r="I3" s="63"/>
      <c r="J3" s="63"/>
      <c r="K3" s="63"/>
    </row>
    <row r="4" spans="1:11" x14ac:dyDescent="0.35">
      <c r="A4" s="64" t="s">
        <v>39</v>
      </c>
      <c r="B4" s="64" t="s">
        <v>43</v>
      </c>
      <c r="C4" s="99" t="s">
        <v>44</v>
      </c>
      <c r="D4" s="100"/>
      <c r="E4" s="100"/>
      <c r="F4" s="100"/>
      <c r="G4" s="101"/>
    </row>
    <row r="5" spans="1:11" x14ac:dyDescent="0.35">
      <c r="A5" s="65" t="s">
        <v>52</v>
      </c>
      <c r="B5" s="65"/>
      <c r="C5" s="102"/>
      <c r="D5" s="102"/>
      <c r="E5" s="102"/>
      <c r="F5" s="102"/>
      <c r="G5" s="102"/>
    </row>
    <row r="6" spans="1:11" x14ac:dyDescent="0.35">
      <c r="A6" s="66" t="s">
        <v>40</v>
      </c>
      <c r="B6" s="66" t="s">
        <v>184</v>
      </c>
      <c r="C6" s="103" t="s">
        <v>183</v>
      </c>
      <c r="D6" s="103"/>
      <c r="E6" s="103"/>
      <c r="F6" s="103"/>
      <c r="G6" s="103"/>
    </row>
    <row r="7" spans="1:11" x14ac:dyDescent="0.35">
      <c r="A7" s="66" t="s">
        <v>41</v>
      </c>
      <c r="B7" s="66" t="s">
        <v>184</v>
      </c>
      <c r="C7" s="97" t="s">
        <v>181</v>
      </c>
      <c r="D7" s="97"/>
      <c r="E7" s="97"/>
      <c r="F7" s="97"/>
      <c r="G7" s="97"/>
    </row>
    <row r="8" spans="1:11" x14ac:dyDescent="0.35">
      <c r="A8" s="66" t="s">
        <v>42</v>
      </c>
      <c r="B8" s="66" t="s">
        <v>184</v>
      </c>
      <c r="C8" s="103" t="s">
        <v>183</v>
      </c>
      <c r="D8" s="103"/>
      <c r="E8" s="103"/>
      <c r="F8" s="103"/>
      <c r="G8" s="103"/>
    </row>
    <row r="9" spans="1:11" x14ac:dyDescent="0.35">
      <c r="A9" s="66" t="s">
        <v>165</v>
      </c>
      <c r="B9" s="66" t="s">
        <v>184</v>
      </c>
      <c r="C9" s="97" t="s">
        <v>182</v>
      </c>
      <c r="D9" s="97"/>
      <c r="E9" s="97"/>
      <c r="F9" s="97"/>
      <c r="G9" s="97"/>
    </row>
    <row r="10" spans="1:11" x14ac:dyDescent="0.35">
      <c r="A10" s="66"/>
      <c r="B10" s="66"/>
      <c r="C10" s="97"/>
      <c r="D10" s="97"/>
      <c r="E10" s="97"/>
      <c r="F10" s="97"/>
      <c r="G10" s="97"/>
    </row>
    <row r="11" spans="1:11" x14ac:dyDescent="0.35">
      <c r="A11" s="66"/>
      <c r="B11" s="66"/>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3" x14ac:dyDescent="0.35">
      <c r="A18" s="1" t="s">
        <v>54</v>
      </c>
      <c r="D18" s="20" t="s">
        <v>188</v>
      </c>
    </row>
    <row r="20" spans="1:13" x14ac:dyDescent="0.35">
      <c r="A20" s="1" t="s">
        <v>32</v>
      </c>
      <c r="B20" s="1" t="s">
        <v>112</v>
      </c>
      <c r="C20" s="13" t="s">
        <v>113</v>
      </c>
    </row>
    <row r="21" spans="1:13" x14ac:dyDescent="0.35">
      <c r="A21" t="s">
        <v>111</v>
      </c>
      <c r="B21" s="12">
        <v>5.73</v>
      </c>
      <c r="C21" s="12">
        <v>6</v>
      </c>
      <c r="D21" s="23" t="s">
        <v>114</v>
      </c>
    </row>
    <row r="22" spans="1:13" x14ac:dyDescent="0.35">
      <c r="A22" t="s">
        <v>145</v>
      </c>
      <c r="B22" s="12">
        <v>11</v>
      </c>
      <c r="C22" s="12">
        <v>10.1</v>
      </c>
      <c r="D22" s="11" t="s">
        <v>34</v>
      </c>
    </row>
    <row r="24" spans="1:13"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row>
    <row r="25" spans="1:13" x14ac:dyDescent="0.35">
      <c r="A25" s="1" t="s">
        <v>45</v>
      </c>
      <c r="B25" s="1"/>
      <c r="C25" s="45">
        <v>11</v>
      </c>
      <c r="D25" s="45">
        <f>C25</f>
        <v>11</v>
      </c>
      <c r="E25" s="45">
        <f t="shared" ref="E25:G25" si="0">D25</f>
        <v>11</v>
      </c>
      <c r="F25" s="45">
        <f t="shared" si="0"/>
        <v>11</v>
      </c>
      <c r="G25" s="45">
        <f t="shared" si="0"/>
        <v>11</v>
      </c>
      <c r="H25" s="45"/>
      <c r="I25" s="45"/>
      <c r="J25" s="45"/>
      <c r="K25" s="45"/>
      <c r="L25" s="45"/>
    </row>
    <row r="26" spans="1:13" x14ac:dyDescent="0.35">
      <c r="A26" s="1" t="s">
        <v>123</v>
      </c>
      <c r="B26" s="1"/>
      <c r="C26" s="12">
        <f>IF(C$25&lt;&gt;"",0.8,"")</f>
        <v>0.8</v>
      </c>
      <c r="D26" s="12">
        <f t="shared" ref="D26:L26" si="1">IF(D$25&lt;&gt;"",0.8,"")</f>
        <v>0.8</v>
      </c>
      <c r="E26" s="12">
        <f t="shared" si="1"/>
        <v>0.8</v>
      </c>
      <c r="F26" s="12">
        <f t="shared" si="1"/>
        <v>0.8</v>
      </c>
      <c r="G26" s="12">
        <f t="shared" si="1"/>
        <v>0.8</v>
      </c>
      <c r="H26" s="12" t="str">
        <f t="shared" si="1"/>
        <v/>
      </c>
      <c r="I26" s="12" t="str">
        <f t="shared" si="1"/>
        <v/>
      </c>
      <c r="J26" s="12" t="str">
        <f t="shared" si="1"/>
        <v/>
      </c>
      <c r="K26" s="12" t="str">
        <f t="shared" si="1"/>
        <v/>
      </c>
      <c r="L26" s="12" t="str">
        <f t="shared" si="1"/>
        <v/>
      </c>
    </row>
    <row r="27" spans="1:13" x14ac:dyDescent="0.35">
      <c r="A27" s="1" t="s">
        <v>126</v>
      </c>
      <c r="B27" s="14">
        <f>SUM(B28:B33)-SUM(B22:C22)</f>
        <v>0</v>
      </c>
      <c r="C27" s="14">
        <f>IF(C$25&lt;&gt;"",SUM(B22:C22),"")</f>
        <v>21.1</v>
      </c>
      <c r="D27" s="14">
        <f>IF(D$25&lt;&gt;"",C89,"")</f>
        <v>18.741102320000028</v>
      </c>
      <c r="E27" s="14">
        <f t="shared" ref="E27:L27" si="2">IF(E$25&lt;&gt;"",D89,"")</f>
        <v>16.451893682999426</v>
      </c>
      <c r="F27" s="14">
        <f t="shared" si="2"/>
        <v>15.099334327777489</v>
      </c>
      <c r="G27" s="14">
        <f t="shared" si="2"/>
        <v>14.783776714372936</v>
      </c>
      <c r="H27" s="14" t="str">
        <f t="shared" si="2"/>
        <v/>
      </c>
      <c r="I27" s="14" t="str">
        <f t="shared" si="2"/>
        <v/>
      </c>
      <c r="J27" s="14" t="str">
        <f t="shared" si="2"/>
        <v/>
      </c>
      <c r="K27" s="14" t="str">
        <f t="shared" si="2"/>
        <v/>
      </c>
      <c r="L27" s="14" t="str">
        <f t="shared" si="2"/>
        <v/>
      </c>
    </row>
    <row r="28" spans="1:13" x14ac:dyDescent="0.35">
      <c r="A28" t="str">
        <f>IF(A6="","","    "&amp;A6&amp;" Balance")</f>
        <v xml:space="preserve">    Upper Basin Balance</v>
      </c>
      <c r="B28" s="55">
        <f>B22</f>
        <v>11</v>
      </c>
      <c r="C28" s="14">
        <f>IF(OR(C$25="",$A28=""),"",B28)</f>
        <v>11</v>
      </c>
      <c r="D28" s="14">
        <f>IF(OR(D$25="",$A28=""),"",C83)</f>
        <v>9.0322571336493027</v>
      </c>
      <c r="E28" s="14">
        <f t="shared" ref="E28:L28" si="3">IF(OR(E$25="",$A28=""),"",D83)</f>
        <v>7.1383410513710048</v>
      </c>
      <c r="F28" s="14">
        <f t="shared" si="3"/>
        <v>6.1</v>
      </c>
      <c r="G28" s="14">
        <f t="shared" si="3"/>
        <v>6.1</v>
      </c>
      <c r="H28" s="14" t="str">
        <f t="shared" si="3"/>
        <v/>
      </c>
      <c r="I28" s="14" t="str">
        <f t="shared" si="3"/>
        <v/>
      </c>
      <c r="J28" s="14" t="str">
        <f t="shared" si="3"/>
        <v/>
      </c>
      <c r="K28" s="14" t="str">
        <f t="shared" si="3"/>
        <v/>
      </c>
      <c r="L28" s="14" t="str">
        <f t="shared" si="3"/>
        <v/>
      </c>
    </row>
    <row r="29" spans="1:13" x14ac:dyDescent="0.35">
      <c r="A29" t="str">
        <f t="shared" ref="A29:A33" si="4">IF(A7="","","    "&amp;A7&amp;" Balance")</f>
        <v xml:space="preserve">    Lower Basin Balance</v>
      </c>
      <c r="B29" s="55">
        <f>C22</f>
        <v>10.1</v>
      </c>
      <c r="C29" s="14">
        <f t="shared" ref="C29:C33" si="5">IF(OR(C$25="",$A29=""),"",B29)</f>
        <v>10.1</v>
      </c>
      <c r="D29" s="14">
        <f t="shared" ref="D29:L33" si="6">IF(OR(D$25="",$A29=""),"",C84)</f>
        <v>9.7088451863507252</v>
      </c>
      <c r="E29" s="14">
        <f t="shared" si="6"/>
        <v>9.3135526316284221</v>
      </c>
      <c r="F29" s="14">
        <f t="shared" si="6"/>
        <v>8.9993343277774898</v>
      </c>
      <c r="G29" s="14">
        <f t="shared" si="6"/>
        <v>8.6837767143729359</v>
      </c>
      <c r="H29" s="14" t="str">
        <f t="shared" si="6"/>
        <v/>
      </c>
      <c r="I29" s="14" t="str">
        <f t="shared" si="6"/>
        <v/>
      </c>
      <c r="J29" s="14" t="str">
        <f t="shared" si="6"/>
        <v/>
      </c>
      <c r="K29" s="14" t="str">
        <f t="shared" si="6"/>
        <v/>
      </c>
      <c r="L29" s="14" t="str">
        <f t="shared" si="6"/>
        <v/>
      </c>
    </row>
    <row r="30" spans="1:13" x14ac:dyDescent="0.35">
      <c r="A30" t="str">
        <f t="shared" si="4"/>
        <v xml:space="preserve">    Mexico Balance</v>
      </c>
      <c r="B30" s="56">
        <v>0</v>
      </c>
      <c r="C30" s="14">
        <f t="shared" si="5"/>
        <v>0</v>
      </c>
      <c r="D30" s="14">
        <f t="shared" si="6"/>
        <v>0</v>
      </c>
      <c r="E30" s="14">
        <f t="shared" si="6"/>
        <v>0</v>
      </c>
      <c r="F30" s="14">
        <f t="shared" si="6"/>
        <v>0</v>
      </c>
      <c r="G30" s="14">
        <f t="shared" si="6"/>
        <v>0</v>
      </c>
      <c r="H30" s="14" t="str">
        <f t="shared" si="6"/>
        <v/>
      </c>
      <c r="I30" s="14" t="str">
        <f t="shared" si="6"/>
        <v/>
      </c>
      <c r="J30" s="14" t="str">
        <f t="shared" si="6"/>
        <v/>
      </c>
      <c r="K30" s="14" t="str">
        <f t="shared" si="6"/>
        <v/>
      </c>
      <c r="L30" s="14" t="str">
        <f t="shared" si="6"/>
        <v/>
      </c>
    </row>
    <row r="31" spans="1:13"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t="str">
        <f t="shared" si="6"/>
        <v/>
      </c>
      <c r="I31" s="14" t="str">
        <f t="shared" si="6"/>
        <v/>
      </c>
      <c r="J31" s="14" t="str">
        <f t="shared" si="6"/>
        <v/>
      </c>
      <c r="K31" s="14" t="str">
        <f t="shared" si="6"/>
        <v/>
      </c>
      <c r="L31" s="14" t="str">
        <f t="shared" si="6"/>
        <v/>
      </c>
    </row>
    <row r="32" spans="1:13"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9.370551160000014</v>
      </c>
      <c r="E35" s="14">
        <f t="shared" si="7"/>
        <v>8.225946841499713</v>
      </c>
      <c r="F35" s="14">
        <f t="shared" si="7"/>
        <v>7.5496671638887447</v>
      </c>
      <c r="G35" s="14">
        <f t="shared" si="7"/>
        <v>7.3918883571864678</v>
      </c>
      <c r="H35" s="14" t="str">
        <f t="shared" si="7"/>
        <v/>
      </c>
      <c r="I35" s="14" t="str">
        <f t="shared" si="7"/>
        <v/>
      </c>
      <c r="J35" s="14" t="str">
        <f t="shared" si="7"/>
        <v/>
      </c>
      <c r="K35" s="14" t="str">
        <f t="shared" si="7"/>
        <v/>
      </c>
      <c r="L35" s="14" t="str">
        <f t="shared" si="7"/>
        <v/>
      </c>
    </row>
    <row r="36" spans="1:12" x14ac:dyDescent="0.35">
      <c r="A36" t="s">
        <v>116</v>
      </c>
      <c r="B36" s="35">
        <f>1-B35</f>
        <v>0.5</v>
      </c>
      <c r="C36" s="14">
        <f>IF(C$25&lt;&gt;"",C22,"")</f>
        <v>10.1</v>
      </c>
      <c r="D36" s="14">
        <f t="shared" si="7"/>
        <v>9.370551160000014</v>
      </c>
      <c r="E36" s="14">
        <f t="shared" si="7"/>
        <v>8.225946841499713</v>
      </c>
      <c r="F36" s="14">
        <f t="shared" si="7"/>
        <v>7.5496671638887447</v>
      </c>
      <c r="G36" s="14">
        <f t="shared" si="7"/>
        <v>7.3918883571864678</v>
      </c>
      <c r="H36" s="14" t="str">
        <f t="shared" si="7"/>
        <v/>
      </c>
      <c r="I36" s="14" t="str">
        <f t="shared" si="7"/>
        <v/>
      </c>
      <c r="J36" s="14" t="str">
        <f t="shared" si="7"/>
        <v/>
      </c>
      <c r="K36" s="14" t="str">
        <f t="shared" si="7"/>
        <v/>
      </c>
      <c r="L36" s="14" t="str">
        <f t="shared" si="7"/>
        <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0.95220863700059999</v>
      </c>
      <c r="E37" s="14">
        <f>IF(E$25&lt;&gt;"",VLOOKUP(E35*1000000,'Powell-Elevation-Area'!$B$5:$D$689,3)*$B$21/1000000 + VLOOKUP(E36*1000000,'Mead-Elevation-Area'!$B$5:$D$676,3)*$C$21/1000000,"")</f>
        <v>0.8800760451006</v>
      </c>
      <c r="F37" s="14">
        <f>IF(F$25&lt;&gt;"",VLOOKUP(F35*1000000,'Powell-Elevation-Area'!$B$5:$D$689,3)*$B$21/1000000 + VLOOKUP(F36*1000000,'Mead-Elevation-Area'!$B$5:$D$676,3)*$C$21/1000000,"")</f>
        <v>0.8381717076006</v>
      </c>
      <c r="G37" s="14">
        <f>IF(G$25&lt;&gt;"",VLOOKUP(G35*1000000,'Powell-Elevation-Area'!$B$5:$D$689,3)*$B$21/1000000 + VLOOKUP(G36*1000000,'Mead-Elevation-Area'!$B$5:$D$676,3)*$C$21/1000000,"")</f>
        <v>0.82682864249940002</v>
      </c>
      <c r="H37" s="14" t="str">
        <f>IF(H$25&lt;&gt;"",VLOOKUP(H35*1000000,'Powell-Elevation-Area'!$B$5:$D$689,3)*$B$21/1000000 + VLOOKUP(H36*1000000,'Mead-Elevation-Area'!$B$5:$D$676,3)*$C$21/1000000,"")</f>
        <v/>
      </c>
      <c r="I37" s="14" t="str">
        <f>IF(I$25&lt;&gt;"",VLOOKUP(I35*1000000,'Powell-Elevation-Area'!$B$5:$D$689,3)*$B$21/1000000 + VLOOKUP(I36*1000000,'Mead-Elevation-Area'!$B$5:$D$676,3)*$C$21/1000000,"")</f>
        <v/>
      </c>
      <c r="J37" s="14" t="str">
        <f>IF(J$25&lt;&gt;"",VLOOKUP(J35*1000000,'Powell-Elevation-Area'!$B$5:$D$689,3)*$B$21/1000000 + VLOOKUP(J36*1000000,'Mead-Elevation-Area'!$B$5:$D$676,3)*$C$21/1000000,"")</f>
        <v/>
      </c>
      <c r="K37" s="14" t="str">
        <f>IF(K$25&lt;&gt;"",VLOOKUP(K35*1000000,'Powell-Elevation-Area'!$B$5:$D$689,3)*$B$21/1000000 + VLOOKUP(K36*1000000,'Mead-Elevation-Area'!$B$5:$D$676,3)*$C$21/1000000,"")</f>
        <v/>
      </c>
      <c r="L37" s="14" t="str">
        <f>IF(L$25&lt;&gt;"",VLOOKUP(L35*1000000,'Powell-Elevation-Area'!$B$5:$D$689,3)*$B$21/1000000 + VLOOKUP(L36*1000000,'Mead-Elevation-Area'!$B$5:$D$676,3)*$C$21/1000000,"")</f>
        <v/>
      </c>
    </row>
    <row r="38" spans="1:12" x14ac:dyDescent="0.35">
      <c r="A38" t="str">
        <f>IF(A6="","","    "&amp;A6&amp;" Share")</f>
        <v xml:space="preserve">    Upper Basin Share</v>
      </c>
      <c r="B38" s="1"/>
      <c r="C38" s="14">
        <f>IF(OR(C$25="",$A38=""),"",C$37*C28/C$27)</f>
        <v>0.5327428663506969</v>
      </c>
      <c r="D38" s="14">
        <f t="shared" ref="D38:L38" si="8">IF(OR(D$25="",$A38=""),"",D$37*D28/D$27)</f>
        <v>0.45891608227829872</v>
      </c>
      <c r="E38" s="14">
        <f t="shared" si="8"/>
        <v>0.38185774124966865</v>
      </c>
      <c r="F38" s="14">
        <f t="shared" si="8"/>
        <v>0.33861409419604743</v>
      </c>
      <c r="G38" s="14">
        <f t="shared" si="8"/>
        <v>0.34116145127806541</v>
      </c>
      <c r="H38" s="14" t="str">
        <f t="shared" si="8"/>
        <v/>
      </c>
      <c r="I38" s="14" t="str">
        <f t="shared" si="8"/>
        <v/>
      </c>
      <c r="J38" s="14" t="str">
        <f t="shared" si="8"/>
        <v/>
      </c>
      <c r="K38" s="14" t="str">
        <f t="shared" si="8"/>
        <v/>
      </c>
      <c r="L38" s="14" t="str">
        <f t="shared" si="8"/>
        <v/>
      </c>
    </row>
    <row r="39" spans="1:12" x14ac:dyDescent="0.35">
      <c r="A39" t="str">
        <f t="shared" ref="A39:A43" si="9">IF(A7="","","    "&amp;A7&amp;" Share")</f>
        <v xml:space="preserve">    Lower Basin Share</v>
      </c>
      <c r="B39" s="1"/>
      <c r="C39" s="14">
        <f t="shared" ref="C39:L43" si="10">IF(OR(C$25="",$A39=""),"",C$37*C29/C$27)</f>
        <v>0.48915481364927621</v>
      </c>
      <c r="D39" s="14">
        <f t="shared" si="10"/>
        <v>0.49329255472230121</v>
      </c>
      <c r="E39" s="14">
        <f t="shared" si="10"/>
        <v>0.49821830385093147</v>
      </c>
      <c r="F39" s="14">
        <f t="shared" si="10"/>
        <v>0.49955761340455251</v>
      </c>
      <c r="G39" s="14">
        <f t="shared" si="10"/>
        <v>0.48566719122133467</v>
      </c>
      <c r="H39" s="14" t="str">
        <f t="shared" si="10"/>
        <v/>
      </c>
      <c r="I39" s="14" t="str">
        <f t="shared" si="10"/>
        <v/>
      </c>
      <c r="J39" s="14" t="str">
        <f t="shared" si="10"/>
        <v/>
      </c>
      <c r="K39" s="14" t="str">
        <f t="shared" si="10"/>
        <v/>
      </c>
      <c r="L39" s="14" t="str">
        <f t="shared" si="10"/>
        <v/>
      </c>
    </row>
    <row r="40" spans="1:12" x14ac:dyDescent="0.35">
      <c r="A40" t="str">
        <f t="shared" si="9"/>
        <v xml:space="preserve">    Mexico Share</v>
      </c>
      <c r="B40" s="1"/>
      <c r="C40" s="14">
        <f t="shared" si="10"/>
        <v>0</v>
      </c>
      <c r="D40" s="14">
        <f t="shared" si="10"/>
        <v>0</v>
      </c>
      <c r="E40" s="14">
        <f t="shared" si="10"/>
        <v>0</v>
      </c>
      <c r="F40" s="14">
        <f t="shared" si="10"/>
        <v>0</v>
      </c>
      <c r="G40" s="14">
        <f t="shared" si="10"/>
        <v>0</v>
      </c>
      <c r="H40" s="14" t="str">
        <f t="shared" si="10"/>
        <v/>
      </c>
      <c r="I40" s="14" t="str">
        <f t="shared" si="10"/>
        <v/>
      </c>
      <c r="J40" s="14" t="str">
        <f t="shared" si="10"/>
        <v/>
      </c>
      <c r="K40" s="14" t="str">
        <f t="shared" si="10"/>
        <v/>
      </c>
      <c r="L40" s="14" t="str">
        <f t="shared" si="10"/>
        <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t="str">
        <f t="shared" si="10"/>
        <v/>
      </c>
      <c r="I41" s="14" t="str">
        <f t="shared" si="10"/>
        <v/>
      </c>
      <c r="J41" s="14" t="str">
        <f t="shared" si="10"/>
        <v/>
      </c>
      <c r="K41" s="14" t="str">
        <f t="shared" si="10"/>
        <v/>
      </c>
      <c r="L41" s="14" t="str">
        <f t="shared" si="10"/>
        <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t="str">
        <f t="shared" si="11"/>
        <v/>
      </c>
      <c r="I44" s="50" t="str">
        <f t="shared" si="11"/>
        <v/>
      </c>
      <c r="J44" s="50" t="str">
        <f t="shared" si="11"/>
        <v/>
      </c>
      <c r="K44" s="50" t="str">
        <f t="shared" si="11"/>
        <v/>
      </c>
      <c r="L44" s="50" t="str">
        <f t="shared" si="11"/>
        <v/>
      </c>
    </row>
    <row r="45" spans="1:12" x14ac:dyDescent="0.35">
      <c r="A45" s="1" t="s">
        <v>162</v>
      </c>
      <c r="B45" s="1"/>
      <c r="C45"/>
    </row>
    <row r="46" spans="1:12" x14ac:dyDescent="0.35">
      <c r="A46" t="str">
        <f>IF(A6="","","    To "&amp;A6)</f>
        <v xml:space="preserve">    To Upper Basin</v>
      </c>
      <c r="B46" s="24" t="s">
        <v>164</v>
      </c>
      <c r="C46" s="14">
        <f>IF(OR(C$25="",$A4=""),"",MAX(0,C$25-SUM(C47:C48)))</f>
        <v>2.7650000000000006</v>
      </c>
      <c r="D46" s="14">
        <f t="shared" ref="D46:L46" si="12">IF(OR(D$25="",$A4=""),"",MAX(0,D$25-SUM(D47:D48)))</f>
        <v>2.7650000000000006</v>
      </c>
      <c r="E46" s="14">
        <f t="shared" si="12"/>
        <v>2.7650000000000006</v>
      </c>
      <c r="F46" s="14">
        <f t="shared" si="12"/>
        <v>2.7650000000000006</v>
      </c>
      <c r="G46" s="14">
        <f t="shared" si="12"/>
        <v>2.7650000000000006</v>
      </c>
      <c r="H46" s="14" t="str">
        <f t="shared" si="12"/>
        <v/>
      </c>
      <c r="I46" s="14" t="str">
        <f t="shared" si="12"/>
        <v/>
      </c>
      <c r="J46" s="14" t="str">
        <f t="shared" si="12"/>
        <v/>
      </c>
      <c r="K46" s="14" t="str">
        <f t="shared" si="12"/>
        <v/>
      </c>
      <c r="L46" s="14" t="str">
        <f t="shared" si="12"/>
        <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t="str">
        <f t="shared" si="14"/>
        <v/>
      </c>
      <c r="I47" s="14" t="str">
        <f t="shared" si="14"/>
        <v/>
      </c>
      <c r="J47" s="14" t="str">
        <f t="shared" si="14"/>
        <v/>
      </c>
      <c r="K47" s="14" t="str">
        <f t="shared" si="14"/>
        <v/>
      </c>
      <c r="L47" s="14" t="str">
        <f t="shared" si="14"/>
        <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t="str">
        <f t="shared" si="15"/>
        <v/>
      </c>
      <c r="I48" s="14" t="str">
        <f t="shared" si="15"/>
        <v/>
      </c>
      <c r="J48" s="14" t="str">
        <f t="shared" si="15"/>
        <v/>
      </c>
      <c r="K48" s="14" t="str">
        <f t="shared" si="15"/>
        <v/>
      </c>
      <c r="L48" s="14" t="str">
        <f t="shared" si="15"/>
        <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t="str">
        <f t="shared" si="16"/>
        <v/>
      </c>
      <c r="I49" s="14" t="str">
        <f t="shared" si="16"/>
        <v/>
      </c>
      <c r="J49" s="14" t="str">
        <f t="shared" si="16"/>
        <v/>
      </c>
      <c r="K49" s="14" t="str">
        <f t="shared" si="16"/>
        <v/>
      </c>
      <c r="L49" s="14" t="str">
        <f t="shared" si="16"/>
        <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t="str">
        <f t="shared" si="17"/>
        <v/>
      </c>
      <c r="I53" s="14" t="str">
        <f t="shared" si="17"/>
        <v/>
      </c>
      <c r="J53" s="14" t="str">
        <f t="shared" si="17"/>
        <v/>
      </c>
      <c r="K53" s="14" t="str">
        <f t="shared" si="17"/>
        <v/>
      </c>
      <c r="L53" s="14" t="str">
        <f t="shared" si="17"/>
        <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t="str">
        <f t="shared" si="19"/>
        <v/>
      </c>
      <c r="I54" s="14" t="str">
        <f t="shared" si="19"/>
        <v/>
      </c>
      <c r="J54" s="14" t="str">
        <f t="shared" si="19"/>
        <v/>
      </c>
      <c r="K54" s="14" t="str">
        <f t="shared" si="19"/>
        <v/>
      </c>
      <c r="L54" s="14" t="str">
        <f t="shared" si="19"/>
        <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t="str">
        <f t="shared" si="20"/>
        <v/>
      </c>
      <c r="I55" s="14" t="str">
        <f t="shared" si="20"/>
        <v/>
      </c>
      <c r="J55" s="14" t="str">
        <f t="shared" si="20"/>
        <v/>
      </c>
      <c r="K55" s="14" t="str">
        <f t="shared" si="20"/>
        <v/>
      </c>
      <c r="L55" s="14" t="str">
        <f t="shared" si="20"/>
        <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t="str">
        <f t="shared" si="21"/>
        <v/>
      </c>
      <c r="I56" s="14" t="str">
        <f t="shared" si="21"/>
        <v/>
      </c>
      <c r="J56" s="14" t="str">
        <f t="shared" si="21"/>
        <v/>
      </c>
      <c r="K56" s="14" t="str">
        <f t="shared" si="21"/>
        <v/>
      </c>
      <c r="L56" s="14" t="str">
        <f t="shared" si="21"/>
        <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3">IF(A7="","","    "&amp;A7)</f>
        <v xml:space="preserve">    Lower Basin</v>
      </c>
      <c r="B61" s="1"/>
      <c r="C61" s="62"/>
      <c r="D61" s="62"/>
      <c r="E61" s="67"/>
      <c r="F61" s="62"/>
      <c r="G61" s="62"/>
      <c r="H61" s="62"/>
      <c r="I61" s="62"/>
      <c r="J61" s="62"/>
      <c r="K61" s="67"/>
      <c r="L61" s="62"/>
      <c r="M61" s="54">
        <f t="shared" ref="M61:M65" si="24">SUMPRODUCT(C61:L61,C$67:L$67)</f>
        <v>0</v>
      </c>
    </row>
    <row r="62" spans="1:13" x14ac:dyDescent="0.35">
      <c r="A62" t="str">
        <f t="shared" si="23"/>
        <v xml:space="preserve">    Mexico</v>
      </c>
      <c r="B62" s="1"/>
      <c r="C62" s="50"/>
      <c r="D62" s="50"/>
      <c r="E62" s="68"/>
      <c r="F62" s="50"/>
      <c r="G62" s="50"/>
      <c r="H62" s="68"/>
      <c r="I62" s="50"/>
      <c r="J62" s="50"/>
      <c r="K62" s="68"/>
      <c r="L62" s="50"/>
      <c r="M62" s="54">
        <f t="shared" si="24"/>
        <v>0</v>
      </c>
    </row>
    <row r="63" spans="1:13" x14ac:dyDescent="0.35">
      <c r="A63" t="str">
        <f t="shared" si="23"/>
        <v xml:space="preserve">    Mohave &amp; Havasu Evap &amp; ET</v>
      </c>
      <c r="B63" s="1"/>
      <c r="C63" s="50"/>
      <c r="D63" s="50"/>
      <c r="E63" s="68"/>
      <c r="F63" s="50"/>
      <c r="G63" s="50"/>
      <c r="H63" s="68"/>
      <c r="I63" s="50"/>
      <c r="J63" s="50"/>
      <c r="K63" s="68"/>
      <c r="L63" s="50"/>
      <c r="M63" s="54">
        <f t="shared" si="24"/>
        <v>0</v>
      </c>
    </row>
    <row r="64" spans="1:13" x14ac:dyDescent="0.35">
      <c r="A64" t="str">
        <f t="shared" si="23"/>
        <v/>
      </c>
      <c r="B64" s="1"/>
      <c r="C64" s="50"/>
      <c r="D64" s="50"/>
      <c r="E64" s="68"/>
      <c r="F64" s="50"/>
      <c r="G64" s="50"/>
      <c r="H64" s="68"/>
      <c r="I64" s="50"/>
      <c r="J64" s="50"/>
      <c r="K64" s="68"/>
      <c r="L64" s="50"/>
      <c r="M64" s="54">
        <f t="shared" si="24"/>
        <v>0</v>
      </c>
    </row>
    <row r="65" spans="1:21" x14ac:dyDescent="0.35">
      <c r="A65" t="str">
        <f t="shared" si="23"/>
        <v/>
      </c>
      <c r="B65" s="1"/>
      <c r="C65" s="50"/>
      <c r="D65" s="50"/>
      <c r="E65" s="50"/>
      <c r="F65" s="50"/>
      <c r="G65" s="50"/>
      <c r="H65" s="50"/>
      <c r="I65" s="50"/>
      <c r="J65" s="50"/>
      <c r="K65" s="50"/>
      <c r="L65" s="50"/>
      <c r="M65" s="54">
        <f t="shared" si="24"/>
        <v>0</v>
      </c>
    </row>
    <row r="66" spans="1:21" x14ac:dyDescent="0.35">
      <c r="A66" t="s">
        <v>159</v>
      </c>
      <c r="B66" s="1"/>
      <c r="C66" s="53">
        <f>IF(C$25&lt;&gt;"",SUM(C60:C65),"")</f>
        <v>0</v>
      </c>
      <c r="D66" s="53">
        <f t="shared" ref="D66:L66" si="25">IF(D$25&lt;&gt;"",SUM(D60:D65),"")</f>
        <v>0</v>
      </c>
      <c r="E66" s="53">
        <f t="shared" si="25"/>
        <v>0</v>
      </c>
      <c r="F66" s="53">
        <f t="shared" si="25"/>
        <v>0</v>
      </c>
      <c r="G66" s="53">
        <f t="shared" si="25"/>
        <v>0</v>
      </c>
      <c r="H66" s="53" t="str">
        <f t="shared" si="25"/>
        <v/>
      </c>
      <c r="I66" s="53" t="str">
        <f t="shared" si="25"/>
        <v/>
      </c>
      <c r="J66" s="53" t="str">
        <f t="shared" si="25"/>
        <v/>
      </c>
      <c r="K66" s="53" t="str">
        <f t="shared" si="25"/>
        <v/>
      </c>
      <c r="L66" s="53" t="str">
        <f t="shared" si="25"/>
        <v/>
      </c>
      <c r="M66" s="34"/>
    </row>
    <row r="67" spans="1:21" x14ac:dyDescent="0.35">
      <c r="A67" t="s">
        <v>160</v>
      </c>
      <c r="B67" s="1"/>
      <c r="C67" s="31"/>
      <c r="D67" s="31"/>
      <c r="E67" s="31"/>
      <c r="F67" s="31"/>
      <c r="G67" s="31"/>
      <c r="H67" s="31"/>
      <c r="I67" s="31"/>
      <c r="J67" s="31"/>
      <c r="K67" s="31"/>
      <c r="L67" s="31"/>
    </row>
    <row r="68" spans="1:21" x14ac:dyDescent="0.35">
      <c r="A68" s="1" t="s">
        <v>186</v>
      </c>
      <c r="B68" s="1"/>
      <c r="C68"/>
    </row>
    <row r="69" spans="1:21" x14ac:dyDescent="0.35">
      <c r="A69" t="str">
        <f>IF(A6="","","    "&amp;A6)</f>
        <v xml:space="preserve">    Upper Basin</v>
      </c>
      <c r="C69" s="14">
        <f>IF(OR(C$25="",$A69=""),"",C28+C46+C53-C38-C60)</f>
        <v>13.232257133649304</v>
      </c>
      <c r="D69" s="14">
        <f t="shared" ref="D69:L69" si="26">IF(OR(D$25="",$A69=""),"",D28+D46+D53-D38-D60)</f>
        <v>11.338341051371005</v>
      </c>
      <c r="E69" s="14">
        <f t="shared" si="26"/>
        <v>9.5214833101213365</v>
      </c>
      <c r="F69" s="14">
        <f t="shared" si="26"/>
        <v>8.5263859058039522</v>
      </c>
      <c r="G69" s="14">
        <f t="shared" si="26"/>
        <v>8.523838548721935</v>
      </c>
      <c r="H69" s="14" t="str">
        <f t="shared" si="26"/>
        <v/>
      </c>
      <c r="I69" s="14" t="str">
        <f t="shared" si="26"/>
        <v/>
      </c>
      <c r="J69" s="14" t="str">
        <f t="shared" si="26"/>
        <v/>
      </c>
      <c r="K69" s="14" t="str">
        <f t="shared" si="26"/>
        <v/>
      </c>
      <c r="L69" s="14" t="str">
        <f t="shared" si="26"/>
        <v/>
      </c>
    </row>
    <row r="70" spans="1:21" x14ac:dyDescent="0.35">
      <c r="A70" t="str">
        <f t="shared" ref="A70:A74" si="27">IF(A7="","","    "&amp;A7)</f>
        <v xml:space="preserve">    Lower Basin</v>
      </c>
      <c r="C70" s="14">
        <f t="shared" ref="C70:L74" si="28">IF(OR(C$25="",$A70=""),"",C29+C47+C54-C39-C61)</f>
        <v>16.575845186350726</v>
      </c>
      <c r="D70" s="14">
        <f t="shared" si="28"/>
        <v>16.180552631628423</v>
      </c>
      <c r="E70" s="14">
        <f t="shared" si="28"/>
        <v>15.782334327777489</v>
      </c>
      <c r="F70" s="14">
        <f t="shared" si="28"/>
        <v>15.466776714372937</v>
      </c>
      <c r="G70" s="14">
        <f t="shared" si="28"/>
        <v>15.165109523151601</v>
      </c>
      <c r="H70" s="14" t="str">
        <f t="shared" si="28"/>
        <v/>
      </c>
      <c r="I70" s="14" t="str">
        <f t="shared" si="28"/>
        <v/>
      </c>
      <c r="J70" s="14" t="str">
        <f t="shared" si="28"/>
        <v/>
      </c>
      <c r="K70" s="14" t="str">
        <f t="shared" si="28"/>
        <v/>
      </c>
      <c r="L70" s="14" t="str">
        <f t="shared" si="28"/>
        <v/>
      </c>
    </row>
    <row r="71" spans="1:21" x14ac:dyDescent="0.35">
      <c r="A71" t="str">
        <f t="shared" si="27"/>
        <v xml:space="preserve">    Mexico</v>
      </c>
      <c r="C71" s="60">
        <f t="shared" si="28"/>
        <v>1.47</v>
      </c>
      <c r="D71" s="14">
        <f t="shared" si="28"/>
        <v>1.47</v>
      </c>
      <c r="E71" s="14">
        <f t="shared" si="28"/>
        <v>1.468</v>
      </c>
      <c r="F71" s="14">
        <f t="shared" si="28"/>
        <v>1.468</v>
      </c>
      <c r="G71" s="14">
        <f t="shared" si="28"/>
        <v>1.468</v>
      </c>
      <c r="H71" s="14" t="str">
        <f t="shared" si="28"/>
        <v/>
      </c>
      <c r="I71" s="14" t="str">
        <f t="shared" si="28"/>
        <v/>
      </c>
      <c r="J71" s="14" t="str">
        <f t="shared" si="28"/>
        <v/>
      </c>
      <c r="K71" s="14" t="str">
        <f t="shared" si="28"/>
        <v/>
      </c>
      <c r="L71" s="14" t="str">
        <f t="shared" si="28"/>
        <v/>
      </c>
    </row>
    <row r="72" spans="1:21" x14ac:dyDescent="0.35">
      <c r="A72" t="str">
        <f t="shared" si="27"/>
        <v xml:space="preserve">    Mohave &amp; Havasu Evap &amp; ET</v>
      </c>
      <c r="C72" s="14">
        <f t="shared" si="28"/>
        <v>0.6</v>
      </c>
      <c r="D72" s="14">
        <f t="shared" si="28"/>
        <v>0.6</v>
      </c>
      <c r="E72" s="14">
        <f t="shared" si="28"/>
        <v>0.6</v>
      </c>
      <c r="F72" s="14">
        <f t="shared" si="28"/>
        <v>0.6</v>
      </c>
      <c r="G72" s="14">
        <f t="shared" si="28"/>
        <v>0.6</v>
      </c>
      <c r="H72" s="14" t="str">
        <f t="shared" si="28"/>
        <v/>
      </c>
      <c r="I72" s="14" t="str">
        <f t="shared" si="28"/>
        <v/>
      </c>
      <c r="J72" s="14" t="str">
        <f t="shared" si="28"/>
        <v/>
      </c>
      <c r="K72" s="14" t="str">
        <f t="shared" si="28"/>
        <v/>
      </c>
      <c r="L72" s="14" t="str">
        <f t="shared" si="28"/>
        <v/>
      </c>
    </row>
    <row r="73" spans="1:21" x14ac:dyDescent="0.35">
      <c r="A73" t="str">
        <f t="shared" si="27"/>
        <v/>
      </c>
      <c r="C73" s="60" t="str">
        <f t="shared" si="28"/>
        <v/>
      </c>
      <c r="D73" s="60" t="str">
        <f t="shared" si="28"/>
        <v/>
      </c>
      <c r="E73" s="60" t="str">
        <f t="shared" si="28"/>
        <v/>
      </c>
      <c r="F73" s="60" t="str">
        <f t="shared" si="28"/>
        <v/>
      </c>
      <c r="G73" s="60" t="str">
        <f t="shared" si="28"/>
        <v/>
      </c>
      <c r="H73" s="60" t="str">
        <f t="shared" si="28"/>
        <v/>
      </c>
      <c r="I73" s="60" t="str">
        <f t="shared" si="28"/>
        <v/>
      </c>
      <c r="J73" s="60" t="str">
        <f t="shared" si="28"/>
        <v/>
      </c>
      <c r="K73" s="60" t="str">
        <f t="shared" si="28"/>
        <v/>
      </c>
      <c r="L73" s="60" t="str">
        <f t="shared" si="28"/>
        <v/>
      </c>
    </row>
    <row r="74" spans="1:21" x14ac:dyDescent="0.35">
      <c r="A74" t="str">
        <f t="shared" si="27"/>
        <v/>
      </c>
      <c r="C74" s="14" t="str">
        <f t="shared" si="28"/>
        <v/>
      </c>
      <c r="D74" s="14" t="str">
        <f t="shared" si="28"/>
        <v/>
      </c>
      <c r="E74" s="14" t="str">
        <f t="shared" si="28"/>
        <v/>
      </c>
      <c r="F74" s="14" t="str">
        <f t="shared" si="28"/>
        <v/>
      </c>
      <c r="G74" s="14" t="str">
        <f t="shared" si="28"/>
        <v/>
      </c>
      <c r="H74" s="14" t="str">
        <f t="shared" si="28"/>
        <v/>
      </c>
      <c r="I74" s="14" t="str">
        <f t="shared" si="28"/>
        <v/>
      </c>
      <c r="J74" s="14" t="str">
        <f t="shared" si="28"/>
        <v/>
      </c>
      <c r="K74" s="14" t="str">
        <f t="shared" si="28"/>
        <v/>
      </c>
      <c r="L74" s="14" t="str">
        <f t="shared" si="28"/>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G76" si="29">IF(D69&gt;6.1+4.2,4.2,MAX(D69-6.1,0))</f>
        <v>4.2</v>
      </c>
      <c r="E76" s="43">
        <f t="shared" si="29"/>
        <v>3.4214833101213369</v>
      </c>
      <c r="F76" s="43">
        <f t="shared" si="29"/>
        <v>2.4263859058039525</v>
      </c>
      <c r="G76" s="43">
        <f t="shared" si="29"/>
        <v>2.4238385487219354</v>
      </c>
      <c r="H76" s="43"/>
      <c r="I76" s="43"/>
      <c r="J76" s="43"/>
      <c r="K76" s="43"/>
      <c r="L76" s="43"/>
      <c r="N76" s="1" t="s">
        <v>129</v>
      </c>
    </row>
    <row r="77" spans="1:21" x14ac:dyDescent="0.35">
      <c r="A77" t="str">
        <f>IF(A7="","","    "&amp;A7&amp;" - Release from Mead")</f>
        <v xml:space="preserve">    Lower Basin - Release from Mead</v>
      </c>
      <c r="C77" s="43">
        <f>7.5-IF(C$29&lt;$O$78,$P$78,IF(C$29&lt;=$O$85,VLOOKUP(C$29,$O$78:$P$85,2),0))</f>
        <v>6.867</v>
      </c>
      <c r="D77" s="43">
        <f>7.5-IF(D$29&lt;$O$78,$P$78,IF(D$29&lt;=$O$85,VLOOKUP(D$29,$O$78:$P$85,2),0))</f>
        <v>6.867</v>
      </c>
      <c r="E77" s="43">
        <f t="shared" ref="E77:G77" si="30">7.5-IF(E$29&lt;$O$78,$P$78,IF(E$29&lt;=$O$85,VLOOKUP(E$29,$O$78:$P$85,2),0))</f>
        <v>6.7830000000000004</v>
      </c>
      <c r="F77" s="43">
        <f t="shared" si="30"/>
        <v>6.7830000000000004</v>
      </c>
      <c r="G77" s="43">
        <f t="shared" si="30"/>
        <v>6.7830000000000004</v>
      </c>
      <c r="H77" s="43"/>
      <c r="I77" s="43"/>
      <c r="J77" s="43"/>
      <c r="K77" s="43"/>
      <c r="L77" s="43"/>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C71</f>
        <v>1.47</v>
      </c>
      <c r="D78" s="50">
        <f>D71</f>
        <v>1.47</v>
      </c>
      <c r="E78" s="50">
        <f>E71</f>
        <v>1.468</v>
      </c>
      <c r="F78" s="50">
        <f>F71</f>
        <v>1.468</v>
      </c>
      <c r="G78" s="50">
        <f>G71</f>
        <v>1.468</v>
      </c>
      <c r="H78" s="50"/>
      <c r="I78" s="50"/>
      <c r="J78" s="50"/>
      <c r="K78" s="50"/>
      <c r="L78" s="50"/>
      <c r="N78" s="39">
        <v>1025</v>
      </c>
      <c r="O78" s="40">
        <v>5.981122</v>
      </c>
      <c r="P78" s="41">
        <f>S78-Q78</f>
        <v>1.2000000000000002</v>
      </c>
      <c r="Q78" s="49">
        <v>0.15</v>
      </c>
      <c r="R78" s="41">
        <v>1.325</v>
      </c>
      <c r="S78" s="41">
        <f t="shared" ref="S78:S85" si="32">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c r="I79" s="43"/>
      <c r="J79" s="43"/>
      <c r="K79" s="43"/>
      <c r="L79" s="43"/>
      <c r="N79" s="39">
        <v>1030</v>
      </c>
      <c r="O79" s="40">
        <v>6.305377</v>
      </c>
      <c r="P79" s="41">
        <f t="shared" ref="P79:P85" si="33">S79-Q79</f>
        <v>1.117</v>
      </c>
      <c r="Q79" s="49">
        <v>0.10100000000000001</v>
      </c>
      <c r="R79" s="41">
        <v>1.1870000000000001</v>
      </c>
      <c r="S79" s="41">
        <f t="shared" si="32"/>
        <v>1.218</v>
      </c>
      <c r="T79" s="42">
        <v>7.0000000000000007E-2</v>
      </c>
      <c r="U79" s="52">
        <v>1218000</v>
      </c>
    </row>
    <row r="80" spans="1:21" x14ac:dyDescent="0.35">
      <c r="A80" t="str">
        <f t="shared" si="31"/>
        <v/>
      </c>
      <c r="C80" s="68"/>
      <c r="D80" s="68"/>
      <c r="E80" s="50" t="str">
        <f>E73</f>
        <v/>
      </c>
      <c r="F80" s="50"/>
      <c r="G80" s="50"/>
      <c r="H80" s="50" t="str">
        <f>H73</f>
        <v/>
      </c>
      <c r="I80" s="50"/>
      <c r="J80" s="50"/>
      <c r="K80" s="50" t="str">
        <f>K73</f>
        <v/>
      </c>
      <c r="L80" s="50"/>
      <c r="N80" s="39">
        <v>1035</v>
      </c>
      <c r="O80" s="40">
        <v>6.6375080000000004</v>
      </c>
      <c r="P80" s="41">
        <f t="shared" si="33"/>
        <v>1.0669999999999999</v>
      </c>
      <c r="Q80" s="49">
        <v>9.1999999999999998E-2</v>
      </c>
      <c r="R80" s="41">
        <v>1.137</v>
      </c>
      <c r="S80" s="41">
        <f t="shared" si="32"/>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3"/>
        <v>1.0169999999999999</v>
      </c>
      <c r="Q81" s="49">
        <v>8.4000000000000005E-2</v>
      </c>
      <c r="R81" s="41">
        <v>1.087</v>
      </c>
      <c r="S81" s="41">
        <f t="shared" si="32"/>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3"/>
        <v>0.96699999999999997</v>
      </c>
      <c r="Q82" s="49">
        <v>7.5999999999999998E-2</v>
      </c>
      <c r="R82" s="41">
        <v>1.0369999999999999</v>
      </c>
      <c r="S82" s="41">
        <f t="shared" si="32"/>
        <v>1.0429999999999999</v>
      </c>
      <c r="T82" s="42">
        <v>7.0000000000000007E-2</v>
      </c>
      <c r="U82" s="52">
        <v>1043000</v>
      </c>
    </row>
    <row r="83" spans="1:21" x14ac:dyDescent="0.35">
      <c r="A83" t="str">
        <f>IF(A6="","","    "&amp;A6)</f>
        <v xml:space="preserve">    Upper Basin</v>
      </c>
      <c r="C83" s="14">
        <f>IF(OR(C$25="",$A83=""),"",C69-C76)</f>
        <v>9.0322571336493027</v>
      </c>
      <c r="D83" s="14">
        <f t="shared" ref="D83:L83" si="34">IF(OR(D$25="",$A83=""),"",D69-D76)</f>
        <v>7.1383410513710048</v>
      </c>
      <c r="E83" s="14">
        <f t="shared" si="34"/>
        <v>6.1</v>
      </c>
      <c r="F83" s="14">
        <f t="shared" si="34"/>
        <v>6.1</v>
      </c>
      <c r="G83" s="14">
        <f t="shared" si="34"/>
        <v>6.1</v>
      </c>
      <c r="H83" s="14" t="str">
        <f t="shared" si="34"/>
        <v/>
      </c>
      <c r="I83" s="14" t="str">
        <f t="shared" si="34"/>
        <v/>
      </c>
      <c r="J83" s="14" t="str">
        <f t="shared" si="34"/>
        <v/>
      </c>
      <c r="K83" s="14" t="str">
        <f t="shared" si="34"/>
        <v/>
      </c>
      <c r="L83" s="14" t="str">
        <f t="shared" si="34"/>
        <v/>
      </c>
      <c r="N83" s="39">
        <v>1050</v>
      </c>
      <c r="O83" s="40">
        <v>7.6828779999999997</v>
      </c>
      <c r="P83" s="41">
        <f t="shared" si="33"/>
        <v>0.71699999999999997</v>
      </c>
      <c r="Q83" s="49">
        <v>3.4000000000000002E-2</v>
      </c>
      <c r="R83" s="41">
        <v>0.78700000000000003</v>
      </c>
      <c r="S83" s="41">
        <f t="shared" si="32"/>
        <v>0.751</v>
      </c>
      <c r="T83" s="42">
        <v>7.0000000000000007E-2</v>
      </c>
      <c r="U83" s="52">
        <v>751000</v>
      </c>
    </row>
    <row r="84" spans="1:21" x14ac:dyDescent="0.35">
      <c r="A84" t="str">
        <f t="shared" ref="A84:A88" si="35">IF(A7="","","    "&amp;A7)</f>
        <v xml:space="preserve">    Lower Basin</v>
      </c>
      <c r="C84" s="14">
        <f t="shared" ref="C84:L88" si="36">IF(OR(C$25="",$A84=""),"",C70-C77)</f>
        <v>9.7088451863507252</v>
      </c>
      <c r="D84" s="14">
        <f t="shared" si="36"/>
        <v>9.3135526316284221</v>
      </c>
      <c r="E84" s="14">
        <f t="shared" si="36"/>
        <v>8.9993343277774898</v>
      </c>
      <c r="F84" s="14">
        <f t="shared" si="36"/>
        <v>8.6837767143729359</v>
      </c>
      <c r="G84" s="14">
        <f t="shared" si="36"/>
        <v>8.3821095231516018</v>
      </c>
      <c r="H84" s="14" t="str">
        <f t="shared" si="36"/>
        <v/>
      </c>
      <c r="I84" s="14" t="str">
        <f t="shared" si="36"/>
        <v/>
      </c>
      <c r="J84" s="14" t="str">
        <f t="shared" si="36"/>
        <v/>
      </c>
      <c r="K84" s="14" t="str">
        <f t="shared" si="36"/>
        <v/>
      </c>
      <c r="L84" s="14" t="str">
        <f t="shared" si="36"/>
        <v/>
      </c>
      <c r="N84" s="39">
        <v>1075</v>
      </c>
      <c r="O84" s="40">
        <v>9.6009879999900001</v>
      </c>
      <c r="P84" s="41">
        <f t="shared" si="33"/>
        <v>0.63300000000000001</v>
      </c>
      <c r="Q84" s="49">
        <v>0.03</v>
      </c>
      <c r="R84" s="41">
        <v>0.68300000000000005</v>
      </c>
      <c r="S84" s="41">
        <f t="shared" si="32"/>
        <v>0.66300000000000003</v>
      </c>
      <c r="T84" s="42">
        <v>0.05</v>
      </c>
      <c r="U84" s="52">
        <v>663000</v>
      </c>
    </row>
    <row r="85" spans="1:21" x14ac:dyDescent="0.35">
      <c r="A85" t="str">
        <f t="shared" si="35"/>
        <v xml:space="preserve">    Mexico</v>
      </c>
      <c r="C85" s="14">
        <f t="shared" si="36"/>
        <v>0</v>
      </c>
      <c r="D85" s="14">
        <f t="shared" si="36"/>
        <v>0</v>
      </c>
      <c r="E85" s="14">
        <f t="shared" si="36"/>
        <v>0</v>
      </c>
      <c r="F85" s="14">
        <f t="shared" si="36"/>
        <v>0</v>
      </c>
      <c r="G85" s="14">
        <f t="shared" si="36"/>
        <v>0</v>
      </c>
      <c r="H85" s="14" t="str">
        <f t="shared" si="36"/>
        <v/>
      </c>
      <c r="I85" s="14" t="str">
        <f t="shared" si="36"/>
        <v/>
      </c>
      <c r="J85" s="14" t="str">
        <f t="shared" si="36"/>
        <v/>
      </c>
      <c r="K85" s="14" t="str">
        <f t="shared" si="36"/>
        <v/>
      </c>
      <c r="L85" s="14" t="str">
        <f t="shared" si="36"/>
        <v/>
      </c>
      <c r="N85" s="39">
        <v>1090</v>
      </c>
      <c r="O85" s="40">
        <v>10.857008</v>
      </c>
      <c r="P85" s="41">
        <f t="shared" si="33"/>
        <v>0.30000000000000004</v>
      </c>
      <c r="Q85" s="49">
        <v>4.1000000000000002E-2</v>
      </c>
      <c r="R85" s="41">
        <v>0.3</v>
      </c>
      <c r="S85" s="41">
        <f t="shared" si="32"/>
        <v>0.34100000000000003</v>
      </c>
      <c r="T85" s="38"/>
      <c r="U85" s="52">
        <v>341000</v>
      </c>
    </row>
    <row r="86" spans="1:21" x14ac:dyDescent="0.35">
      <c r="A86" t="str">
        <f t="shared" si="35"/>
        <v xml:space="preserve">    Mohave &amp; Havasu Evap &amp; ET</v>
      </c>
      <c r="C86" s="14">
        <f t="shared" si="36"/>
        <v>0</v>
      </c>
      <c r="D86" s="14">
        <f t="shared" si="36"/>
        <v>0</v>
      </c>
      <c r="E86" s="14">
        <f t="shared" si="36"/>
        <v>0</v>
      </c>
      <c r="F86" s="14">
        <f t="shared" si="36"/>
        <v>0</v>
      </c>
      <c r="G86" s="14">
        <f t="shared" si="36"/>
        <v>0</v>
      </c>
      <c r="H86" s="14" t="str">
        <f t="shared" si="36"/>
        <v/>
      </c>
      <c r="I86" s="14" t="str">
        <f t="shared" si="36"/>
        <v/>
      </c>
      <c r="J86" s="14" t="str">
        <f t="shared" si="36"/>
        <v/>
      </c>
      <c r="K86" s="14" t="str">
        <f t="shared" si="36"/>
        <v/>
      </c>
      <c r="L86" s="14" t="str">
        <f t="shared" si="36"/>
        <v/>
      </c>
    </row>
    <row r="87" spans="1:21" x14ac:dyDescent="0.35">
      <c r="A87" t="str">
        <f t="shared" si="35"/>
        <v/>
      </c>
      <c r="C87" s="59" t="str">
        <f>IF(OR(C$25="",$A87=""),"",C73-C80)</f>
        <v/>
      </c>
      <c r="D87" s="59" t="str">
        <f t="shared" si="36"/>
        <v/>
      </c>
      <c r="E87" s="59" t="str">
        <f t="shared" si="36"/>
        <v/>
      </c>
      <c r="F87" s="59" t="str">
        <f t="shared" si="36"/>
        <v/>
      </c>
      <c r="G87" s="59" t="str">
        <f t="shared" si="36"/>
        <v/>
      </c>
      <c r="H87" s="59" t="str">
        <f t="shared" si="36"/>
        <v/>
      </c>
      <c r="I87" s="59" t="str">
        <f t="shared" si="36"/>
        <v/>
      </c>
      <c r="J87" s="59" t="str">
        <f t="shared" si="36"/>
        <v/>
      </c>
      <c r="K87" s="59" t="str">
        <f t="shared" si="36"/>
        <v/>
      </c>
      <c r="L87" s="59" t="str">
        <f t="shared" si="36"/>
        <v/>
      </c>
    </row>
    <row r="88" spans="1:21" x14ac:dyDescent="0.35">
      <c r="A88" t="str">
        <f t="shared" si="35"/>
        <v/>
      </c>
      <c r="C88" s="14" t="str">
        <f t="shared" si="36"/>
        <v/>
      </c>
      <c r="D88" s="14" t="str">
        <f t="shared" si="36"/>
        <v/>
      </c>
      <c r="E88" s="14" t="str">
        <f t="shared" si="36"/>
        <v/>
      </c>
      <c r="F88" s="14" t="str">
        <f t="shared" si="36"/>
        <v/>
      </c>
      <c r="G88" s="14" t="str">
        <f t="shared" si="36"/>
        <v/>
      </c>
      <c r="H88" s="14" t="str">
        <f t="shared" si="36"/>
        <v/>
      </c>
      <c r="I88" s="14" t="str">
        <f t="shared" si="36"/>
        <v/>
      </c>
      <c r="J88" s="14" t="str">
        <f t="shared" si="36"/>
        <v/>
      </c>
      <c r="K88" s="14" t="str">
        <f t="shared" si="36"/>
        <v/>
      </c>
      <c r="L88" s="14" t="str">
        <f t="shared" si="36"/>
        <v/>
      </c>
    </row>
    <row r="89" spans="1:21" x14ac:dyDescent="0.35">
      <c r="A89" s="1" t="s">
        <v>125</v>
      </c>
      <c r="B89" s="1"/>
      <c r="C89" s="14">
        <f>IF(C$25&lt;&gt;"",SUM(C83:C88),"")</f>
        <v>18.741102320000028</v>
      </c>
      <c r="D89" s="14">
        <f t="shared" ref="D89:L89" si="37">IF(D$25&lt;&gt;"",SUM(D83:D88),"")</f>
        <v>16.451893682999426</v>
      </c>
      <c r="E89" s="14">
        <f t="shared" si="37"/>
        <v>15.099334327777489</v>
      </c>
      <c r="F89" s="14">
        <f t="shared" si="37"/>
        <v>14.783776714372936</v>
      </c>
      <c r="G89" s="14">
        <f t="shared" si="37"/>
        <v>14.482109523151601</v>
      </c>
      <c r="H89" s="14" t="str">
        <f t="shared" si="37"/>
        <v/>
      </c>
      <c r="I89" s="14" t="str">
        <f t="shared" si="37"/>
        <v/>
      </c>
      <c r="J89" s="14" t="str">
        <f t="shared" si="37"/>
        <v/>
      </c>
      <c r="K89" s="14" t="str">
        <f t="shared" si="37"/>
        <v/>
      </c>
      <c r="L89" s="14" t="str">
        <f t="shared" si="37"/>
        <v/>
      </c>
    </row>
    <row r="90" spans="1:21" x14ac:dyDescent="0.35">
      <c r="A90" s="1" t="s">
        <v>147</v>
      </c>
      <c r="B90" s="1"/>
      <c r="C90" s="14">
        <f>IF(C25&lt;&gt;"",C35+C25-C38-C76-C89*$B$35,"")</f>
        <v>7.8967059736492882</v>
      </c>
      <c r="D90" s="14">
        <f t="shared" ref="D90:L90" si="38">IF(D25&lt;&gt;"",D35+D25-D38-D76-D89*$B$35,"")</f>
        <v>7.4856882362219999</v>
      </c>
      <c r="E90" s="14">
        <f t="shared" si="38"/>
        <v>7.8729386262399634</v>
      </c>
      <c r="F90" s="14">
        <f t="shared" si="38"/>
        <v>8.3927788067022782</v>
      </c>
      <c r="G90" s="14">
        <f t="shared" si="38"/>
        <v>8.3858335956106664</v>
      </c>
      <c r="H90" s="14" t="str">
        <f t="shared" si="38"/>
        <v/>
      </c>
      <c r="I90" s="14" t="str">
        <f t="shared" si="38"/>
        <v/>
      </c>
      <c r="J90" s="14" t="str">
        <f t="shared" si="38"/>
        <v/>
      </c>
      <c r="K90" s="14" t="str">
        <f t="shared" si="38"/>
        <v/>
      </c>
      <c r="L90" s="14" t="str">
        <f t="shared" si="38"/>
        <v/>
      </c>
    </row>
    <row r="92" spans="1:21" x14ac:dyDescent="0.35">
      <c r="A92" s="1" t="s">
        <v>127</v>
      </c>
      <c r="C92" s="12">
        <f>IF(C$25&lt;&gt;"",0.2,"")</f>
        <v>0.2</v>
      </c>
      <c r="D92" s="12">
        <f t="shared" ref="D92:L92" si="39">IF(D$25&lt;&gt;"",0.2,"")</f>
        <v>0.2</v>
      </c>
      <c r="E92" s="12">
        <f t="shared" si="39"/>
        <v>0.2</v>
      </c>
      <c r="F92" s="12">
        <f t="shared" si="39"/>
        <v>0.2</v>
      </c>
      <c r="G92" s="12">
        <f t="shared" si="39"/>
        <v>0.2</v>
      </c>
      <c r="H92" s="12" t="str">
        <f t="shared" si="39"/>
        <v/>
      </c>
      <c r="I92" s="12" t="str">
        <f t="shared" si="39"/>
        <v/>
      </c>
      <c r="J92" s="12" t="str">
        <f t="shared" si="39"/>
        <v/>
      </c>
      <c r="K92" s="12" t="str">
        <f t="shared" si="39"/>
        <v/>
      </c>
      <c r="L92" s="12" t="str">
        <f t="shared" si="39"/>
        <v/>
      </c>
    </row>
    <row r="93" spans="1:21" x14ac:dyDescent="0.35">
      <c r="A93" t="s">
        <v>128</v>
      </c>
      <c r="C93" s="14">
        <f t="shared" ref="C93:L93" si="40">IF(C$25&lt;&gt;"",C77+C92,"")</f>
        <v>7.0670000000000002</v>
      </c>
      <c r="D93" s="14">
        <f t="shared" si="40"/>
        <v>7.0670000000000002</v>
      </c>
      <c r="E93" s="14">
        <f t="shared" si="40"/>
        <v>6.9830000000000005</v>
      </c>
      <c r="F93" s="14">
        <f t="shared" si="40"/>
        <v>6.9830000000000005</v>
      </c>
      <c r="G93" s="14">
        <f t="shared" si="40"/>
        <v>6.9830000000000005</v>
      </c>
      <c r="H93" s="14" t="str">
        <f t="shared" si="40"/>
        <v/>
      </c>
      <c r="I93" s="14" t="str">
        <f t="shared" si="40"/>
        <v/>
      </c>
      <c r="J93" s="14" t="str">
        <f t="shared" si="40"/>
        <v/>
      </c>
      <c r="K93" s="14" t="str">
        <f t="shared" si="40"/>
        <v/>
      </c>
      <c r="L93" s="14" t="str">
        <f t="shared" si="40"/>
        <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261" priority="60" operator="greaterThan">
      <formula>$C$69</formula>
    </cfRule>
  </conditionalFormatting>
  <conditionalFormatting sqref="C77:D77">
    <cfRule type="cellIs" dxfId="260" priority="59" operator="greaterThan">
      <formula>$C$70</formula>
    </cfRule>
  </conditionalFormatting>
  <conditionalFormatting sqref="C78">
    <cfRule type="cellIs" dxfId="259" priority="58" operator="greaterThan">
      <formula>$C$71</formula>
    </cfRule>
  </conditionalFormatting>
  <conditionalFormatting sqref="C79">
    <cfRule type="cellIs" dxfId="258" priority="57" operator="greaterThan">
      <formula>$C$72</formula>
    </cfRule>
  </conditionalFormatting>
  <conditionalFormatting sqref="C80">
    <cfRule type="cellIs" dxfId="257" priority="56" operator="greaterThan">
      <formula>$C$73</formula>
    </cfRule>
  </conditionalFormatting>
  <conditionalFormatting sqref="C81">
    <cfRule type="cellIs" dxfId="256" priority="55" operator="greaterThan">
      <formula>$C$74</formula>
    </cfRule>
  </conditionalFormatting>
  <conditionalFormatting sqref="D76">
    <cfRule type="cellIs" dxfId="255" priority="54" operator="greaterThan">
      <formula>$D$69</formula>
    </cfRule>
  </conditionalFormatting>
  <conditionalFormatting sqref="D78">
    <cfRule type="cellIs" dxfId="254" priority="52" operator="greaterThan">
      <formula>$D$71</formula>
    </cfRule>
  </conditionalFormatting>
  <conditionalFormatting sqref="D79">
    <cfRule type="cellIs" dxfId="253" priority="51" operator="greaterThan">
      <formula>$D$72</formula>
    </cfRule>
  </conditionalFormatting>
  <conditionalFormatting sqref="D80">
    <cfRule type="cellIs" dxfId="252" priority="50" operator="greaterThan">
      <formula>$D$73</formula>
    </cfRule>
  </conditionalFormatting>
  <conditionalFormatting sqref="D81">
    <cfRule type="cellIs" dxfId="251" priority="49" operator="greaterThan">
      <formula>$D$74</formula>
    </cfRule>
  </conditionalFormatting>
  <conditionalFormatting sqref="E76">
    <cfRule type="cellIs" dxfId="250" priority="48" operator="greaterThan">
      <formula>$E$69</formula>
    </cfRule>
  </conditionalFormatting>
  <conditionalFormatting sqref="E77">
    <cfRule type="cellIs" dxfId="249" priority="47" operator="greaterThan">
      <formula>$E$70</formula>
    </cfRule>
  </conditionalFormatting>
  <conditionalFormatting sqref="E78">
    <cfRule type="cellIs" dxfId="248" priority="46" operator="greaterThan">
      <formula>$E$71</formula>
    </cfRule>
  </conditionalFormatting>
  <conditionalFormatting sqref="E79">
    <cfRule type="cellIs" dxfId="247" priority="45" operator="greaterThan">
      <formula>$E$72</formula>
    </cfRule>
  </conditionalFormatting>
  <conditionalFormatting sqref="E80">
    <cfRule type="cellIs" dxfId="246" priority="44" operator="greaterThan">
      <formula>$E$73</formula>
    </cfRule>
  </conditionalFormatting>
  <conditionalFormatting sqref="E81">
    <cfRule type="cellIs" dxfId="245" priority="43" operator="greaterThan">
      <formula>$E$74</formula>
    </cfRule>
  </conditionalFormatting>
  <conditionalFormatting sqref="F76">
    <cfRule type="cellIs" dxfId="244" priority="42" operator="greaterThan">
      <formula>$F$69</formula>
    </cfRule>
  </conditionalFormatting>
  <conditionalFormatting sqref="F77">
    <cfRule type="cellIs" dxfId="243" priority="41" operator="greaterThan">
      <formula>$F$70</formula>
    </cfRule>
  </conditionalFormatting>
  <conditionalFormatting sqref="F78">
    <cfRule type="cellIs" dxfId="242" priority="40" operator="greaterThan">
      <formula>$F$71</formula>
    </cfRule>
  </conditionalFormatting>
  <conditionalFormatting sqref="F79">
    <cfRule type="cellIs" dxfId="241" priority="39" operator="greaterThan">
      <formula>$F$72</formula>
    </cfRule>
  </conditionalFormatting>
  <conditionalFormatting sqref="F80">
    <cfRule type="cellIs" dxfId="240" priority="38" operator="greaterThan">
      <formula>$F$73</formula>
    </cfRule>
  </conditionalFormatting>
  <conditionalFormatting sqref="F81">
    <cfRule type="cellIs" dxfId="239" priority="37" operator="greaterThan">
      <formula>$F$74</formula>
    </cfRule>
  </conditionalFormatting>
  <conditionalFormatting sqref="G76">
    <cfRule type="cellIs" dxfId="238" priority="36" operator="greaterThan">
      <formula>$G$69</formula>
    </cfRule>
  </conditionalFormatting>
  <conditionalFormatting sqref="G77">
    <cfRule type="cellIs" dxfId="237" priority="35" operator="greaterThan">
      <formula>$G$70</formula>
    </cfRule>
  </conditionalFormatting>
  <conditionalFormatting sqref="G78">
    <cfRule type="cellIs" dxfId="236" priority="34" operator="greaterThan">
      <formula>$G$71</formula>
    </cfRule>
  </conditionalFormatting>
  <conditionalFormatting sqref="G79">
    <cfRule type="cellIs" dxfId="235" priority="33" operator="greaterThan">
      <formula>$G$72</formula>
    </cfRule>
  </conditionalFormatting>
  <conditionalFormatting sqref="G80">
    <cfRule type="cellIs" dxfId="234" priority="32" operator="greaterThan">
      <formula>$G$73</formula>
    </cfRule>
  </conditionalFormatting>
  <conditionalFormatting sqref="G81">
    <cfRule type="cellIs" dxfId="233" priority="31" operator="greaterThan">
      <formula>$G$74</formula>
    </cfRule>
  </conditionalFormatting>
  <conditionalFormatting sqref="H76">
    <cfRule type="cellIs" dxfId="232" priority="30" operator="greaterThan">
      <formula>$H$69</formula>
    </cfRule>
  </conditionalFormatting>
  <conditionalFormatting sqref="H77">
    <cfRule type="cellIs" dxfId="231" priority="29" operator="greaterThan">
      <formula>$H$70</formula>
    </cfRule>
  </conditionalFormatting>
  <conditionalFormatting sqref="H78">
    <cfRule type="cellIs" dxfId="230" priority="28" operator="greaterThan">
      <formula>$H$71</formula>
    </cfRule>
  </conditionalFormatting>
  <conditionalFormatting sqref="H79">
    <cfRule type="cellIs" dxfId="229" priority="27" operator="greaterThan">
      <formula>$H$72</formula>
    </cfRule>
  </conditionalFormatting>
  <conditionalFormatting sqref="H80">
    <cfRule type="cellIs" dxfId="228" priority="26" operator="greaterThan">
      <formula>$H$73</formula>
    </cfRule>
  </conditionalFormatting>
  <conditionalFormatting sqref="H81">
    <cfRule type="cellIs" dxfId="227" priority="25" operator="greaterThan">
      <formula>$H$74</formula>
    </cfRule>
  </conditionalFormatting>
  <conditionalFormatting sqref="I76">
    <cfRule type="cellIs" dxfId="226" priority="24" operator="greaterThan">
      <formula>$I$69</formula>
    </cfRule>
  </conditionalFormatting>
  <conditionalFormatting sqref="I77">
    <cfRule type="cellIs" dxfId="225" priority="23" operator="greaterThan">
      <formula>$I$70</formula>
    </cfRule>
  </conditionalFormatting>
  <conditionalFormatting sqref="I78">
    <cfRule type="cellIs" dxfId="224" priority="22" operator="greaterThan">
      <formula>$I$71</formula>
    </cfRule>
  </conditionalFormatting>
  <conditionalFormatting sqref="I79">
    <cfRule type="cellIs" dxfId="223" priority="21" operator="greaterThan">
      <formula>$I$72</formula>
    </cfRule>
  </conditionalFormatting>
  <conditionalFormatting sqref="I80">
    <cfRule type="cellIs" dxfId="222" priority="20" operator="greaterThan">
      <formula>$I$73</formula>
    </cfRule>
  </conditionalFormatting>
  <conditionalFormatting sqref="I81">
    <cfRule type="cellIs" dxfId="221" priority="19" operator="greaterThan">
      <formula>$I$74</formula>
    </cfRule>
  </conditionalFormatting>
  <conditionalFormatting sqref="J76">
    <cfRule type="cellIs" dxfId="220" priority="18" operator="greaterThan">
      <formula>$J$69</formula>
    </cfRule>
  </conditionalFormatting>
  <conditionalFormatting sqref="J77">
    <cfRule type="cellIs" dxfId="219" priority="17" operator="greaterThan">
      <formula>$J$70</formula>
    </cfRule>
  </conditionalFormatting>
  <conditionalFormatting sqref="J78">
    <cfRule type="cellIs" dxfId="218" priority="16" operator="greaterThan">
      <formula>$J$71</formula>
    </cfRule>
  </conditionalFormatting>
  <conditionalFormatting sqref="J79">
    <cfRule type="cellIs" dxfId="217" priority="15" operator="greaterThan">
      <formula>$J$72</formula>
    </cfRule>
  </conditionalFormatting>
  <conditionalFormatting sqref="J80">
    <cfRule type="cellIs" dxfId="216" priority="14" operator="greaterThan">
      <formula>$J$73</formula>
    </cfRule>
  </conditionalFormatting>
  <conditionalFormatting sqref="J81">
    <cfRule type="cellIs" dxfId="215" priority="13" operator="greaterThan">
      <formula>$J$74</formula>
    </cfRule>
  </conditionalFormatting>
  <conditionalFormatting sqref="K76">
    <cfRule type="cellIs" dxfId="214" priority="12" operator="greaterThan">
      <formula>$K$69</formula>
    </cfRule>
  </conditionalFormatting>
  <conditionalFormatting sqref="K77">
    <cfRule type="cellIs" dxfId="213" priority="11" operator="greaterThan">
      <formula>$K$70</formula>
    </cfRule>
  </conditionalFormatting>
  <conditionalFormatting sqref="K78">
    <cfRule type="cellIs" dxfId="212" priority="10" operator="greaterThan">
      <formula>$K$71</formula>
    </cfRule>
  </conditionalFormatting>
  <conditionalFormatting sqref="K79">
    <cfRule type="cellIs" dxfId="211" priority="9" operator="greaterThan">
      <formula>$K$72</formula>
    </cfRule>
  </conditionalFormatting>
  <conditionalFormatting sqref="K80">
    <cfRule type="cellIs" dxfId="210" priority="8" operator="greaterThan">
      <formula>$K$73</formula>
    </cfRule>
  </conditionalFormatting>
  <conditionalFormatting sqref="K81">
    <cfRule type="cellIs" dxfId="209" priority="7" operator="greaterThan">
      <formula>$K$74</formula>
    </cfRule>
  </conditionalFormatting>
  <conditionalFormatting sqref="L76">
    <cfRule type="cellIs" dxfId="208" priority="6" operator="greaterThan">
      <formula>$L$69</formula>
    </cfRule>
  </conditionalFormatting>
  <conditionalFormatting sqref="L77">
    <cfRule type="cellIs" dxfId="207" priority="5" operator="greaterThan">
      <formula>$L$70</formula>
    </cfRule>
  </conditionalFormatting>
  <conditionalFormatting sqref="L78">
    <cfRule type="cellIs" dxfId="206" priority="4" operator="greaterThan">
      <formula>$L$71</formula>
    </cfRule>
  </conditionalFormatting>
  <conditionalFormatting sqref="L79">
    <cfRule type="cellIs" dxfId="205" priority="3" operator="greaterThan">
      <formula>$L$72</formula>
    </cfRule>
  </conditionalFormatting>
  <conditionalFormatting sqref="L80">
    <cfRule type="cellIs" dxfId="204" priority="2" operator="greaterThan">
      <formula>$L$73</formula>
    </cfRule>
  </conditionalFormatting>
  <conditionalFormatting sqref="L81">
    <cfRule type="cellIs" dxfId="203" priority="1" operator="greaterThan">
      <formula>$L$74</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P1"/>
  <sheetViews>
    <sheetView workbookViewId="0">
      <selection activeCell="V36" sqref="V36"/>
    </sheetView>
  </sheetViews>
  <sheetFormatPr defaultRowHeight="14.5" x14ac:dyDescent="0.35"/>
  <sheetData>
    <row r="1" spans="7:16" ht="36" x14ac:dyDescent="0.8">
      <c r="G1" s="48" t="s">
        <v>40</v>
      </c>
      <c r="P1" s="48" t="s">
        <v>41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9FD0-848D-45A7-9E86-C03F8B4C3967}">
  <dimension ref="A1:U95"/>
  <sheetViews>
    <sheetView topLeftCell="A21" zoomScale="150" zoomScaleNormal="150" workbookViewId="0">
      <selection activeCell="N27" sqref="N27:O29"/>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72"/>
      <c r="I3" s="72"/>
      <c r="J3" s="72"/>
      <c r="K3" s="72"/>
    </row>
    <row r="4" spans="1:11" x14ac:dyDescent="0.35">
      <c r="A4" s="64" t="s">
        <v>39</v>
      </c>
      <c r="B4" s="64" t="s">
        <v>43</v>
      </c>
      <c r="C4" s="99" t="s">
        <v>44</v>
      </c>
      <c r="D4" s="100"/>
      <c r="E4" s="100"/>
      <c r="F4" s="100"/>
      <c r="G4" s="101"/>
    </row>
    <row r="5" spans="1:11" x14ac:dyDescent="0.35">
      <c r="A5" s="73" t="s">
        <v>52</v>
      </c>
      <c r="B5" s="73"/>
      <c r="C5" s="102"/>
      <c r="D5" s="102"/>
      <c r="E5" s="102"/>
      <c r="F5" s="102"/>
      <c r="G5" s="102"/>
    </row>
    <row r="6" spans="1:11" x14ac:dyDescent="0.35">
      <c r="A6" s="71" t="s">
        <v>40</v>
      </c>
      <c r="B6" s="71" t="s">
        <v>184</v>
      </c>
      <c r="C6" s="103" t="s">
        <v>183</v>
      </c>
      <c r="D6" s="103"/>
      <c r="E6" s="103"/>
      <c r="F6" s="103"/>
      <c r="G6" s="103"/>
    </row>
    <row r="7" spans="1:11" x14ac:dyDescent="0.35">
      <c r="A7" s="71" t="s">
        <v>41</v>
      </c>
      <c r="B7" s="71" t="s">
        <v>184</v>
      </c>
      <c r="C7" s="97" t="s">
        <v>181</v>
      </c>
      <c r="D7" s="97"/>
      <c r="E7" s="97"/>
      <c r="F7" s="97"/>
      <c r="G7" s="97"/>
    </row>
    <row r="8" spans="1:11" x14ac:dyDescent="0.35">
      <c r="A8" s="71" t="s">
        <v>42</v>
      </c>
      <c r="B8" s="71" t="s">
        <v>184</v>
      </c>
      <c r="C8" s="103" t="s">
        <v>183</v>
      </c>
      <c r="D8" s="103"/>
      <c r="E8" s="103"/>
      <c r="F8" s="103"/>
      <c r="G8" s="103"/>
    </row>
    <row r="9" spans="1:11" x14ac:dyDescent="0.35">
      <c r="A9" s="71" t="s">
        <v>165</v>
      </c>
      <c r="B9" s="71" t="s">
        <v>184</v>
      </c>
      <c r="C9" s="97" t="s">
        <v>182</v>
      </c>
      <c r="D9" s="97"/>
      <c r="E9" s="97"/>
      <c r="F9" s="97"/>
      <c r="G9" s="97"/>
    </row>
    <row r="10" spans="1:11" x14ac:dyDescent="0.35">
      <c r="A10" s="71"/>
      <c r="B10" s="71"/>
      <c r="C10" s="97"/>
      <c r="D10" s="97"/>
      <c r="E10" s="97"/>
      <c r="F10" s="97"/>
      <c r="G10" s="97"/>
    </row>
    <row r="11" spans="1:11" x14ac:dyDescent="0.35">
      <c r="A11" s="71"/>
      <c r="B11" s="71"/>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3" x14ac:dyDescent="0.35">
      <c r="A18" s="1" t="s">
        <v>54</v>
      </c>
      <c r="D18" s="20" t="s">
        <v>185</v>
      </c>
    </row>
    <row r="20" spans="1:13" x14ac:dyDescent="0.35">
      <c r="A20" s="1" t="s">
        <v>32</v>
      </c>
      <c r="B20" s="1" t="s">
        <v>112</v>
      </c>
      <c r="C20" s="13" t="s">
        <v>113</v>
      </c>
    </row>
    <row r="21" spans="1:13" x14ac:dyDescent="0.35">
      <c r="A21" t="s">
        <v>111</v>
      </c>
      <c r="B21" s="12">
        <v>5.73</v>
      </c>
      <c r="C21" s="12">
        <v>6</v>
      </c>
      <c r="D21" s="23" t="s">
        <v>114</v>
      </c>
    </row>
    <row r="22" spans="1:13" x14ac:dyDescent="0.35">
      <c r="A22" t="s">
        <v>145</v>
      </c>
      <c r="B22" s="12">
        <v>11</v>
      </c>
      <c r="C22" s="12">
        <v>10.1</v>
      </c>
      <c r="D22" s="11" t="s">
        <v>34</v>
      </c>
    </row>
    <row r="24" spans="1:13"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row>
    <row r="25" spans="1:13" x14ac:dyDescent="0.35">
      <c r="A25" s="1" t="s">
        <v>45</v>
      </c>
      <c r="B25" s="1"/>
      <c r="C25" s="45">
        <v>12.4</v>
      </c>
      <c r="D25" s="45">
        <f>C25</f>
        <v>12.4</v>
      </c>
      <c r="E25" s="45">
        <f t="shared" ref="E25:L25" si="0">D25</f>
        <v>12.4</v>
      </c>
      <c r="F25" s="45">
        <f t="shared" si="0"/>
        <v>12.4</v>
      </c>
      <c r="G25" s="45">
        <f t="shared" si="0"/>
        <v>12.4</v>
      </c>
      <c r="H25" s="45">
        <f t="shared" si="0"/>
        <v>12.4</v>
      </c>
      <c r="I25" s="45">
        <v>14.4</v>
      </c>
      <c r="J25" s="45">
        <f t="shared" si="0"/>
        <v>14.4</v>
      </c>
      <c r="K25" s="45">
        <f t="shared" si="0"/>
        <v>14.4</v>
      </c>
      <c r="L25" s="45">
        <f t="shared" si="0"/>
        <v>14.4</v>
      </c>
    </row>
    <row r="26" spans="1:13" x14ac:dyDescent="0.35">
      <c r="A26" s="1" t="s">
        <v>123</v>
      </c>
      <c r="B26" s="1"/>
      <c r="C26" s="12">
        <f>IF(C$25&lt;&gt;"",0.8,"")</f>
        <v>0.8</v>
      </c>
      <c r="D26" s="12">
        <f t="shared" ref="D26:L26" si="1">IF(D$25&lt;&gt;"",0.8,"")</f>
        <v>0.8</v>
      </c>
      <c r="E26" s="12">
        <f t="shared" si="1"/>
        <v>0.8</v>
      </c>
      <c r="F26" s="12">
        <f t="shared" si="1"/>
        <v>0.8</v>
      </c>
      <c r="G26" s="12">
        <f t="shared" si="1"/>
        <v>0.8</v>
      </c>
      <c r="H26" s="12">
        <f t="shared" si="1"/>
        <v>0.8</v>
      </c>
      <c r="I26" s="12">
        <f t="shared" si="1"/>
        <v>0.8</v>
      </c>
      <c r="J26" s="12">
        <f t="shared" si="1"/>
        <v>0.8</v>
      </c>
      <c r="K26" s="12">
        <f t="shared" si="1"/>
        <v>0.8</v>
      </c>
      <c r="L26" s="12">
        <f t="shared" si="1"/>
        <v>0.8</v>
      </c>
    </row>
    <row r="27" spans="1:13" x14ac:dyDescent="0.35">
      <c r="A27" s="1" t="s">
        <v>126</v>
      </c>
      <c r="B27" s="14">
        <f>SUM(B28:B33)-SUM(B22:C22)</f>
        <v>0</v>
      </c>
      <c r="C27" s="14">
        <f>IF(C$25&lt;&gt;"",SUM(B22:C22),"")</f>
        <v>21.1</v>
      </c>
      <c r="D27" s="14">
        <f>IF(D$25&lt;&gt;"",C89,"")</f>
        <v>20.14110232000003</v>
      </c>
      <c r="E27" s="14">
        <f t="shared" ref="E27:L27" si="2">IF(E$25&lt;&gt;"",D89,"")</f>
        <v>19.211005839999455</v>
      </c>
      <c r="F27" s="14">
        <f t="shared" si="2"/>
        <v>18.393346086000026</v>
      </c>
      <c r="G27" s="14">
        <f t="shared" si="2"/>
        <v>17.600829526999998</v>
      </c>
      <c r="H27" s="14">
        <f t="shared" si="2"/>
        <v>16.833042162998829</v>
      </c>
      <c r="I27" s="14">
        <f t="shared" si="2"/>
        <v>16.089989993998255</v>
      </c>
      <c r="J27" s="14">
        <f t="shared" si="2"/>
        <v>17.370629013998855</v>
      </c>
      <c r="K27" s="14">
        <f t="shared" si="2"/>
        <v>18.610262208498284</v>
      </c>
      <c r="L27" s="14">
        <f t="shared" si="2"/>
        <v>19.811868610497712</v>
      </c>
    </row>
    <row r="28" spans="1:13" x14ac:dyDescent="0.35">
      <c r="A28" t="str">
        <f>IF(A6="","","    "&amp;A6&amp;" Balance")</f>
        <v xml:space="preserve">    Upper Basin Balance</v>
      </c>
      <c r="B28" s="55">
        <f>B22</f>
        <v>11</v>
      </c>
      <c r="C28" s="14">
        <f>IF(OR(C$25="",$A28=""),"",B28)</f>
        <v>11</v>
      </c>
      <c r="D28" s="14">
        <f>IF(OR(D$25="",$A28=""),"",C83)</f>
        <v>10.432257133649305</v>
      </c>
      <c r="E28" s="14">
        <f t="shared" ref="E28:L28" si="3">IF(OR(E$25="",$A28=""),"",D83)</f>
        <v>9.8828742725086656</v>
      </c>
      <c r="F28" s="14">
        <f t="shared" si="3"/>
        <v>9.3505876185647416</v>
      </c>
      <c r="G28" s="14">
        <f t="shared" si="3"/>
        <v>8.8369507768451037</v>
      </c>
      <c r="H28" s="14">
        <f t="shared" si="3"/>
        <v>8.3416540166223037</v>
      </c>
      <c r="I28" s="14">
        <f t="shared" si="3"/>
        <v>7.864595445953662</v>
      </c>
      <c r="J28" s="14">
        <f t="shared" si="3"/>
        <v>8.9051509428001765</v>
      </c>
      <c r="K28" s="14">
        <f t="shared" si="3"/>
        <v>9.9039589206904175</v>
      </c>
      <c r="L28" s="14">
        <f t="shared" si="3"/>
        <v>10.864777562512774</v>
      </c>
    </row>
    <row r="29" spans="1:13" x14ac:dyDescent="0.35">
      <c r="A29" t="str">
        <f t="shared" ref="A29:A33" si="4">IF(A7="","","    "&amp;A7&amp;" Balance")</f>
        <v xml:space="preserve">    Lower Basin Balance</v>
      </c>
      <c r="B29" s="55">
        <f>C22</f>
        <v>10.1</v>
      </c>
      <c r="C29" s="14">
        <f t="shared" ref="C29:C33" si="5">IF(OR(C$25="",$A29=""),"",B29)</f>
        <v>10.1</v>
      </c>
      <c r="D29" s="14">
        <f t="shared" ref="D29:L33" si="6">IF(OR(D$25="",$A29=""),"",C84)</f>
        <v>9.7088451863507252</v>
      </c>
      <c r="E29" s="14">
        <f t="shared" si="6"/>
        <v>9.3281315674907894</v>
      </c>
      <c r="F29" s="14">
        <f t="shared" si="6"/>
        <v>9.0427584674352843</v>
      </c>
      <c r="G29" s="14">
        <f t="shared" si="6"/>
        <v>8.7638787501548947</v>
      </c>
      <c r="H29" s="14">
        <f t="shared" si="6"/>
        <v>8.4913881463765257</v>
      </c>
      <c r="I29" s="14">
        <f t="shared" si="6"/>
        <v>8.2253945480445942</v>
      </c>
      <c r="J29" s="14">
        <f t="shared" si="6"/>
        <v>8.4654780711986781</v>
      </c>
      <c r="K29" s="14">
        <f t="shared" si="6"/>
        <v>8.7063032878078666</v>
      </c>
      <c r="L29" s="14">
        <f t="shared" si="6"/>
        <v>8.9470910479849373</v>
      </c>
    </row>
    <row r="30" spans="1:13" x14ac:dyDescent="0.35">
      <c r="A30" t="str">
        <f t="shared" si="4"/>
        <v xml:space="preserve">    Mexico Balance</v>
      </c>
      <c r="B30" s="56">
        <v>0</v>
      </c>
      <c r="C30" s="14">
        <f t="shared" si="5"/>
        <v>0</v>
      </c>
      <c r="D30" s="14">
        <f t="shared" si="6"/>
        <v>0</v>
      </c>
      <c r="E30" s="14">
        <f t="shared" si="6"/>
        <v>0</v>
      </c>
      <c r="F30" s="14">
        <f t="shared" si="6"/>
        <v>0</v>
      </c>
      <c r="G30" s="14">
        <f t="shared" si="6"/>
        <v>0</v>
      </c>
      <c r="H30" s="14">
        <f t="shared" si="6"/>
        <v>0</v>
      </c>
      <c r="I30" s="14">
        <f t="shared" si="6"/>
        <v>0</v>
      </c>
      <c r="J30" s="14">
        <f t="shared" si="6"/>
        <v>0</v>
      </c>
      <c r="K30" s="14">
        <f t="shared" si="6"/>
        <v>0</v>
      </c>
      <c r="L30" s="14">
        <f t="shared" si="6"/>
        <v>0</v>
      </c>
    </row>
    <row r="31" spans="1:13"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f t="shared" si="6"/>
        <v>0</v>
      </c>
      <c r="I31" s="14">
        <f t="shared" si="6"/>
        <v>0</v>
      </c>
      <c r="J31" s="14">
        <f t="shared" si="6"/>
        <v>0</v>
      </c>
      <c r="K31" s="14">
        <f t="shared" si="6"/>
        <v>0</v>
      </c>
      <c r="L31" s="14">
        <f t="shared" si="6"/>
        <v>0</v>
      </c>
    </row>
    <row r="32" spans="1:13"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10.070551160000015</v>
      </c>
      <c r="E35" s="14">
        <f t="shared" si="7"/>
        <v>9.6055029199997275</v>
      </c>
      <c r="F35" s="14">
        <f t="shared" si="7"/>
        <v>9.196673043000013</v>
      </c>
      <c r="G35" s="14">
        <f t="shared" si="7"/>
        <v>8.8004147634999992</v>
      </c>
      <c r="H35" s="14">
        <f t="shared" si="7"/>
        <v>8.4165210814994147</v>
      </c>
      <c r="I35" s="14">
        <f t="shared" si="7"/>
        <v>8.0449949969991277</v>
      </c>
      <c r="J35" s="14">
        <f t="shared" si="7"/>
        <v>8.6853145069994273</v>
      </c>
      <c r="K35" s="14">
        <f t="shared" si="7"/>
        <v>9.305131104249142</v>
      </c>
      <c r="L35" s="14">
        <f t="shared" si="7"/>
        <v>9.9059343052488558</v>
      </c>
    </row>
    <row r="36" spans="1:12" x14ac:dyDescent="0.35">
      <c r="A36" t="s">
        <v>116</v>
      </c>
      <c r="B36" s="35">
        <f>1-B35</f>
        <v>0.5</v>
      </c>
      <c r="C36" s="14">
        <f>IF(C$25&lt;&gt;"",C22,"")</f>
        <v>10.1</v>
      </c>
      <c r="D36" s="14">
        <f t="shared" si="7"/>
        <v>10.070551160000015</v>
      </c>
      <c r="E36" s="14">
        <f t="shared" si="7"/>
        <v>9.6055029199997275</v>
      </c>
      <c r="F36" s="14">
        <f t="shared" si="7"/>
        <v>9.196673043000013</v>
      </c>
      <c r="G36" s="14">
        <f t="shared" si="7"/>
        <v>8.8004147634999992</v>
      </c>
      <c r="H36" s="14">
        <f t="shared" si="7"/>
        <v>8.4165210814994147</v>
      </c>
      <c r="I36" s="14">
        <f t="shared" si="7"/>
        <v>8.0449949969991277</v>
      </c>
      <c r="J36" s="14">
        <f t="shared" si="7"/>
        <v>8.6853145069994273</v>
      </c>
      <c r="K36" s="14">
        <f t="shared" si="7"/>
        <v>9.305131104249142</v>
      </c>
      <c r="L36" s="14">
        <f t="shared" si="7"/>
        <v>9.9059343052488558</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0.99309648000057305</v>
      </c>
      <c r="E37" s="14">
        <f>IF(E$25&lt;&gt;"",VLOOKUP(E35*1000000,'Powell-Elevation-Area'!$B$5:$D$689,3)*$B$21/1000000 + VLOOKUP(E36*1000000,'Mead-Elevation-Area'!$B$5:$D$676,3)*$C$21/1000000,"")</f>
        <v>0.96665975399942705</v>
      </c>
      <c r="F37" s="14">
        <f>IF(F$25&lt;&gt;"",VLOOKUP(F35*1000000,'Powell-Elevation-Area'!$B$5:$D$689,3)*$B$21/1000000 + VLOOKUP(F36*1000000,'Mead-Elevation-Area'!$B$5:$D$676,3)*$C$21/1000000,"")</f>
        <v>0.94151655900002706</v>
      </c>
      <c r="G37" s="14">
        <f>IF(G$25&lt;&gt;"",VLOOKUP(G35*1000000,'Powell-Elevation-Area'!$B$5:$D$689,3)*$B$21/1000000 + VLOOKUP(G36*1000000,'Mead-Elevation-Area'!$B$5:$D$676,3)*$C$21/1000000,"")</f>
        <v>0.916787364001173</v>
      </c>
      <c r="H37" s="14">
        <f>IF(H$25&lt;&gt;"",VLOOKUP(H35*1000000,'Powell-Elevation-Area'!$B$5:$D$689,3)*$B$21/1000000 + VLOOKUP(H36*1000000,'Mead-Elevation-Area'!$B$5:$D$676,3)*$C$21/1000000,"")</f>
        <v>0.89205216900057305</v>
      </c>
      <c r="I37" s="14">
        <f>IF(I$25&lt;&gt;"",VLOOKUP(I35*1000000,'Powell-Elevation-Area'!$B$5:$D$689,3)*$B$21/1000000 + VLOOKUP(I36*1000000,'Mead-Elevation-Area'!$B$5:$D$676,3)*$C$21/1000000,"")</f>
        <v>0.8683609799994001</v>
      </c>
      <c r="J37" s="14">
        <f>IF(J$25&lt;&gt;"",VLOOKUP(J35*1000000,'Powell-Elevation-Area'!$B$5:$D$689,3)*$B$21/1000000 + VLOOKUP(J36*1000000,'Mead-Elevation-Area'!$B$5:$D$676,3)*$C$21/1000000,"")</f>
        <v>0.90936680550057303</v>
      </c>
      <c r="K37" s="14">
        <f>IF(K$25&lt;&gt;"",VLOOKUP(K35*1000000,'Powell-Elevation-Area'!$B$5:$D$689,3)*$B$21/1000000 + VLOOKUP(K36*1000000,'Mead-Elevation-Area'!$B$5:$D$676,3)*$C$21/1000000,"")</f>
        <v>0.94739359800057299</v>
      </c>
      <c r="L37" s="14">
        <f>IF(L$25&lt;&gt;"",VLOOKUP(L35*1000000,'Powell-Elevation-Area'!$B$5:$D$689,3)*$B$21/1000000 + VLOOKUP(L36*1000000,'Mead-Elevation-Area'!$B$5:$D$676,3)*$C$21/1000000,"")</f>
        <v>0.98351839050000001</v>
      </c>
    </row>
    <row r="38" spans="1:12" x14ac:dyDescent="0.35">
      <c r="A38" t="str">
        <f>IF(A6="","","    "&amp;A6&amp;" Share")</f>
        <v xml:space="preserve">    Upper Basin Share</v>
      </c>
      <c r="B38" s="1"/>
      <c r="C38" s="14">
        <f>IF(OR(C$25="",$A38=""),"",C$37*C28/C$27)</f>
        <v>0.5327428663506969</v>
      </c>
      <c r="D38" s="14">
        <f t="shared" ref="D38:L38" si="8">IF(OR(D$25="",$A38=""),"",D$37*D28/D$27)</f>
        <v>0.51438286114063969</v>
      </c>
      <c r="E38" s="14">
        <f t="shared" si="8"/>
        <v>0.49728665394392302</v>
      </c>
      <c r="F38" s="14">
        <f t="shared" si="8"/>
        <v>0.47863684171963883</v>
      </c>
      <c r="G38" s="14">
        <f t="shared" si="8"/>
        <v>0.46029676022280247</v>
      </c>
      <c r="H38" s="14">
        <f t="shared" si="8"/>
        <v>0.44205857066864318</v>
      </c>
      <c r="I38" s="14">
        <f t="shared" si="8"/>
        <v>0.42444450315348542</v>
      </c>
      <c r="J38" s="14">
        <f t="shared" si="8"/>
        <v>0.46619202210976113</v>
      </c>
      <c r="K38" s="14">
        <f t="shared" si="8"/>
        <v>0.50418135817764509</v>
      </c>
      <c r="L38" s="14">
        <f t="shared" si="8"/>
        <v>0.53935894445418653</v>
      </c>
    </row>
    <row r="39" spans="1:12" x14ac:dyDescent="0.35">
      <c r="A39" t="str">
        <f t="shared" ref="A39:A43" si="9">IF(A7="","","    "&amp;A7&amp;" Share")</f>
        <v xml:space="preserve">    Lower Basin Share</v>
      </c>
      <c r="B39" s="1"/>
      <c r="C39" s="14">
        <f t="shared" ref="C39:L43" si="10">IF(OR(C$25="",$A39=""),"",C$37*C29/C$27)</f>
        <v>0.48915481364927621</v>
      </c>
      <c r="D39" s="14">
        <f t="shared" si="10"/>
        <v>0.4787136188599333</v>
      </c>
      <c r="E39" s="14">
        <f t="shared" si="10"/>
        <v>0.46937310005550409</v>
      </c>
      <c r="F39" s="14">
        <f t="shared" si="10"/>
        <v>0.46287971728038824</v>
      </c>
      <c r="G39" s="14">
        <f t="shared" si="10"/>
        <v>0.45649060377837047</v>
      </c>
      <c r="H39" s="14">
        <f t="shared" si="10"/>
        <v>0.44999359833192987</v>
      </c>
      <c r="I39" s="14">
        <f t="shared" si="10"/>
        <v>0.44391647684591473</v>
      </c>
      <c r="J39" s="14">
        <f t="shared" si="10"/>
        <v>0.4431747833908119</v>
      </c>
      <c r="K39" s="14">
        <f t="shared" si="10"/>
        <v>0.4432122398229279</v>
      </c>
      <c r="L39" s="14">
        <f t="shared" si="10"/>
        <v>0.44415944604581342</v>
      </c>
    </row>
    <row r="40" spans="1:12" x14ac:dyDescent="0.35">
      <c r="A40" t="str">
        <f t="shared" si="9"/>
        <v xml:space="preserve">    Mexico Share</v>
      </c>
      <c r="B40" s="1"/>
      <c r="C40" s="14">
        <f t="shared" si="10"/>
        <v>0</v>
      </c>
      <c r="D40" s="14">
        <f t="shared" si="10"/>
        <v>0</v>
      </c>
      <c r="E40" s="14">
        <f t="shared" si="10"/>
        <v>0</v>
      </c>
      <c r="F40" s="14">
        <f t="shared" si="10"/>
        <v>0</v>
      </c>
      <c r="G40" s="14">
        <f t="shared" si="10"/>
        <v>0</v>
      </c>
      <c r="H40" s="14">
        <f t="shared" si="10"/>
        <v>0</v>
      </c>
      <c r="I40" s="14">
        <f t="shared" si="10"/>
        <v>0</v>
      </c>
      <c r="J40" s="14">
        <f t="shared" si="10"/>
        <v>0</v>
      </c>
      <c r="K40" s="14">
        <f t="shared" si="10"/>
        <v>0</v>
      </c>
      <c r="L40" s="14">
        <f t="shared" si="10"/>
        <v>0</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f t="shared" si="10"/>
        <v>0</v>
      </c>
      <c r="I41" s="14">
        <f t="shared" si="10"/>
        <v>0</v>
      </c>
      <c r="J41" s="14">
        <f t="shared" si="10"/>
        <v>0</v>
      </c>
      <c r="K41" s="14">
        <f t="shared" si="10"/>
        <v>0</v>
      </c>
      <c r="L41" s="14">
        <f t="shared" si="10"/>
        <v>0</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f t="shared" si="11"/>
        <v>1.466</v>
      </c>
      <c r="I44" s="50">
        <f t="shared" si="11"/>
        <v>1.466</v>
      </c>
      <c r="J44" s="50">
        <f t="shared" si="11"/>
        <v>1.466</v>
      </c>
      <c r="K44" s="50">
        <f t="shared" si="11"/>
        <v>1.466</v>
      </c>
      <c r="L44" s="50">
        <f t="shared" si="11"/>
        <v>1.466</v>
      </c>
    </row>
    <row r="45" spans="1:12" x14ac:dyDescent="0.35">
      <c r="A45" s="1" t="s">
        <v>162</v>
      </c>
      <c r="B45" s="1"/>
      <c r="C45"/>
    </row>
    <row r="46" spans="1:12" x14ac:dyDescent="0.35">
      <c r="A46" t="str">
        <f>IF(A6="","","    To "&amp;A6)</f>
        <v xml:space="preserve">    To Upper Basin</v>
      </c>
      <c r="B46" s="24" t="s">
        <v>164</v>
      </c>
      <c r="C46" s="14">
        <f>IF(OR(C$25="",$A4=""),"",MAX(0,C$25-SUM(C47:C48)))</f>
        <v>4.1650000000000009</v>
      </c>
      <c r="D46" s="14">
        <f t="shared" ref="D46:L46" si="12">IF(OR(D$25="",$A4=""),"",MAX(0,D$25-SUM(D47:D48)))</f>
        <v>4.1650000000000009</v>
      </c>
      <c r="E46" s="14">
        <f t="shared" si="12"/>
        <v>4.1650000000000009</v>
      </c>
      <c r="F46" s="14">
        <f t="shared" si="12"/>
        <v>4.1650000000000009</v>
      </c>
      <c r="G46" s="14">
        <f t="shared" si="12"/>
        <v>4.1650000000000009</v>
      </c>
      <c r="H46" s="14">
        <f t="shared" si="12"/>
        <v>4.1650000000000009</v>
      </c>
      <c r="I46" s="14">
        <f t="shared" si="12"/>
        <v>6.1650000000000009</v>
      </c>
      <c r="J46" s="14">
        <f t="shared" si="12"/>
        <v>6.1650000000000009</v>
      </c>
      <c r="K46" s="14">
        <f t="shared" si="12"/>
        <v>6.1650000000000009</v>
      </c>
      <c r="L46" s="14">
        <f t="shared" si="12"/>
        <v>6.1650000000000009</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f t="shared" si="14"/>
        <v>7.5</v>
      </c>
      <c r="I47" s="14">
        <f t="shared" si="14"/>
        <v>7.5</v>
      </c>
      <c r="J47" s="14">
        <f t="shared" si="14"/>
        <v>7.5</v>
      </c>
      <c r="K47" s="14">
        <f t="shared" si="14"/>
        <v>7.5</v>
      </c>
      <c r="L47" s="14">
        <f t="shared" si="14"/>
        <v>7.5</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f t="shared" si="15"/>
        <v>0.73499999999999999</v>
      </c>
      <c r="I48" s="14">
        <f t="shared" si="15"/>
        <v>0.73499999999999999</v>
      </c>
      <c r="J48" s="14">
        <f t="shared" si="15"/>
        <v>0.73499999999999999</v>
      </c>
      <c r="K48" s="14">
        <f t="shared" si="15"/>
        <v>0.73499999999999999</v>
      </c>
      <c r="L48" s="14">
        <f t="shared" si="15"/>
        <v>0.73499999999999999</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f t="shared" si="16"/>
        <v>0</v>
      </c>
      <c r="I49" s="14">
        <f t="shared" si="16"/>
        <v>0</v>
      </c>
      <c r="J49" s="14">
        <f t="shared" si="16"/>
        <v>0</v>
      </c>
      <c r="K49" s="14">
        <f t="shared" si="16"/>
        <v>0</v>
      </c>
      <c r="L49" s="14">
        <f t="shared" si="16"/>
        <v>0</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f t="shared" si="17"/>
        <v>0</v>
      </c>
      <c r="I53" s="14">
        <f t="shared" si="17"/>
        <v>0</v>
      </c>
      <c r="J53" s="14">
        <f t="shared" si="17"/>
        <v>0</v>
      </c>
      <c r="K53" s="14">
        <f t="shared" si="17"/>
        <v>0</v>
      </c>
      <c r="L53" s="14">
        <f t="shared" si="17"/>
        <v>0</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f t="shared" si="19"/>
        <v>-0.53299999999999992</v>
      </c>
      <c r="I54" s="14">
        <f t="shared" si="19"/>
        <v>-0.53299999999999992</v>
      </c>
      <c r="J54" s="14">
        <f t="shared" si="19"/>
        <v>-0.53299999999999992</v>
      </c>
      <c r="K54" s="14">
        <f t="shared" si="19"/>
        <v>-0.53299999999999992</v>
      </c>
      <c r="L54" s="14">
        <f t="shared" si="19"/>
        <v>-0.53299999999999992</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f t="shared" si="20"/>
        <v>0.73299999999999998</v>
      </c>
      <c r="I55" s="14">
        <f t="shared" si="20"/>
        <v>0.73299999999999998</v>
      </c>
      <c r="J55" s="14">
        <f t="shared" si="20"/>
        <v>0.73299999999999998</v>
      </c>
      <c r="K55" s="14">
        <f t="shared" si="20"/>
        <v>0.73299999999999998</v>
      </c>
      <c r="L55" s="14">
        <f t="shared" si="20"/>
        <v>0.73299999999999998</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f t="shared" si="21"/>
        <v>0.6</v>
      </c>
      <c r="I56" s="14">
        <f t="shared" si="21"/>
        <v>0.6</v>
      </c>
      <c r="J56" s="14">
        <f t="shared" si="21"/>
        <v>0.6</v>
      </c>
      <c r="K56" s="14">
        <f t="shared" si="21"/>
        <v>0.6</v>
      </c>
      <c r="L56" s="14">
        <f t="shared" si="21"/>
        <v>0.6</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43">
        <v>0.5</v>
      </c>
      <c r="J60" s="43">
        <f>I60</f>
        <v>0.5</v>
      </c>
      <c r="K60" s="43">
        <f t="shared" ref="K60:L60" si="23">J60</f>
        <v>0.5</v>
      </c>
      <c r="L60" s="43">
        <f t="shared" si="23"/>
        <v>0.5</v>
      </c>
      <c r="M60" s="33">
        <f>SUMPRODUCT(C60:L60,C$67:L$67)</f>
        <v>700</v>
      </c>
    </row>
    <row r="61" spans="1:13" x14ac:dyDescent="0.35">
      <c r="A61" t="str">
        <f t="shared" ref="A61:A65" si="24">IF(A7="","","    "&amp;A7)</f>
        <v xml:space="preserve">    Lower Basin</v>
      </c>
      <c r="B61" s="1"/>
      <c r="C61" s="62"/>
      <c r="D61" s="62"/>
      <c r="E61" s="67"/>
      <c r="F61" s="62"/>
      <c r="G61" s="62"/>
      <c r="H61" s="62"/>
      <c r="I61" s="70">
        <f>-I60</f>
        <v>-0.5</v>
      </c>
      <c r="J61" s="70">
        <f t="shared" ref="J61:L61" si="25">-J60</f>
        <v>-0.5</v>
      </c>
      <c r="K61" s="70">
        <f t="shared" si="25"/>
        <v>-0.5</v>
      </c>
      <c r="L61" s="70">
        <f t="shared" si="25"/>
        <v>-0.5</v>
      </c>
      <c r="M61" s="33">
        <f t="shared" ref="M61:M65" si="26">SUMPRODUCT(C61:L61,C$67:L$67)</f>
        <v>-700</v>
      </c>
    </row>
    <row r="62" spans="1:13" x14ac:dyDescent="0.35">
      <c r="A62" t="str">
        <f t="shared" si="24"/>
        <v xml:space="preserve">    Mexico</v>
      </c>
      <c r="B62" s="1"/>
      <c r="C62" s="50"/>
      <c r="D62" s="50"/>
      <c r="E62" s="68"/>
      <c r="F62" s="50"/>
      <c r="G62" s="50"/>
      <c r="H62" s="68"/>
      <c r="I62" s="43"/>
      <c r="J62" s="43"/>
      <c r="K62" s="43"/>
      <c r="L62" s="43"/>
      <c r="M62" s="33">
        <f t="shared" si="26"/>
        <v>0</v>
      </c>
    </row>
    <row r="63" spans="1:13" x14ac:dyDescent="0.35">
      <c r="A63" t="str">
        <f t="shared" si="24"/>
        <v xml:space="preserve">    Mohave &amp; Havasu Evap &amp; ET</v>
      </c>
      <c r="B63" s="1"/>
      <c r="C63" s="50"/>
      <c r="D63" s="50"/>
      <c r="E63" s="68"/>
      <c r="F63" s="50"/>
      <c r="G63" s="50"/>
      <c r="H63" s="68"/>
      <c r="I63" s="43"/>
      <c r="J63" s="43"/>
      <c r="K63" s="43"/>
      <c r="L63" s="43"/>
      <c r="M63" s="33">
        <f t="shared" si="26"/>
        <v>0</v>
      </c>
    </row>
    <row r="64" spans="1:13" x14ac:dyDescent="0.35">
      <c r="A64" t="str">
        <f t="shared" si="24"/>
        <v/>
      </c>
      <c r="B64" s="1"/>
      <c r="C64" s="50"/>
      <c r="D64" s="50"/>
      <c r="E64" s="68"/>
      <c r="F64" s="50"/>
      <c r="G64" s="50"/>
      <c r="H64" s="68"/>
      <c r="I64" s="43"/>
      <c r="J64" s="43"/>
      <c r="K64" s="43"/>
      <c r="L64" s="43"/>
      <c r="M64" s="33">
        <f t="shared" si="26"/>
        <v>0</v>
      </c>
    </row>
    <row r="65" spans="1:21" x14ac:dyDescent="0.35">
      <c r="A65" t="str">
        <f t="shared" si="24"/>
        <v/>
      </c>
      <c r="B65" s="1"/>
      <c r="C65" s="50"/>
      <c r="D65" s="50"/>
      <c r="E65" s="50"/>
      <c r="F65" s="50"/>
      <c r="G65" s="50"/>
      <c r="H65" s="50"/>
      <c r="I65" s="43"/>
      <c r="J65" s="43"/>
      <c r="K65" s="43"/>
      <c r="L65" s="43"/>
      <c r="M65" s="33">
        <f t="shared" si="26"/>
        <v>0</v>
      </c>
    </row>
    <row r="66" spans="1:21" x14ac:dyDescent="0.35">
      <c r="A66" t="s">
        <v>159</v>
      </c>
      <c r="B66" s="1"/>
      <c r="C66" s="53">
        <f>IF(C$25&lt;&gt;"",SUM(C60:C65),"")</f>
        <v>0</v>
      </c>
      <c r="D66" s="53">
        <f t="shared" ref="D66:L66" si="27">IF(D$25&lt;&gt;"",SUM(D60:D65),"")</f>
        <v>0</v>
      </c>
      <c r="E66" s="53">
        <f t="shared" si="27"/>
        <v>0</v>
      </c>
      <c r="F66" s="53">
        <f t="shared" si="27"/>
        <v>0</v>
      </c>
      <c r="G66" s="53">
        <f t="shared" si="27"/>
        <v>0</v>
      </c>
      <c r="H66" s="53">
        <f t="shared" si="27"/>
        <v>0</v>
      </c>
      <c r="I66" s="53">
        <f t="shared" si="27"/>
        <v>0</v>
      </c>
      <c r="J66" s="53">
        <f t="shared" si="27"/>
        <v>0</v>
      </c>
      <c r="K66" s="53">
        <f t="shared" si="27"/>
        <v>0</v>
      </c>
      <c r="L66" s="53">
        <f t="shared" si="27"/>
        <v>0</v>
      </c>
      <c r="M66" s="34"/>
    </row>
    <row r="67" spans="1:21" x14ac:dyDescent="0.35">
      <c r="A67" t="s">
        <v>160</v>
      </c>
      <c r="B67" s="1"/>
      <c r="C67" s="31"/>
      <c r="D67" s="31"/>
      <c r="E67" s="31"/>
      <c r="F67" s="31"/>
      <c r="G67" s="31"/>
      <c r="H67" s="31"/>
      <c r="I67" s="31">
        <v>350</v>
      </c>
      <c r="J67" s="31">
        <v>350</v>
      </c>
      <c r="K67" s="31">
        <v>350</v>
      </c>
      <c r="L67" s="31">
        <v>350</v>
      </c>
    </row>
    <row r="68" spans="1:21" x14ac:dyDescent="0.35">
      <c r="A68" s="1" t="s">
        <v>186</v>
      </c>
      <c r="B68" s="1"/>
      <c r="C68"/>
    </row>
    <row r="69" spans="1:21" x14ac:dyDescent="0.35">
      <c r="A69" t="str">
        <f>IF(A6="","","    "&amp;A6)</f>
        <v xml:space="preserve">    Upper Basin</v>
      </c>
      <c r="C69" s="14">
        <f>IF(OR(C$25="",$A69=""),"",C28+C46+C53-C38-C60)</f>
        <v>14.632257133649304</v>
      </c>
      <c r="D69" s="14">
        <f t="shared" ref="D69:L69" si="28">IF(OR(D$25="",$A69=""),"",D28+D46+D53-D38-D60)</f>
        <v>14.082874272508667</v>
      </c>
      <c r="E69" s="14">
        <f t="shared" si="28"/>
        <v>13.550587618564743</v>
      </c>
      <c r="F69" s="14">
        <f t="shared" si="28"/>
        <v>13.036950776845103</v>
      </c>
      <c r="G69" s="14">
        <f t="shared" si="28"/>
        <v>12.541654016622303</v>
      </c>
      <c r="H69" s="14">
        <f t="shared" si="28"/>
        <v>12.064595445953662</v>
      </c>
      <c r="I69" s="14">
        <f t="shared" si="28"/>
        <v>13.105150942800178</v>
      </c>
      <c r="J69" s="14">
        <f t="shared" si="28"/>
        <v>14.103958920690417</v>
      </c>
      <c r="K69" s="14">
        <f t="shared" si="28"/>
        <v>15.064777562512775</v>
      </c>
      <c r="L69" s="14">
        <f t="shared" si="28"/>
        <v>15.990418618058591</v>
      </c>
    </row>
    <row r="70" spans="1:21" x14ac:dyDescent="0.35">
      <c r="A70" t="str">
        <f t="shared" ref="A70:A74" si="29">IF(A7="","","    "&amp;A7)</f>
        <v xml:space="preserve">    Lower Basin</v>
      </c>
      <c r="C70" s="14">
        <f t="shared" ref="C70:L74" si="30">IF(OR(C$25="",$A70=""),"",C29+C47+C54-C39-C61)</f>
        <v>16.575845186350726</v>
      </c>
      <c r="D70" s="14">
        <f t="shared" si="30"/>
        <v>16.19513156749079</v>
      </c>
      <c r="E70" s="14">
        <f t="shared" si="30"/>
        <v>15.825758467435284</v>
      </c>
      <c r="F70" s="14">
        <f t="shared" si="30"/>
        <v>15.546878750154894</v>
      </c>
      <c r="G70" s="14">
        <f t="shared" si="30"/>
        <v>15.274388146376525</v>
      </c>
      <c r="H70" s="14">
        <f t="shared" si="30"/>
        <v>15.008394548044595</v>
      </c>
      <c r="I70" s="14">
        <f t="shared" si="30"/>
        <v>15.248478071198679</v>
      </c>
      <c r="J70" s="14">
        <f t="shared" si="30"/>
        <v>15.489303287807866</v>
      </c>
      <c r="K70" s="14">
        <f t="shared" si="30"/>
        <v>15.730091047984939</v>
      </c>
      <c r="L70" s="14">
        <f t="shared" si="30"/>
        <v>15.969931601939125</v>
      </c>
    </row>
    <row r="71" spans="1:21" x14ac:dyDescent="0.35">
      <c r="A71" t="str">
        <f t="shared" si="29"/>
        <v xml:space="preserve">    Mexico</v>
      </c>
      <c r="C71" s="60">
        <f t="shared" si="30"/>
        <v>1.47</v>
      </c>
      <c r="D71" s="14">
        <f t="shared" si="30"/>
        <v>1.47</v>
      </c>
      <c r="E71" s="14">
        <f t="shared" si="30"/>
        <v>1.468</v>
      </c>
      <c r="F71" s="14">
        <f t="shared" si="30"/>
        <v>1.468</v>
      </c>
      <c r="G71" s="14">
        <f t="shared" si="30"/>
        <v>1.468</v>
      </c>
      <c r="H71" s="14">
        <f t="shared" si="30"/>
        <v>1.468</v>
      </c>
      <c r="I71" s="14">
        <f t="shared" si="30"/>
        <v>1.468</v>
      </c>
      <c r="J71" s="14">
        <f t="shared" si="30"/>
        <v>1.468</v>
      </c>
      <c r="K71" s="14">
        <f t="shared" si="30"/>
        <v>1.468</v>
      </c>
      <c r="L71" s="14">
        <f t="shared" si="30"/>
        <v>1.468</v>
      </c>
    </row>
    <row r="72" spans="1:21" x14ac:dyDescent="0.35">
      <c r="A72" t="str">
        <f t="shared" si="29"/>
        <v xml:space="preserve">    Mohave &amp; Havasu Evap &amp; ET</v>
      </c>
      <c r="C72" s="14">
        <f t="shared" si="30"/>
        <v>0.6</v>
      </c>
      <c r="D72" s="14">
        <f t="shared" si="30"/>
        <v>0.6</v>
      </c>
      <c r="E72" s="14">
        <f t="shared" si="30"/>
        <v>0.6</v>
      </c>
      <c r="F72" s="14">
        <f t="shared" si="30"/>
        <v>0.6</v>
      </c>
      <c r="G72" s="14">
        <f t="shared" si="30"/>
        <v>0.6</v>
      </c>
      <c r="H72" s="14">
        <f t="shared" si="30"/>
        <v>0.6</v>
      </c>
      <c r="I72" s="14">
        <f t="shared" si="30"/>
        <v>0.6</v>
      </c>
      <c r="J72" s="14">
        <f t="shared" si="30"/>
        <v>0.6</v>
      </c>
      <c r="K72" s="14">
        <f t="shared" si="30"/>
        <v>0.6</v>
      </c>
      <c r="L72" s="14">
        <f t="shared" si="30"/>
        <v>0.6</v>
      </c>
    </row>
    <row r="73" spans="1:21" x14ac:dyDescent="0.35">
      <c r="A73" t="str">
        <f t="shared" si="29"/>
        <v/>
      </c>
      <c r="C73" s="60" t="str">
        <f t="shared" si="30"/>
        <v/>
      </c>
      <c r="D73" s="60" t="str">
        <f t="shared" si="30"/>
        <v/>
      </c>
      <c r="E73" s="60" t="str">
        <f t="shared" si="30"/>
        <v/>
      </c>
      <c r="F73" s="60" t="str">
        <f t="shared" si="30"/>
        <v/>
      </c>
      <c r="G73" s="60" t="str">
        <f t="shared" si="30"/>
        <v/>
      </c>
      <c r="H73" s="60" t="str">
        <f t="shared" si="30"/>
        <v/>
      </c>
      <c r="I73" s="60" t="str">
        <f t="shared" si="30"/>
        <v/>
      </c>
      <c r="J73" s="60" t="str">
        <f t="shared" si="30"/>
        <v/>
      </c>
      <c r="K73" s="60" t="str">
        <f t="shared" si="30"/>
        <v/>
      </c>
      <c r="L73" s="60" t="str">
        <f t="shared" si="30"/>
        <v/>
      </c>
    </row>
    <row r="74" spans="1:21" x14ac:dyDescent="0.35">
      <c r="A74" t="str">
        <f t="shared" si="29"/>
        <v/>
      </c>
      <c r="C74" s="14" t="str">
        <f t="shared" si="30"/>
        <v/>
      </c>
      <c r="D74" s="14" t="str">
        <f t="shared" si="30"/>
        <v/>
      </c>
      <c r="E74" s="14" t="str">
        <f t="shared" si="30"/>
        <v/>
      </c>
      <c r="F74" s="14" t="str">
        <f t="shared" si="30"/>
        <v/>
      </c>
      <c r="G74" s="14" t="str">
        <f t="shared" si="30"/>
        <v/>
      </c>
      <c r="H74" s="14" t="str">
        <f t="shared" si="30"/>
        <v/>
      </c>
      <c r="I74" s="14" t="str">
        <f t="shared" si="30"/>
        <v/>
      </c>
      <c r="J74" s="14" t="str">
        <f t="shared" si="30"/>
        <v/>
      </c>
      <c r="K74" s="14" t="str">
        <f t="shared" si="30"/>
        <v/>
      </c>
      <c r="L74" s="14" t="str">
        <f t="shared" si="30"/>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L76" si="31">IF(D69&gt;6.1+4.2,4.2,MAX(D69-6.1,0))</f>
        <v>4.2</v>
      </c>
      <c r="E76" s="43">
        <f t="shared" si="31"/>
        <v>4.2</v>
      </c>
      <c r="F76" s="43">
        <f t="shared" si="31"/>
        <v>4.2</v>
      </c>
      <c r="G76" s="43">
        <f t="shared" si="31"/>
        <v>4.2</v>
      </c>
      <c r="H76" s="43">
        <f t="shared" si="31"/>
        <v>4.2</v>
      </c>
      <c r="I76" s="43">
        <f t="shared" si="31"/>
        <v>4.2</v>
      </c>
      <c r="J76" s="43">
        <f t="shared" si="31"/>
        <v>4.2</v>
      </c>
      <c r="K76" s="43">
        <f t="shared" si="31"/>
        <v>4.2</v>
      </c>
      <c r="L76" s="43">
        <f t="shared" si="31"/>
        <v>4.2</v>
      </c>
      <c r="N76" s="1" t="s">
        <v>129</v>
      </c>
    </row>
    <row r="77" spans="1:21" x14ac:dyDescent="0.35">
      <c r="A77" t="str">
        <f>IF(A7="","","    "&amp;A7&amp;" - Release from Mead")</f>
        <v xml:space="preserve">    Lower Basin - Release from Mead</v>
      </c>
      <c r="C77" s="43">
        <f>7.5-IF(C$29&lt;$O$78,$P$78,IF(C$29&lt;=$O$85,VLOOKUP(C$29,$O$78:$P$85,2),0))</f>
        <v>6.867</v>
      </c>
      <c r="D77" s="43">
        <f t="shared" ref="D77:L77" si="32">7.5-IF(D$29&lt;$O$78,$P$78,IF(D$29&lt;=$O$85,VLOOKUP(D$29,$O$78:$P$85,2),0))</f>
        <v>6.867</v>
      </c>
      <c r="E77" s="43">
        <f t="shared" si="32"/>
        <v>6.7830000000000004</v>
      </c>
      <c r="F77" s="43">
        <f t="shared" si="32"/>
        <v>6.7830000000000004</v>
      </c>
      <c r="G77" s="43">
        <f t="shared" si="32"/>
        <v>6.7830000000000004</v>
      </c>
      <c r="H77" s="43">
        <f t="shared" si="32"/>
        <v>6.7830000000000004</v>
      </c>
      <c r="I77" s="43">
        <f t="shared" si="32"/>
        <v>6.7830000000000004</v>
      </c>
      <c r="J77" s="43">
        <f t="shared" si="32"/>
        <v>6.7830000000000004</v>
      </c>
      <c r="K77" s="43">
        <f t="shared" si="32"/>
        <v>6.7830000000000004</v>
      </c>
      <c r="L77" s="43">
        <f t="shared" si="32"/>
        <v>6.7830000000000004</v>
      </c>
      <c r="N77" s="37" t="s">
        <v>130</v>
      </c>
      <c r="O77" s="37" t="s">
        <v>131</v>
      </c>
      <c r="P77" s="38" t="s">
        <v>132</v>
      </c>
      <c r="Q77" s="38" t="s">
        <v>133</v>
      </c>
      <c r="R77" s="37" t="s">
        <v>134</v>
      </c>
      <c r="S77" s="37" t="s">
        <v>134</v>
      </c>
      <c r="T77" s="51" t="s">
        <v>157</v>
      </c>
      <c r="U77" s="51" t="s">
        <v>158</v>
      </c>
    </row>
    <row r="78" spans="1:21" x14ac:dyDescent="0.35">
      <c r="A78" t="str">
        <f t="shared" ref="A78:A81" si="33">IF(A8="","","    "&amp;A8&amp;" - Release from Mead")</f>
        <v xml:space="preserve">    Mexico - Release from Mead</v>
      </c>
      <c r="C78" s="50">
        <f t="shared" ref="C78:L78" si="34">C71</f>
        <v>1.47</v>
      </c>
      <c r="D78" s="50">
        <f t="shared" si="34"/>
        <v>1.47</v>
      </c>
      <c r="E78" s="50">
        <f t="shared" si="34"/>
        <v>1.468</v>
      </c>
      <c r="F78" s="50">
        <f t="shared" si="34"/>
        <v>1.468</v>
      </c>
      <c r="G78" s="50">
        <f t="shared" si="34"/>
        <v>1.468</v>
      </c>
      <c r="H78" s="50">
        <f t="shared" si="34"/>
        <v>1.468</v>
      </c>
      <c r="I78" s="50">
        <f t="shared" si="34"/>
        <v>1.468</v>
      </c>
      <c r="J78" s="50">
        <f t="shared" si="34"/>
        <v>1.468</v>
      </c>
      <c r="K78" s="50">
        <f t="shared" si="34"/>
        <v>1.468</v>
      </c>
      <c r="L78" s="50">
        <f t="shared" si="34"/>
        <v>1.468</v>
      </c>
      <c r="N78" s="39">
        <v>1025</v>
      </c>
      <c r="O78" s="40">
        <v>5.981122</v>
      </c>
      <c r="P78" s="41">
        <f>S78-Q78</f>
        <v>1.2000000000000002</v>
      </c>
      <c r="Q78" s="49">
        <v>0.15</v>
      </c>
      <c r="R78" s="41">
        <v>1.325</v>
      </c>
      <c r="S78" s="41">
        <f t="shared" ref="S78:S85" si="35">U78/1000000</f>
        <v>1.35</v>
      </c>
      <c r="T78" s="42">
        <v>0.125</v>
      </c>
      <c r="U78" s="52">
        <v>1350000</v>
      </c>
    </row>
    <row r="79" spans="1:21" x14ac:dyDescent="0.35">
      <c r="A79" t="str">
        <f t="shared" si="33"/>
        <v xml:space="preserve">    Mohave &amp; Havasu Evap &amp; ET - Release from Mead</v>
      </c>
      <c r="C79" s="43">
        <v>0.6</v>
      </c>
      <c r="D79" s="43">
        <v>0.6</v>
      </c>
      <c r="E79" s="43">
        <v>0.6</v>
      </c>
      <c r="F79" s="43">
        <v>0.6</v>
      </c>
      <c r="G79" s="43">
        <v>0.6</v>
      </c>
      <c r="H79" s="43">
        <v>0.6</v>
      </c>
      <c r="I79" s="43">
        <v>0.6</v>
      </c>
      <c r="J79" s="43">
        <v>0.6</v>
      </c>
      <c r="K79" s="43">
        <v>0.6</v>
      </c>
      <c r="L79" s="43">
        <v>0.6</v>
      </c>
      <c r="N79" s="39">
        <v>1030</v>
      </c>
      <c r="O79" s="40">
        <v>6.305377</v>
      </c>
      <c r="P79" s="41">
        <f t="shared" ref="P79:P85" si="36">S79-Q79</f>
        <v>1.117</v>
      </c>
      <c r="Q79" s="49">
        <v>0.10100000000000001</v>
      </c>
      <c r="R79" s="41">
        <v>1.1870000000000001</v>
      </c>
      <c r="S79" s="41">
        <f t="shared" si="35"/>
        <v>1.218</v>
      </c>
      <c r="T79" s="42">
        <v>7.0000000000000007E-2</v>
      </c>
      <c r="U79" s="52">
        <v>1218000</v>
      </c>
    </row>
    <row r="80" spans="1:21" x14ac:dyDescent="0.35">
      <c r="A80" t="str">
        <f t="shared" si="33"/>
        <v/>
      </c>
      <c r="C80" s="68"/>
      <c r="D80" s="68"/>
      <c r="E80" s="50" t="str">
        <f>E73</f>
        <v/>
      </c>
      <c r="F80" s="50"/>
      <c r="G80" s="50"/>
      <c r="H80" s="50" t="str">
        <f>H73</f>
        <v/>
      </c>
      <c r="I80" s="50"/>
      <c r="J80" s="50"/>
      <c r="K80" s="50" t="str">
        <f>K73</f>
        <v/>
      </c>
      <c r="L80" s="50"/>
      <c r="N80" s="39">
        <v>1035</v>
      </c>
      <c r="O80" s="40">
        <v>6.6375080000000004</v>
      </c>
      <c r="P80" s="41">
        <f t="shared" si="36"/>
        <v>1.0669999999999999</v>
      </c>
      <c r="Q80" s="49">
        <v>9.1999999999999998E-2</v>
      </c>
      <c r="R80" s="41">
        <v>1.137</v>
      </c>
      <c r="S80" s="41">
        <f t="shared" si="35"/>
        <v>1.159</v>
      </c>
      <c r="T80" s="42">
        <v>7.0000000000000007E-2</v>
      </c>
      <c r="U80" s="52">
        <v>1159000</v>
      </c>
    </row>
    <row r="81" spans="1:21" x14ac:dyDescent="0.35">
      <c r="A81" t="str">
        <f t="shared" si="33"/>
        <v/>
      </c>
      <c r="C81" s="43"/>
      <c r="D81" s="43"/>
      <c r="E81" s="43"/>
      <c r="F81" s="43"/>
      <c r="G81" s="43"/>
      <c r="H81" s="43"/>
      <c r="I81" s="43"/>
      <c r="J81" s="43"/>
      <c r="K81" s="43"/>
      <c r="L81" s="43"/>
      <c r="N81" s="39">
        <v>1040</v>
      </c>
      <c r="O81" s="40">
        <v>6.977665</v>
      </c>
      <c r="P81" s="41">
        <f t="shared" si="36"/>
        <v>1.0169999999999999</v>
      </c>
      <c r="Q81" s="49">
        <v>8.4000000000000005E-2</v>
      </c>
      <c r="R81" s="41">
        <v>1.087</v>
      </c>
      <c r="S81" s="41">
        <f t="shared" si="35"/>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6"/>
        <v>0.96699999999999997</v>
      </c>
      <c r="Q82" s="49">
        <v>7.5999999999999998E-2</v>
      </c>
      <c r="R82" s="41">
        <v>1.0369999999999999</v>
      </c>
      <c r="S82" s="41">
        <f t="shared" si="35"/>
        <v>1.0429999999999999</v>
      </c>
      <c r="T82" s="42">
        <v>7.0000000000000007E-2</v>
      </c>
      <c r="U82" s="52">
        <v>1043000</v>
      </c>
    </row>
    <row r="83" spans="1:21" x14ac:dyDescent="0.35">
      <c r="A83" t="str">
        <f>IF(A6="","","    "&amp;A6)</f>
        <v xml:space="preserve">    Upper Basin</v>
      </c>
      <c r="C83" s="14">
        <f>IF(OR(C$25="",$A83=""),"",C69-C76)</f>
        <v>10.432257133649305</v>
      </c>
      <c r="D83" s="14">
        <f t="shared" ref="D83:L83" si="37">IF(OR(D$25="",$A83=""),"",D69-D76)</f>
        <v>9.8828742725086656</v>
      </c>
      <c r="E83" s="14">
        <f t="shared" si="37"/>
        <v>9.3505876185647416</v>
      </c>
      <c r="F83" s="14">
        <f t="shared" si="37"/>
        <v>8.8369507768451037</v>
      </c>
      <c r="G83" s="14">
        <f t="shared" si="37"/>
        <v>8.3416540166223037</v>
      </c>
      <c r="H83" s="14">
        <f t="shared" si="37"/>
        <v>7.864595445953662</v>
      </c>
      <c r="I83" s="14">
        <f t="shared" si="37"/>
        <v>8.9051509428001765</v>
      </c>
      <c r="J83" s="14">
        <f t="shared" si="37"/>
        <v>9.9039589206904175</v>
      </c>
      <c r="K83" s="14">
        <f t="shared" si="37"/>
        <v>10.864777562512774</v>
      </c>
      <c r="L83" s="14">
        <f t="shared" si="37"/>
        <v>11.790418618058592</v>
      </c>
      <c r="N83" s="39">
        <v>1050</v>
      </c>
      <c r="O83" s="40">
        <v>7.6828779999999997</v>
      </c>
      <c r="P83" s="41">
        <f t="shared" si="36"/>
        <v>0.71699999999999997</v>
      </c>
      <c r="Q83" s="49">
        <v>3.4000000000000002E-2</v>
      </c>
      <c r="R83" s="41">
        <v>0.78700000000000003</v>
      </c>
      <c r="S83" s="41">
        <f t="shared" si="35"/>
        <v>0.751</v>
      </c>
      <c r="T83" s="42">
        <v>7.0000000000000007E-2</v>
      </c>
      <c r="U83" s="52">
        <v>751000</v>
      </c>
    </row>
    <row r="84" spans="1:21" x14ac:dyDescent="0.35">
      <c r="A84" t="str">
        <f t="shared" ref="A84:A88" si="38">IF(A7="","","    "&amp;A7)</f>
        <v xml:space="preserve">    Lower Basin</v>
      </c>
      <c r="C84" s="14">
        <f t="shared" ref="C84:L88" si="39">IF(OR(C$25="",$A84=""),"",C70-C77)</f>
        <v>9.7088451863507252</v>
      </c>
      <c r="D84" s="14">
        <f t="shared" si="39"/>
        <v>9.3281315674907894</v>
      </c>
      <c r="E84" s="14">
        <f t="shared" si="39"/>
        <v>9.0427584674352843</v>
      </c>
      <c r="F84" s="14">
        <f t="shared" si="39"/>
        <v>8.7638787501548947</v>
      </c>
      <c r="G84" s="14">
        <f t="shared" si="39"/>
        <v>8.4913881463765257</v>
      </c>
      <c r="H84" s="14">
        <f t="shared" si="39"/>
        <v>8.2253945480445942</v>
      </c>
      <c r="I84" s="14">
        <f t="shared" si="39"/>
        <v>8.4654780711986781</v>
      </c>
      <c r="J84" s="14">
        <f t="shared" si="39"/>
        <v>8.7063032878078666</v>
      </c>
      <c r="K84" s="14">
        <f t="shared" si="39"/>
        <v>8.9470910479849373</v>
      </c>
      <c r="L84" s="14">
        <f t="shared" si="39"/>
        <v>9.1869316019391256</v>
      </c>
      <c r="N84" s="39">
        <v>1075</v>
      </c>
      <c r="O84" s="40">
        <v>9.6009879999900001</v>
      </c>
      <c r="P84" s="41">
        <f t="shared" si="36"/>
        <v>0.63300000000000001</v>
      </c>
      <c r="Q84" s="49">
        <v>0.03</v>
      </c>
      <c r="R84" s="41">
        <v>0.68300000000000005</v>
      </c>
      <c r="S84" s="41">
        <f t="shared" si="35"/>
        <v>0.66300000000000003</v>
      </c>
      <c r="T84" s="42">
        <v>0.05</v>
      </c>
      <c r="U84" s="52">
        <v>663000</v>
      </c>
    </row>
    <row r="85" spans="1:21" x14ac:dyDescent="0.35">
      <c r="A85" t="str">
        <f t="shared" si="38"/>
        <v xml:space="preserve">    Mexico</v>
      </c>
      <c r="C85" s="14">
        <f t="shared" si="39"/>
        <v>0</v>
      </c>
      <c r="D85" s="14">
        <f t="shared" si="39"/>
        <v>0</v>
      </c>
      <c r="E85" s="14">
        <f t="shared" si="39"/>
        <v>0</v>
      </c>
      <c r="F85" s="14">
        <f t="shared" si="39"/>
        <v>0</v>
      </c>
      <c r="G85" s="14">
        <f t="shared" si="39"/>
        <v>0</v>
      </c>
      <c r="H85" s="14">
        <f t="shared" si="39"/>
        <v>0</v>
      </c>
      <c r="I85" s="14">
        <f t="shared" si="39"/>
        <v>0</v>
      </c>
      <c r="J85" s="14">
        <f t="shared" si="39"/>
        <v>0</v>
      </c>
      <c r="K85" s="14">
        <f t="shared" si="39"/>
        <v>0</v>
      </c>
      <c r="L85" s="14">
        <f t="shared" si="39"/>
        <v>0</v>
      </c>
      <c r="N85" s="39">
        <v>1090</v>
      </c>
      <c r="O85" s="40">
        <v>10.857008</v>
      </c>
      <c r="P85" s="41">
        <f t="shared" si="36"/>
        <v>0.30000000000000004</v>
      </c>
      <c r="Q85" s="49">
        <v>4.1000000000000002E-2</v>
      </c>
      <c r="R85" s="41">
        <v>0.3</v>
      </c>
      <c r="S85" s="41">
        <f t="shared" si="35"/>
        <v>0.34100000000000003</v>
      </c>
      <c r="T85" s="38"/>
      <c r="U85" s="52">
        <v>341000</v>
      </c>
    </row>
    <row r="86" spans="1:21" x14ac:dyDescent="0.35">
      <c r="A86" t="str">
        <f t="shared" si="38"/>
        <v xml:space="preserve">    Mohave &amp; Havasu Evap &amp; ET</v>
      </c>
      <c r="C86" s="14">
        <f t="shared" si="39"/>
        <v>0</v>
      </c>
      <c r="D86" s="14">
        <f t="shared" si="39"/>
        <v>0</v>
      </c>
      <c r="E86" s="14">
        <f t="shared" si="39"/>
        <v>0</v>
      </c>
      <c r="F86" s="14">
        <f t="shared" si="39"/>
        <v>0</v>
      </c>
      <c r="G86" s="14">
        <f t="shared" si="39"/>
        <v>0</v>
      </c>
      <c r="H86" s="14">
        <f t="shared" si="39"/>
        <v>0</v>
      </c>
      <c r="I86" s="14">
        <f t="shared" si="39"/>
        <v>0</v>
      </c>
      <c r="J86" s="14">
        <f t="shared" si="39"/>
        <v>0</v>
      </c>
      <c r="K86" s="14">
        <f t="shared" si="39"/>
        <v>0</v>
      </c>
      <c r="L86" s="14">
        <f t="shared" si="39"/>
        <v>0</v>
      </c>
    </row>
    <row r="87" spans="1:21" x14ac:dyDescent="0.35">
      <c r="A87" t="str">
        <f t="shared" si="38"/>
        <v/>
      </c>
      <c r="C87" s="59" t="str">
        <f>IF(OR(C$25="",$A87=""),"",C73-C80)</f>
        <v/>
      </c>
      <c r="D87" s="59" t="str">
        <f t="shared" si="39"/>
        <v/>
      </c>
      <c r="E87" s="59" t="str">
        <f t="shared" si="39"/>
        <v/>
      </c>
      <c r="F87" s="59" t="str">
        <f t="shared" si="39"/>
        <v/>
      </c>
      <c r="G87" s="59" t="str">
        <f t="shared" si="39"/>
        <v/>
      </c>
      <c r="H87" s="59" t="str">
        <f t="shared" si="39"/>
        <v/>
      </c>
      <c r="I87" s="59" t="str">
        <f t="shared" si="39"/>
        <v/>
      </c>
      <c r="J87" s="59" t="str">
        <f t="shared" si="39"/>
        <v/>
      </c>
      <c r="K87" s="59" t="str">
        <f t="shared" si="39"/>
        <v/>
      </c>
      <c r="L87" s="59" t="str">
        <f t="shared" si="39"/>
        <v/>
      </c>
    </row>
    <row r="88" spans="1:21" x14ac:dyDescent="0.35">
      <c r="A88" t="str">
        <f t="shared" si="38"/>
        <v/>
      </c>
      <c r="C88" s="14" t="str">
        <f t="shared" si="39"/>
        <v/>
      </c>
      <c r="D88" s="14" t="str">
        <f t="shared" si="39"/>
        <v/>
      </c>
      <c r="E88" s="14" t="str">
        <f t="shared" si="39"/>
        <v/>
      </c>
      <c r="F88" s="14" t="str">
        <f t="shared" si="39"/>
        <v/>
      </c>
      <c r="G88" s="14" t="str">
        <f t="shared" si="39"/>
        <v/>
      </c>
      <c r="H88" s="14" t="str">
        <f t="shared" si="39"/>
        <v/>
      </c>
      <c r="I88" s="14" t="str">
        <f t="shared" si="39"/>
        <v/>
      </c>
      <c r="J88" s="14" t="str">
        <f t="shared" si="39"/>
        <v/>
      </c>
      <c r="K88" s="14" t="str">
        <f t="shared" si="39"/>
        <v/>
      </c>
      <c r="L88" s="14" t="str">
        <f t="shared" si="39"/>
        <v/>
      </c>
    </row>
    <row r="89" spans="1:21" x14ac:dyDescent="0.35">
      <c r="A89" s="1" t="s">
        <v>125</v>
      </c>
      <c r="B89" s="1"/>
      <c r="C89" s="14">
        <f>IF(C$25&lt;&gt;"",SUM(C83:C88),"")</f>
        <v>20.14110232000003</v>
      </c>
      <c r="D89" s="14">
        <f t="shared" ref="D89:L89" si="40">IF(D$25&lt;&gt;"",SUM(D83:D88),"")</f>
        <v>19.211005839999455</v>
      </c>
      <c r="E89" s="14">
        <f t="shared" si="40"/>
        <v>18.393346086000026</v>
      </c>
      <c r="F89" s="14">
        <f t="shared" si="40"/>
        <v>17.600829526999998</v>
      </c>
      <c r="G89" s="14">
        <f t="shared" si="40"/>
        <v>16.833042162998829</v>
      </c>
      <c r="H89" s="14">
        <f t="shared" si="40"/>
        <v>16.089989993998255</v>
      </c>
      <c r="I89" s="14">
        <f t="shared" si="40"/>
        <v>17.370629013998855</v>
      </c>
      <c r="J89" s="14">
        <f t="shared" si="40"/>
        <v>18.610262208498284</v>
      </c>
      <c r="K89" s="14">
        <f t="shared" si="40"/>
        <v>19.811868610497712</v>
      </c>
      <c r="L89" s="14">
        <f t="shared" si="40"/>
        <v>20.977350219997717</v>
      </c>
    </row>
    <row r="90" spans="1:21" x14ac:dyDescent="0.35">
      <c r="A90" s="1" t="s">
        <v>147</v>
      </c>
      <c r="B90" s="1"/>
      <c r="C90" s="14">
        <f>IF(C25&lt;&gt;"",C35+C25-C38-C76-C89*$B$35,"")</f>
        <v>8.5967059736492857</v>
      </c>
      <c r="D90" s="14">
        <f t="shared" ref="D90:L90" si="41">IF(D25&lt;&gt;"",D35+D25-D38-D76-D89*$B$35,"")</f>
        <v>8.1506653788596477</v>
      </c>
      <c r="E90" s="14">
        <f t="shared" si="41"/>
        <v>8.1115432230557918</v>
      </c>
      <c r="F90" s="14">
        <f t="shared" si="41"/>
        <v>8.117621437780377</v>
      </c>
      <c r="G90" s="14">
        <f t="shared" si="41"/>
        <v>8.1235969217777821</v>
      </c>
      <c r="H90" s="14">
        <f t="shared" si="41"/>
        <v>8.1294675138316475</v>
      </c>
      <c r="I90" s="14">
        <f t="shared" si="41"/>
        <v>9.135235986846217</v>
      </c>
      <c r="J90" s="14">
        <f t="shared" si="41"/>
        <v>9.1139913806405239</v>
      </c>
      <c r="K90" s="14">
        <f t="shared" si="41"/>
        <v>9.0950154408226389</v>
      </c>
      <c r="L90" s="14">
        <f t="shared" si="41"/>
        <v>9.0779002507958104</v>
      </c>
    </row>
    <row r="92" spans="1:21" x14ac:dyDescent="0.35">
      <c r="A92" s="1" t="s">
        <v>127</v>
      </c>
      <c r="C92" s="12">
        <f>IF(C$25&lt;&gt;"",0.2,"")</f>
        <v>0.2</v>
      </c>
      <c r="D92" s="12">
        <f t="shared" ref="D92:L92" si="42">IF(D$25&lt;&gt;"",0.2,"")</f>
        <v>0.2</v>
      </c>
      <c r="E92" s="12">
        <f t="shared" si="42"/>
        <v>0.2</v>
      </c>
      <c r="F92" s="12">
        <f t="shared" si="42"/>
        <v>0.2</v>
      </c>
      <c r="G92" s="12">
        <f t="shared" si="42"/>
        <v>0.2</v>
      </c>
      <c r="H92" s="12">
        <f t="shared" si="42"/>
        <v>0.2</v>
      </c>
      <c r="I92" s="12">
        <f t="shared" si="42"/>
        <v>0.2</v>
      </c>
      <c r="J92" s="12">
        <f t="shared" si="42"/>
        <v>0.2</v>
      </c>
      <c r="K92" s="12">
        <f t="shared" si="42"/>
        <v>0.2</v>
      </c>
      <c r="L92" s="12">
        <f t="shared" si="42"/>
        <v>0.2</v>
      </c>
    </row>
    <row r="93" spans="1:21" x14ac:dyDescent="0.35">
      <c r="A93" t="s">
        <v>128</v>
      </c>
      <c r="C93" s="14">
        <f t="shared" ref="C93:L93" si="43">IF(C$25&lt;&gt;"",C77+C92,"")</f>
        <v>7.0670000000000002</v>
      </c>
      <c r="D93" s="14">
        <f t="shared" si="43"/>
        <v>7.0670000000000002</v>
      </c>
      <c r="E93" s="14">
        <f t="shared" si="43"/>
        <v>6.9830000000000005</v>
      </c>
      <c r="F93" s="14">
        <f t="shared" si="43"/>
        <v>6.9830000000000005</v>
      </c>
      <c r="G93" s="14">
        <f t="shared" si="43"/>
        <v>6.9830000000000005</v>
      </c>
      <c r="H93" s="14">
        <f t="shared" si="43"/>
        <v>6.9830000000000005</v>
      </c>
      <c r="I93" s="14">
        <f t="shared" si="43"/>
        <v>6.9830000000000005</v>
      </c>
      <c r="J93" s="14">
        <f t="shared" si="43"/>
        <v>6.9830000000000005</v>
      </c>
      <c r="K93" s="14">
        <f t="shared" si="43"/>
        <v>6.9830000000000005</v>
      </c>
      <c r="L93" s="14">
        <f t="shared" si="43"/>
        <v>6.9830000000000005</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202" priority="60" operator="greaterThan">
      <formula>$C$69</formula>
    </cfRule>
  </conditionalFormatting>
  <conditionalFormatting sqref="C77">
    <cfRule type="cellIs" dxfId="201" priority="59" operator="greaterThan">
      <formula>$C$70</formula>
    </cfRule>
  </conditionalFormatting>
  <conditionalFormatting sqref="C78">
    <cfRule type="cellIs" dxfId="200" priority="58" operator="greaterThan">
      <formula>$C$71</formula>
    </cfRule>
  </conditionalFormatting>
  <conditionalFormatting sqref="C79">
    <cfRule type="cellIs" dxfId="199" priority="57" operator="greaterThan">
      <formula>$C$72</formula>
    </cfRule>
  </conditionalFormatting>
  <conditionalFormatting sqref="C80">
    <cfRule type="cellIs" dxfId="198" priority="56" operator="greaterThan">
      <formula>$C$73</formula>
    </cfRule>
  </conditionalFormatting>
  <conditionalFormatting sqref="C81">
    <cfRule type="cellIs" dxfId="197" priority="55" operator="greaterThan">
      <formula>$C$74</formula>
    </cfRule>
  </conditionalFormatting>
  <conditionalFormatting sqref="D76">
    <cfRule type="cellIs" dxfId="196" priority="54" operator="greaterThan">
      <formula>$D$69</formula>
    </cfRule>
  </conditionalFormatting>
  <conditionalFormatting sqref="D77">
    <cfRule type="cellIs" dxfId="195" priority="53" operator="greaterThan">
      <formula>$D$70</formula>
    </cfRule>
  </conditionalFormatting>
  <conditionalFormatting sqref="D78">
    <cfRule type="cellIs" dxfId="194" priority="52" operator="greaterThan">
      <formula>$D$71</formula>
    </cfRule>
  </conditionalFormatting>
  <conditionalFormatting sqref="D79">
    <cfRule type="cellIs" dxfId="193" priority="51" operator="greaterThan">
      <formula>$D$72</formula>
    </cfRule>
  </conditionalFormatting>
  <conditionalFormatting sqref="D80">
    <cfRule type="cellIs" dxfId="192" priority="50" operator="greaterThan">
      <formula>$D$73</formula>
    </cfRule>
  </conditionalFormatting>
  <conditionalFormatting sqref="D81">
    <cfRule type="cellIs" dxfId="191" priority="49" operator="greaterThan">
      <formula>$D$74</formula>
    </cfRule>
  </conditionalFormatting>
  <conditionalFormatting sqref="E76">
    <cfRule type="cellIs" dxfId="190" priority="48" operator="greaterThan">
      <formula>$E$69</formula>
    </cfRule>
  </conditionalFormatting>
  <conditionalFormatting sqref="E77">
    <cfRule type="cellIs" dxfId="189" priority="47" operator="greaterThan">
      <formula>$E$70</formula>
    </cfRule>
  </conditionalFormatting>
  <conditionalFormatting sqref="E78">
    <cfRule type="cellIs" dxfId="188" priority="46" operator="greaterThan">
      <formula>$E$71</formula>
    </cfRule>
  </conditionalFormatting>
  <conditionalFormatting sqref="E79">
    <cfRule type="cellIs" dxfId="187" priority="45" operator="greaterThan">
      <formula>$E$72</formula>
    </cfRule>
  </conditionalFormatting>
  <conditionalFormatting sqref="E80">
    <cfRule type="cellIs" dxfId="186" priority="44" operator="greaterThan">
      <formula>$E$73</formula>
    </cfRule>
  </conditionalFormatting>
  <conditionalFormatting sqref="E81">
    <cfRule type="cellIs" dxfId="185" priority="43" operator="greaterThan">
      <formula>$E$74</formula>
    </cfRule>
  </conditionalFormatting>
  <conditionalFormatting sqref="F76">
    <cfRule type="cellIs" dxfId="184" priority="42" operator="greaterThan">
      <formula>$F$69</formula>
    </cfRule>
  </conditionalFormatting>
  <conditionalFormatting sqref="F77">
    <cfRule type="cellIs" dxfId="183" priority="41" operator="greaterThan">
      <formula>$F$70</formula>
    </cfRule>
  </conditionalFormatting>
  <conditionalFormatting sqref="F78">
    <cfRule type="cellIs" dxfId="182" priority="40" operator="greaterThan">
      <formula>$F$71</formula>
    </cfRule>
  </conditionalFormatting>
  <conditionalFormatting sqref="F79">
    <cfRule type="cellIs" dxfId="181" priority="39" operator="greaterThan">
      <formula>$F$72</formula>
    </cfRule>
  </conditionalFormatting>
  <conditionalFormatting sqref="F80">
    <cfRule type="cellIs" dxfId="180" priority="38" operator="greaterThan">
      <formula>$F$73</formula>
    </cfRule>
  </conditionalFormatting>
  <conditionalFormatting sqref="F81">
    <cfRule type="cellIs" dxfId="179" priority="37" operator="greaterThan">
      <formula>$F$74</formula>
    </cfRule>
  </conditionalFormatting>
  <conditionalFormatting sqref="G76">
    <cfRule type="cellIs" dxfId="178" priority="36" operator="greaterThan">
      <formula>$G$69</formula>
    </cfRule>
  </conditionalFormatting>
  <conditionalFormatting sqref="G77">
    <cfRule type="cellIs" dxfId="177" priority="35" operator="greaterThan">
      <formula>$G$70</formula>
    </cfRule>
  </conditionalFormatting>
  <conditionalFormatting sqref="G78">
    <cfRule type="cellIs" dxfId="176" priority="34" operator="greaterThan">
      <formula>$G$71</formula>
    </cfRule>
  </conditionalFormatting>
  <conditionalFormatting sqref="G79">
    <cfRule type="cellIs" dxfId="175" priority="33" operator="greaterThan">
      <formula>$G$72</formula>
    </cfRule>
  </conditionalFormatting>
  <conditionalFormatting sqref="G80">
    <cfRule type="cellIs" dxfId="174" priority="32" operator="greaterThan">
      <formula>$G$73</formula>
    </cfRule>
  </conditionalFormatting>
  <conditionalFormatting sqref="G81">
    <cfRule type="cellIs" dxfId="173" priority="31" operator="greaterThan">
      <formula>$G$74</formula>
    </cfRule>
  </conditionalFormatting>
  <conditionalFormatting sqref="H76">
    <cfRule type="cellIs" dxfId="172" priority="30" operator="greaterThan">
      <formula>$H$69</formula>
    </cfRule>
  </conditionalFormatting>
  <conditionalFormatting sqref="H77">
    <cfRule type="cellIs" dxfId="171" priority="29" operator="greaterThan">
      <formula>$H$70</formula>
    </cfRule>
  </conditionalFormatting>
  <conditionalFormatting sqref="H78">
    <cfRule type="cellIs" dxfId="170" priority="28" operator="greaterThan">
      <formula>$H$71</formula>
    </cfRule>
  </conditionalFormatting>
  <conditionalFormatting sqref="H79">
    <cfRule type="cellIs" dxfId="169" priority="27" operator="greaterThan">
      <formula>$H$72</formula>
    </cfRule>
  </conditionalFormatting>
  <conditionalFormatting sqref="H80">
    <cfRule type="cellIs" dxfId="168" priority="26" operator="greaterThan">
      <formula>$H$73</formula>
    </cfRule>
  </conditionalFormatting>
  <conditionalFormatting sqref="H81">
    <cfRule type="cellIs" dxfId="167" priority="25" operator="greaterThan">
      <formula>$H$74</formula>
    </cfRule>
  </conditionalFormatting>
  <conditionalFormatting sqref="I76">
    <cfRule type="cellIs" dxfId="166" priority="24" operator="greaterThan">
      <formula>$I$69</formula>
    </cfRule>
  </conditionalFormatting>
  <conditionalFormatting sqref="I77">
    <cfRule type="cellIs" dxfId="165" priority="23" operator="greaterThan">
      <formula>$I$70</formula>
    </cfRule>
  </conditionalFormatting>
  <conditionalFormatting sqref="I78">
    <cfRule type="cellIs" dxfId="164" priority="22" operator="greaterThan">
      <formula>$I$71</formula>
    </cfRule>
  </conditionalFormatting>
  <conditionalFormatting sqref="I79">
    <cfRule type="cellIs" dxfId="163" priority="21" operator="greaterThan">
      <formula>$I$72</formula>
    </cfRule>
  </conditionalFormatting>
  <conditionalFormatting sqref="I80">
    <cfRule type="cellIs" dxfId="162" priority="20" operator="greaterThan">
      <formula>$I$73</formula>
    </cfRule>
  </conditionalFormatting>
  <conditionalFormatting sqref="I81">
    <cfRule type="cellIs" dxfId="161" priority="19" operator="greaterThan">
      <formula>$I$74</formula>
    </cfRule>
  </conditionalFormatting>
  <conditionalFormatting sqref="J76">
    <cfRule type="cellIs" dxfId="160" priority="18" operator="greaterThan">
      <formula>$J$69</formula>
    </cfRule>
  </conditionalFormatting>
  <conditionalFormatting sqref="J77">
    <cfRule type="cellIs" dxfId="159" priority="17" operator="greaterThan">
      <formula>$J$70</formula>
    </cfRule>
  </conditionalFormatting>
  <conditionalFormatting sqref="J78">
    <cfRule type="cellIs" dxfId="158" priority="16" operator="greaterThan">
      <formula>$J$71</formula>
    </cfRule>
  </conditionalFormatting>
  <conditionalFormatting sqref="J79">
    <cfRule type="cellIs" dxfId="157" priority="15" operator="greaterThan">
      <formula>$J$72</formula>
    </cfRule>
  </conditionalFormatting>
  <conditionalFormatting sqref="J80">
    <cfRule type="cellIs" dxfId="156" priority="14" operator="greaterThan">
      <formula>$J$73</formula>
    </cfRule>
  </conditionalFormatting>
  <conditionalFormatting sqref="J81">
    <cfRule type="cellIs" dxfId="155" priority="13" operator="greaterThan">
      <formula>$J$74</formula>
    </cfRule>
  </conditionalFormatting>
  <conditionalFormatting sqref="K76">
    <cfRule type="cellIs" dxfId="154" priority="12" operator="greaterThan">
      <formula>$K$69</formula>
    </cfRule>
  </conditionalFormatting>
  <conditionalFormatting sqref="K77">
    <cfRule type="cellIs" dxfId="153" priority="11" operator="greaterThan">
      <formula>$K$70</formula>
    </cfRule>
  </conditionalFormatting>
  <conditionalFormatting sqref="K78">
    <cfRule type="cellIs" dxfId="152" priority="10" operator="greaterThan">
      <formula>$K$71</formula>
    </cfRule>
  </conditionalFormatting>
  <conditionalFormatting sqref="K79">
    <cfRule type="cellIs" dxfId="151" priority="9" operator="greaterThan">
      <formula>$K$72</formula>
    </cfRule>
  </conditionalFormatting>
  <conditionalFormatting sqref="K80">
    <cfRule type="cellIs" dxfId="150" priority="8" operator="greaterThan">
      <formula>$K$73</formula>
    </cfRule>
  </conditionalFormatting>
  <conditionalFormatting sqref="K81">
    <cfRule type="cellIs" dxfId="149" priority="7" operator="greaterThan">
      <formula>$K$74</formula>
    </cfRule>
  </conditionalFormatting>
  <conditionalFormatting sqref="L76">
    <cfRule type="cellIs" dxfId="148" priority="6" operator="greaterThan">
      <formula>$L$69</formula>
    </cfRule>
  </conditionalFormatting>
  <conditionalFormatting sqref="L77">
    <cfRule type="cellIs" dxfId="147" priority="5" operator="greaterThan">
      <formula>$L$70</formula>
    </cfRule>
  </conditionalFormatting>
  <conditionalFormatting sqref="L78">
    <cfRule type="cellIs" dxfId="146" priority="4" operator="greaterThan">
      <formula>$L$71</formula>
    </cfRule>
  </conditionalFormatting>
  <conditionalFormatting sqref="L79">
    <cfRule type="cellIs" dxfId="145" priority="3" operator="greaterThan">
      <formula>$L$72</formula>
    </cfRule>
  </conditionalFormatting>
  <conditionalFormatting sqref="L80">
    <cfRule type="cellIs" dxfId="144" priority="2" operator="greaterThan">
      <formula>$L$73</formula>
    </cfRule>
  </conditionalFormatting>
  <conditionalFormatting sqref="L81">
    <cfRule type="cellIs" dxfId="143" priority="1" operator="greaterThan">
      <formula>$L$74</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E68F7-8AAA-4EC7-9EA7-01148874451F}">
  <dimension ref="A1:U95"/>
  <sheetViews>
    <sheetView topLeftCell="A28" zoomScale="150" zoomScaleNormal="150" workbookViewId="0">
      <selection activeCell="G93" sqref="G93"/>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63"/>
      <c r="I3" s="63"/>
      <c r="J3" s="63"/>
      <c r="K3" s="63"/>
    </row>
    <row r="4" spans="1:11" x14ac:dyDescent="0.35">
      <c r="A4" s="64" t="s">
        <v>39</v>
      </c>
      <c r="B4" s="64" t="s">
        <v>43</v>
      </c>
      <c r="C4" s="99" t="s">
        <v>44</v>
      </c>
      <c r="D4" s="100"/>
      <c r="E4" s="100"/>
      <c r="F4" s="100"/>
      <c r="G4" s="101"/>
    </row>
    <row r="5" spans="1:11" x14ac:dyDescent="0.35">
      <c r="A5" s="65" t="s">
        <v>52</v>
      </c>
      <c r="B5" s="65"/>
      <c r="C5" s="102"/>
      <c r="D5" s="102"/>
      <c r="E5" s="102"/>
      <c r="F5" s="102"/>
      <c r="G5" s="102"/>
    </row>
    <row r="6" spans="1:11" x14ac:dyDescent="0.35">
      <c r="A6" s="66" t="s">
        <v>40</v>
      </c>
      <c r="B6" s="66" t="s">
        <v>184</v>
      </c>
      <c r="C6" s="103" t="s">
        <v>183</v>
      </c>
      <c r="D6" s="103"/>
      <c r="E6" s="103"/>
      <c r="F6" s="103"/>
      <c r="G6" s="103"/>
    </row>
    <row r="7" spans="1:11" x14ac:dyDescent="0.35">
      <c r="A7" s="66" t="s">
        <v>41</v>
      </c>
      <c r="B7" s="66" t="s">
        <v>184</v>
      </c>
      <c r="C7" s="97" t="s">
        <v>181</v>
      </c>
      <c r="D7" s="97"/>
      <c r="E7" s="97"/>
      <c r="F7" s="97"/>
      <c r="G7" s="97"/>
    </row>
    <row r="8" spans="1:11" x14ac:dyDescent="0.35">
      <c r="A8" s="66" t="s">
        <v>42</v>
      </c>
      <c r="B8" s="66" t="s">
        <v>184</v>
      </c>
      <c r="C8" s="103" t="s">
        <v>183</v>
      </c>
      <c r="D8" s="103"/>
      <c r="E8" s="103"/>
      <c r="F8" s="103"/>
      <c r="G8" s="103"/>
    </row>
    <row r="9" spans="1:11" x14ac:dyDescent="0.35">
      <c r="A9" s="66" t="s">
        <v>165</v>
      </c>
      <c r="B9" s="66" t="s">
        <v>184</v>
      </c>
      <c r="C9" s="97" t="s">
        <v>182</v>
      </c>
      <c r="D9" s="97"/>
      <c r="E9" s="97"/>
      <c r="F9" s="97"/>
      <c r="G9" s="97"/>
    </row>
    <row r="10" spans="1:11" x14ac:dyDescent="0.35">
      <c r="A10" s="66"/>
      <c r="B10" s="66"/>
      <c r="C10" s="97"/>
      <c r="D10" s="97"/>
      <c r="E10" s="97"/>
      <c r="F10" s="97"/>
      <c r="G10" s="97"/>
    </row>
    <row r="11" spans="1:11" x14ac:dyDescent="0.35">
      <c r="A11" s="66"/>
      <c r="B11" s="66"/>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3" x14ac:dyDescent="0.35">
      <c r="A18" s="1" t="s">
        <v>54</v>
      </c>
      <c r="D18" s="20" t="s">
        <v>185</v>
      </c>
    </row>
    <row r="20" spans="1:13" x14ac:dyDescent="0.35">
      <c r="A20" s="1" t="s">
        <v>32</v>
      </c>
      <c r="B20" s="1" t="s">
        <v>112</v>
      </c>
      <c r="C20" s="13" t="s">
        <v>113</v>
      </c>
    </row>
    <row r="21" spans="1:13" x14ac:dyDescent="0.35">
      <c r="A21" t="s">
        <v>111</v>
      </c>
      <c r="B21" s="12">
        <v>5.73</v>
      </c>
      <c r="C21" s="12">
        <v>6</v>
      </c>
      <c r="D21" s="23" t="s">
        <v>114</v>
      </c>
    </row>
    <row r="22" spans="1:13" x14ac:dyDescent="0.35">
      <c r="A22" t="s">
        <v>145</v>
      </c>
      <c r="B22" s="12">
        <v>11</v>
      </c>
      <c r="C22" s="12">
        <v>10.1</v>
      </c>
      <c r="D22" s="11" t="s">
        <v>34</v>
      </c>
    </row>
    <row r="24" spans="1:13"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row>
    <row r="25" spans="1:13" x14ac:dyDescent="0.35">
      <c r="A25" s="1" t="s">
        <v>45</v>
      </c>
      <c r="B25" s="1"/>
      <c r="C25" s="45">
        <v>12.4</v>
      </c>
      <c r="D25" s="45">
        <f>C25</f>
        <v>12.4</v>
      </c>
      <c r="E25" s="45">
        <f t="shared" ref="E25:L25" si="0">D25</f>
        <v>12.4</v>
      </c>
      <c r="F25" s="45">
        <f t="shared" si="0"/>
        <v>12.4</v>
      </c>
      <c r="G25" s="45">
        <f t="shared" si="0"/>
        <v>12.4</v>
      </c>
      <c r="H25" s="45">
        <f t="shared" si="0"/>
        <v>12.4</v>
      </c>
      <c r="I25" s="45">
        <v>14.4</v>
      </c>
      <c r="J25" s="45">
        <f t="shared" si="0"/>
        <v>14.4</v>
      </c>
      <c r="K25" s="45">
        <f t="shared" si="0"/>
        <v>14.4</v>
      </c>
      <c r="L25" s="45">
        <f t="shared" si="0"/>
        <v>14.4</v>
      </c>
    </row>
    <row r="26" spans="1:13" x14ac:dyDescent="0.35">
      <c r="A26" s="1" t="s">
        <v>123</v>
      </c>
      <c r="B26" s="1"/>
      <c r="C26" s="12">
        <f>IF(C$25&lt;&gt;"",0.8,"")</f>
        <v>0.8</v>
      </c>
      <c r="D26" s="12">
        <f t="shared" ref="D26:L26" si="1">IF(D$25&lt;&gt;"",0.8,"")</f>
        <v>0.8</v>
      </c>
      <c r="E26" s="12">
        <f t="shared" si="1"/>
        <v>0.8</v>
      </c>
      <c r="F26" s="12">
        <f t="shared" si="1"/>
        <v>0.8</v>
      </c>
      <c r="G26" s="12">
        <f t="shared" si="1"/>
        <v>0.8</v>
      </c>
      <c r="H26" s="12">
        <f t="shared" si="1"/>
        <v>0.8</v>
      </c>
      <c r="I26" s="12">
        <f t="shared" si="1"/>
        <v>0.8</v>
      </c>
      <c r="J26" s="12">
        <f t="shared" si="1"/>
        <v>0.8</v>
      </c>
      <c r="K26" s="12">
        <f t="shared" si="1"/>
        <v>0.8</v>
      </c>
      <c r="L26" s="12">
        <f t="shared" si="1"/>
        <v>0.8</v>
      </c>
    </row>
    <row r="27" spans="1:13" x14ac:dyDescent="0.35">
      <c r="A27" s="1" t="s">
        <v>126</v>
      </c>
      <c r="B27" s="14">
        <f>SUM(B28:B33)-SUM(B22:C22)</f>
        <v>0</v>
      </c>
      <c r="C27" s="14">
        <f>IF(C$25&lt;&gt;"",SUM(B22:C22),"")</f>
        <v>21.1</v>
      </c>
      <c r="D27" s="14">
        <f>IF(D$25&lt;&gt;"",C89,"")</f>
        <v>20.14110232000003</v>
      </c>
      <c r="E27" s="14">
        <f t="shared" ref="E27:L27" si="2">IF(E$25&lt;&gt;"",D89,"")</f>
        <v>19.211005839999455</v>
      </c>
      <c r="F27" s="14">
        <f t="shared" si="2"/>
        <v>18.393346086000026</v>
      </c>
      <c r="G27" s="14">
        <f t="shared" si="2"/>
        <v>17.600829526999998</v>
      </c>
      <c r="H27" s="14">
        <f t="shared" si="2"/>
        <v>16.833042162998829</v>
      </c>
      <c r="I27" s="14">
        <f t="shared" si="2"/>
        <v>16.089989993998255</v>
      </c>
      <c r="J27" s="14">
        <f t="shared" si="2"/>
        <v>17.370629013998855</v>
      </c>
      <c r="K27" s="14">
        <f t="shared" si="2"/>
        <v>18.610262208498284</v>
      </c>
      <c r="L27" s="14">
        <f t="shared" si="2"/>
        <v>19.811868610497715</v>
      </c>
    </row>
    <row r="28" spans="1:13" x14ac:dyDescent="0.35">
      <c r="A28" t="str">
        <f>IF(A6="","","    "&amp;A6&amp;" Balance")</f>
        <v xml:space="preserve">    Upper Basin Balance</v>
      </c>
      <c r="B28" s="55">
        <f>B22</f>
        <v>11</v>
      </c>
      <c r="C28" s="14">
        <f>IF(OR(C$25="",$A28=""),"",B28)</f>
        <v>11</v>
      </c>
      <c r="D28" s="14">
        <f>IF(OR(D$25="",$A28=""),"",C83)</f>
        <v>10.432257133649305</v>
      </c>
      <c r="E28" s="14">
        <f t="shared" ref="E28:L28" si="3">IF(OR(E$25="",$A28=""),"",D83)</f>
        <v>9.8828742725086656</v>
      </c>
      <c r="F28" s="14">
        <f t="shared" si="3"/>
        <v>9.3505876185647416</v>
      </c>
      <c r="G28" s="14">
        <f t="shared" si="3"/>
        <v>8.8369507768451037</v>
      </c>
      <c r="H28" s="14">
        <f t="shared" si="3"/>
        <v>8.3416540166223037</v>
      </c>
      <c r="I28" s="14">
        <f t="shared" si="3"/>
        <v>7.864595445953662</v>
      </c>
      <c r="J28" s="14">
        <f t="shared" si="3"/>
        <v>9.4051509428001765</v>
      </c>
      <c r="K28" s="14">
        <f t="shared" si="3"/>
        <v>10.877783506870696</v>
      </c>
      <c r="L28" s="14">
        <f t="shared" si="3"/>
        <v>12.289027609216578</v>
      </c>
    </row>
    <row r="29" spans="1:13" x14ac:dyDescent="0.35">
      <c r="A29" t="str">
        <f t="shared" ref="A29:A33" si="4">IF(A7="","","    "&amp;A7&amp;" Balance")</f>
        <v xml:space="preserve">    Lower Basin Balance</v>
      </c>
      <c r="B29" s="55">
        <f>C22</f>
        <v>10.1</v>
      </c>
      <c r="C29" s="14">
        <f t="shared" ref="C29:C33" si="5">IF(OR(C$25="",$A29=""),"",B29)</f>
        <v>10.1</v>
      </c>
      <c r="D29" s="14">
        <f t="shared" ref="D29:L33" si="6">IF(OR(D$25="",$A29=""),"",C84)</f>
        <v>9.7088451863507252</v>
      </c>
      <c r="E29" s="14">
        <f t="shared" si="6"/>
        <v>9.3281315674907894</v>
      </c>
      <c r="F29" s="14">
        <f t="shared" si="6"/>
        <v>9.0427584674352843</v>
      </c>
      <c r="G29" s="14">
        <f t="shared" si="6"/>
        <v>8.7638787501548947</v>
      </c>
      <c r="H29" s="14">
        <f t="shared" si="6"/>
        <v>8.4913881463765257</v>
      </c>
      <c r="I29" s="14">
        <f t="shared" si="6"/>
        <v>8.2253945480445942</v>
      </c>
      <c r="J29" s="14">
        <f t="shared" si="6"/>
        <v>7.965478071198679</v>
      </c>
      <c r="K29" s="14">
        <f t="shared" si="6"/>
        <v>7.7324787016275875</v>
      </c>
      <c r="L29" s="14">
        <f t="shared" si="6"/>
        <v>7.5228410012811358</v>
      </c>
    </row>
    <row r="30" spans="1:13" x14ac:dyDescent="0.35">
      <c r="A30" t="str">
        <f t="shared" si="4"/>
        <v xml:space="preserve">    Mexico Balance</v>
      </c>
      <c r="B30" s="56">
        <v>0</v>
      </c>
      <c r="C30" s="14">
        <f t="shared" si="5"/>
        <v>0</v>
      </c>
      <c r="D30" s="14">
        <f t="shared" si="6"/>
        <v>0</v>
      </c>
      <c r="E30" s="14">
        <f t="shared" si="6"/>
        <v>0</v>
      </c>
      <c r="F30" s="14">
        <f t="shared" si="6"/>
        <v>0</v>
      </c>
      <c r="G30" s="14">
        <f t="shared" si="6"/>
        <v>0</v>
      </c>
      <c r="H30" s="14">
        <f t="shared" si="6"/>
        <v>0</v>
      </c>
      <c r="I30" s="14">
        <f t="shared" si="6"/>
        <v>0</v>
      </c>
      <c r="J30" s="14">
        <f t="shared" si="6"/>
        <v>0</v>
      </c>
      <c r="K30" s="14">
        <f t="shared" si="6"/>
        <v>0</v>
      </c>
      <c r="L30" s="14">
        <f t="shared" si="6"/>
        <v>0</v>
      </c>
    </row>
    <row r="31" spans="1:13"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f t="shared" si="6"/>
        <v>0</v>
      </c>
      <c r="I31" s="14">
        <f t="shared" si="6"/>
        <v>0</v>
      </c>
      <c r="J31" s="14">
        <f t="shared" si="6"/>
        <v>0</v>
      </c>
      <c r="K31" s="14">
        <f t="shared" si="6"/>
        <v>0</v>
      </c>
      <c r="L31" s="14">
        <f t="shared" si="6"/>
        <v>0</v>
      </c>
    </row>
    <row r="32" spans="1:13"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10.070551160000015</v>
      </c>
      <c r="E35" s="14">
        <f t="shared" si="7"/>
        <v>9.6055029199997275</v>
      </c>
      <c r="F35" s="14">
        <f t="shared" si="7"/>
        <v>9.196673043000013</v>
      </c>
      <c r="G35" s="14">
        <f t="shared" si="7"/>
        <v>8.8004147634999992</v>
      </c>
      <c r="H35" s="14">
        <f t="shared" si="7"/>
        <v>8.4165210814994147</v>
      </c>
      <c r="I35" s="14">
        <f t="shared" si="7"/>
        <v>8.0449949969991277</v>
      </c>
      <c r="J35" s="14">
        <f t="shared" si="7"/>
        <v>8.6853145069994273</v>
      </c>
      <c r="K35" s="14">
        <f t="shared" si="7"/>
        <v>9.305131104249142</v>
      </c>
      <c r="L35" s="14">
        <f t="shared" si="7"/>
        <v>9.9059343052488575</v>
      </c>
    </row>
    <row r="36" spans="1:12" x14ac:dyDescent="0.35">
      <c r="A36" t="s">
        <v>116</v>
      </c>
      <c r="B36" s="35">
        <f>1-B35</f>
        <v>0.5</v>
      </c>
      <c r="C36" s="14">
        <f>IF(C$25&lt;&gt;"",C22,"")</f>
        <v>10.1</v>
      </c>
      <c r="D36" s="14">
        <f t="shared" si="7"/>
        <v>10.070551160000015</v>
      </c>
      <c r="E36" s="14">
        <f t="shared" si="7"/>
        <v>9.6055029199997275</v>
      </c>
      <c r="F36" s="14">
        <f t="shared" si="7"/>
        <v>9.196673043000013</v>
      </c>
      <c r="G36" s="14">
        <f t="shared" si="7"/>
        <v>8.8004147634999992</v>
      </c>
      <c r="H36" s="14">
        <f t="shared" si="7"/>
        <v>8.4165210814994147</v>
      </c>
      <c r="I36" s="14">
        <f t="shared" si="7"/>
        <v>8.0449949969991277</v>
      </c>
      <c r="J36" s="14">
        <f t="shared" si="7"/>
        <v>8.6853145069994273</v>
      </c>
      <c r="K36" s="14">
        <f t="shared" si="7"/>
        <v>9.305131104249142</v>
      </c>
      <c r="L36" s="14">
        <f t="shared" si="7"/>
        <v>9.9059343052488575</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0.99309648000057305</v>
      </c>
      <c r="E37" s="14">
        <f>IF(E$25&lt;&gt;"",VLOOKUP(E35*1000000,'Powell-Elevation-Area'!$B$5:$D$689,3)*$B$21/1000000 + VLOOKUP(E36*1000000,'Mead-Elevation-Area'!$B$5:$D$676,3)*$C$21/1000000,"")</f>
        <v>0.96665975399942705</v>
      </c>
      <c r="F37" s="14">
        <f>IF(F$25&lt;&gt;"",VLOOKUP(F35*1000000,'Powell-Elevation-Area'!$B$5:$D$689,3)*$B$21/1000000 + VLOOKUP(F36*1000000,'Mead-Elevation-Area'!$B$5:$D$676,3)*$C$21/1000000,"")</f>
        <v>0.94151655900002706</v>
      </c>
      <c r="G37" s="14">
        <f>IF(G$25&lt;&gt;"",VLOOKUP(G35*1000000,'Powell-Elevation-Area'!$B$5:$D$689,3)*$B$21/1000000 + VLOOKUP(G36*1000000,'Mead-Elevation-Area'!$B$5:$D$676,3)*$C$21/1000000,"")</f>
        <v>0.916787364001173</v>
      </c>
      <c r="H37" s="14">
        <f>IF(H$25&lt;&gt;"",VLOOKUP(H35*1000000,'Powell-Elevation-Area'!$B$5:$D$689,3)*$B$21/1000000 + VLOOKUP(H36*1000000,'Mead-Elevation-Area'!$B$5:$D$676,3)*$C$21/1000000,"")</f>
        <v>0.89205216900057305</v>
      </c>
      <c r="I37" s="14">
        <f>IF(I$25&lt;&gt;"",VLOOKUP(I35*1000000,'Powell-Elevation-Area'!$B$5:$D$689,3)*$B$21/1000000 + VLOOKUP(I36*1000000,'Mead-Elevation-Area'!$B$5:$D$676,3)*$C$21/1000000,"")</f>
        <v>0.8683609799994001</v>
      </c>
      <c r="J37" s="14">
        <f>IF(J$25&lt;&gt;"",VLOOKUP(J35*1000000,'Powell-Elevation-Area'!$B$5:$D$689,3)*$B$21/1000000 + VLOOKUP(J36*1000000,'Mead-Elevation-Area'!$B$5:$D$676,3)*$C$21/1000000,"")</f>
        <v>0.90936680550057303</v>
      </c>
      <c r="K37" s="14">
        <f>IF(K$25&lt;&gt;"",VLOOKUP(K35*1000000,'Powell-Elevation-Area'!$B$5:$D$689,3)*$B$21/1000000 + VLOOKUP(K36*1000000,'Mead-Elevation-Area'!$B$5:$D$676,3)*$C$21/1000000,"")</f>
        <v>0.94739359800057299</v>
      </c>
      <c r="L37" s="14">
        <f>IF(L$25&lt;&gt;"",VLOOKUP(L35*1000000,'Powell-Elevation-Area'!$B$5:$D$689,3)*$B$21/1000000 + VLOOKUP(L36*1000000,'Mead-Elevation-Area'!$B$5:$D$676,3)*$C$21/1000000,"")</f>
        <v>0.98351839050000001</v>
      </c>
    </row>
    <row r="38" spans="1:12" x14ac:dyDescent="0.35">
      <c r="A38" t="str">
        <f>IF(A6="","","    "&amp;A6&amp;" Share")</f>
        <v xml:space="preserve">    Upper Basin Share</v>
      </c>
      <c r="B38" s="1"/>
      <c r="C38" s="14">
        <f>IF(OR(C$25="",$A38=""),"",C$37*C28/C$27)</f>
        <v>0.5327428663506969</v>
      </c>
      <c r="D38" s="14">
        <f t="shared" ref="D38:L38" si="8">IF(OR(D$25="",$A38=""),"",D$37*D28/D$27)</f>
        <v>0.51438286114063969</v>
      </c>
      <c r="E38" s="14">
        <f t="shared" si="8"/>
        <v>0.49728665394392302</v>
      </c>
      <c r="F38" s="14">
        <f t="shared" si="8"/>
        <v>0.47863684171963883</v>
      </c>
      <c r="G38" s="14">
        <f t="shared" si="8"/>
        <v>0.46029676022280247</v>
      </c>
      <c r="H38" s="14">
        <f t="shared" si="8"/>
        <v>0.44205857066864318</v>
      </c>
      <c r="I38" s="14">
        <f t="shared" si="8"/>
        <v>0.42444450315348542</v>
      </c>
      <c r="J38" s="14">
        <f t="shared" si="8"/>
        <v>0.49236743592948296</v>
      </c>
      <c r="K38" s="14">
        <f t="shared" si="8"/>
        <v>0.55375589765412025</v>
      </c>
      <c r="L38" s="14">
        <f t="shared" si="8"/>
        <v>0.61006283115679893</v>
      </c>
    </row>
    <row r="39" spans="1:12" x14ac:dyDescent="0.35">
      <c r="A39" t="str">
        <f t="shared" ref="A39:A43" si="9">IF(A7="","","    "&amp;A7&amp;" Share")</f>
        <v xml:space="preserve">    Lower Basin Share</v>
      </c>
      <c r="B39" s="1"/>
      <c r="C39" s="14">
        <f t="shared" ref="C39:L43" si="10">IF(OR(C$25="",$A39=""),"",C$37*C29/C$27)</f>
        <v>0.48915481364927621</v>
      </c>
      <c r="D39" s="14">
        <f t="shared" si="10"/>
        <v>0.4787136188599333</v>
      </c>
      <c r="E39" s="14">
        <f t="shared" si="10"/>
        <v>0.46937310005550409</v>
      </c>
      <c r="F39" s="14">
        <f t="shared" si="10"/>
        <v>0.46287971728038824</v>
      </c>
      <c r="G39" s="14">
        <f t="shared" si="10"/>
        <v>0.45649060377837047</v>
      </c>
      <c r="H39" s="14">
        <f t="shared" si="10"/>
        <v>0.44999359833192987</v>
      </c>
      <c r="I39" s="14">
        <f t="shared" si="10"/>
        <v>0.44391647684591473</v>
      </c>
      <c r="J39" s="14">
        <f t="shared" si="10"/>
        <v>0.41699936957109013</v>
      </c>
      <c r="K39" s="14">
        <f t="shared" si="10"/>
        <v>0.39363770034645268</v>
      </c>
      <c r="L39" s="14">
        <f t="shared" si="10"/>
        <v>0.37345555934320102</v>
      </c>
    </row>
    <row r="40" spans="1:12" x14ac:dyDescent="0.35">
      <c r="A40" t="str">
        <f t="shared" si="9"/>
        <v xml:space="preserve">    Mexico Share</v>
      </c>
      <c r="B40" s="1"/>
      <c r="C40" s="14">
        <f t="shared" si="10"/>
        <v>0</v>
      </c>
      <c r="D40" s="14">
        <f t="shared" si="10"/>
        <v>0</v>
      </c>
      <c r="E40" s="14">
        <f t="shared" si="10"/>
        <v>0</v>
      </c>
      <c r="F40" s="14">
        <f t="shared" si="10"/>
        <v>0</v>
      </c>
      <c r="G40" s="14">
        <f t="shared" si="10"/>
        <v>0</v>
      </c>
      <c r="H40" s="14">
        <f t="shared" si="10"/>
        <v>0</v>
      </c>
      <c r="I40" s="14">
        <f t="shared" si="10"/>
        <v>0</v>
      </c>
      <c r="J40" s="14">
        <f t="shared" si="10"/>
        <v>0</v>
      </c>
      <c r="K40" s="14">
        <f t="shared" si="10"/>
        <v>0</v>
      </c>
      <c r="L40" s="14">
        <f t="shared" si="10"/>
        <v>0</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f t="shared" si="10"/>
        <v>0</v>
      </c>
      <c r="I41" s="14">
        <f t="shared" si="10"/>
        <v>0</v>
      </c>
      <c r="J41" s="14">
        <f t="shared" si="10"/>
        <v>0</v>
      </c>
      <c r="K41" s="14">
        <f t="shared" si="10"/>
        <v>0</v>
      </c>
      <c r="L41" s="14">
        <f t="shared" si="10"/>
        <v>0</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f t="shared" si="11"/>
        <v>1.466</v>
      </c>
      <c r="I44" s="50">
        <f t="shared" si="11"/>
        <v>1.466</v>
      </c>
      <c r="J44" s="50">
        <f t="shared" si="11"/>
        <v>1.466</v>
      </c>
      <c r="K44" s="50">
        <f t="shared" si="11"/>
        <v>1.466</v>
      </c>
      <c r="L44" s="50">
        <f t="shared" si="11"/>
        <v>1.4239999999999999</v>
      </c>
    </row>
    <row r="45" spans="1:12" x14ac:dyDescent="0.35">
      <c r="A45" s="1" t="s">
        <v>162</v>
      </c>
      <c r="B45" s="1"/>
      <c r="C45"/>
    </row>
    <row r="46" spans="1:12" x14ac:dyDescent="0.35">
      <c r="A46" t="str">
        <f>IF(A6="","","    To "&amp;A6)</f>
        <v xml:space="preserve">    To Upper Basin</v>
      </c>
      <c r="B46" s="24" t="s">
        <v>164</v>
      </c>
      <c r="C46" s="14">
        <f>IF(OR(C$25="",$A4=""),"",MAX(0,C$25-SUM(C47:C48)))</f>
        <v>4.1650000000000009</v>
      </c>
      <c r="D46" s="14">
        <f t="shared" ref="D46:L46" si="12">IF(OR(D$25="",$A4=""),"",MAX(0,D$25-SUM(D47:D48)))</f>
        <v>4.1650000000000009</v>
      </c>
      <c r="E46" s="14">
        <f t="shared" si="12"/>
        <v>4.1650000000000009</v>
      </c>
      <c r="F46" s="14">
        <f t="shared" si="12"/>
        <v>4.1650000000000009</v>
      </c>
      <c r="G46" s="14">
        <f t="shared" si="12"/>
        <v>4.1650000000000009</v>
      </c>
      <c r="H46" s="14">
        <f t="shared" si="12"/>
        <v>4.1650000000000009</v>
      </c>
      <c r="I46" s="14">
        <f t="shared" si="12"/>
        <v>6.1650000000000009</v>
      </c>
      <c r="J46" s="14">
        <f t="shared" si="12"/>
        <v>6.1650000000000009</v>
      </c>
      <c r="K46" s="14">
        <f t="shared" si="12"/>
        <v>6.1650000000000009</v>
      </c>
      <c r="L46" s="14">
        <f t="shared" si="12"/>
        <v>6.1650000000000009</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f t="shared" si="14"/>
        <v>7.5</v>
      </c>
      <c r="I47" s="14">
        <f t="shared" si="14"/>
        <v>7.5</v>
      </c>
      <c r="J47" s="14">
        <f t="shared" si="14"/>
        <v>7.5</v>
      </c>
      <c r="K47" s="14">
        <f t="shared" si="14"/>
        <v>7.5</v>
      </c>
      <c r="L47" s="14">
        <f t="shared" si="14"/>
        <v>7.5</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f t="shared" si="15"/>
        <v>0.73499999999999999</v>
      </c>
      <c r="I48" s="14">
        <f t="shared" si="15"/>
        <v>0.73499999999999999</v>
      </c>
      <c r="J48" s="14">
        <f t="shared" si="15"/>
        <v>0.73499999999999999</v>
      </c>
      <c r="K48" s="14">
        <f t="shared" si="15"/>
        <v>0.73499999999999999</v>
      </c>
      <c r="L48" s="14">
        <f t="shared" si="15"/>
        <v>0.73499999999999999</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f t="shared" si="16"/>
        <v>0</v>
      </c>
      <c r="I49" s="14">
        <f t="shared" si="16"/>
        <v>0</v>
      </c>
      <c r="J49" s="14">
        <f t="shared" si="16"/>
        <v>0</v>
      </c>
      <c r="K49" s="14">
        <f t="shared" si="16"/>
        <v>0</v>
      </c>
      <c r="L49" s="14">
        <f t="shared" si="16"/>
        <v>0</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f t="shared" si="17"/>
        <v>0</v>
      </c>
      <c r="I53" s="14">
        <f t="shared" si="17"/>
        <v>0</v>
      </c>
      <c r="J53" s="14">
        <f t="shared" si="17"/>
        <v>0</v>
      </c>
      <c r="K53" s="14">
        <f t="shared" si="17"/>
        <v>0</v>
      </c>
      <c r="L53" s="14">
        <f t="shared" si="17"/>
        <v>0</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f t="shared" si="19"/>
        <v>-0.53299999999999992</v>
      </c>
      <c r="I54" s="14">
        <f t="shared" si="19"/>
        <v>-0.53299999999999992</v>
      </c>
      <c r="J54" s="14">
        <f t="shared" si="19"/>
        <v>-0.53299999999999992</v>
      </c>
      <c r="K54" s="14">
        <f t="shared" si="19"/>
        <v>-0.53299999999999992</v>
      </c>
      <c r="L54" s="14">
        <f t="shared" si="19"/>
        <v>-0.51199999999999979</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f t="shared" si="20"/>
        <v>0.73299999999999998</v>
      </c>
      <c r="I55" s="14">
        <f t="shared" si="20"/>
        <v>0.73299999999999998</v>
      </c>
      <c r="J55" s="14">
        <f t="shared" si="20"/>
        <v>0.73299999999999998</v>
      </c>
      <c r="K55" s="14">
        <f t="shared" si="20"/>
        <v>0.73299999999999998</v>
      </c>
      <c r="L55" s="14">
        <f t="shared" si="20"/>
        <v>0.71199999999999997</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f t="shared" si="21"/>
        <v>0.6</v>
      </c>
      <c r="I56" s="14">
        <f t="shared" si="21"/>
        <v>0.6</v>
      </c>
      <c r="J56" s="14">
        <f t="shared" si="21"/>
        <v>0.6</v>
      </c>
      <c r="K56" s="14">
        <f t="shared" si="21"/>
        <v>0.6</v>
      </c>
      <c r="L56" s="14">
        <f t="shared" si="21"/>
        <v>0.6</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3">IF(A7="","","    "&amp;A7)</f>
        <v xml:space="preserve">    Lower Basin</v>
      </c>
      <c r="B61" s="1"/>
      <c r="C61" s="62"/>
      <c r="D61" s="62"/>
      <c r="E61" s="67"/>
      <c r="F61" s="62"/>
      <c r="G61" s="62"/>
      <c r="H61" s="62"/>
      <c r="I61" s="62"/>
      <c r="J61" s="62"/>
      <c r="K61" s="67"/>
      <c r="L61" s="62"/>
      <c r="M61" s="54">
        <f t="shared" ref="M61:M65" si="24">SUMPRODUCT(C61:L61,C$67:L$67)</f>
        <v>0</v>
      </c>
    </row>
    <row r="62" spans="1:13" x14ac:dyDescent="0.35">
      <c r="A62" t="str">
        <f t="shared" si="23"/>
        <v xml:space="preserve">    Mexico</v>
      </c>
      <c r="B62" s="1"/>
      <c r="C62" s="50"/>
      <c r="D62" s="50"/>
      <c r="E62" s="68"/>
      <c r="F62" s="50"/>
      <c r="G62" s="50"/>
      <c r="H62" s="68"/>
      <c r="I62" s="50"/>
      <c r="J62" s="50"/>
      <c r="K62" s="68"/>
      <c r="L62" s="50"/>
      <c r="M62" s="54">
        <f t="shared" si="24"/>
        <v>0</v>
      </c>
    </row>
    <row r="63" spans="1:13" x14ac:dyDescent="0.35">
      <c r="A63" t="str">
        <f t="shared" si="23"/>
        <v xml:space="preserve">    Mohave &amp; Havasu Evap &amp; ET</v>
      </c>
      <c r="B63" s="1"/>
      <c r="C63" s="50"/>
      <c r="D63" s="50"/>
      <c r="E63" s="68"/>
      <c r="F63" s="50"/>
      <c r="G63" s="50"/>
      <c r="H63" s="68"/>
      <c r="I63" s="50"/>
      <c r="J63" s="50"/>
      <c r="K63" s="68"/>
      <c r="L63" s="50"/>
      <c r="M63" s="54">
        <f t="shared" si="24"/>
        <v>0</v>
      </c>
    </row>
    <row r="64" spans="1:13" x14ac:dyDescent="0.35">
      <c r="A64" t="str">
        <f t="shared" si="23"/>
        <v/>
      </c>
      <c r="B64" s="1"/>
      <c r="C64" s="50"/>
      <c r="D64" s="50"/>
      <c r="E64" s="68"/>
      <c r="F64" s="50"/>
      <c r="G64" s="50"/>
      <c r="H64" s="68"/>
      <c r="I64" s="50"/>
      <c r="J64" s="50"/>
      <c r="K64" s="68"/>
      <c r="L64" s="50"/>
      <c r="M64" s="54">
        <f t="shared" si="24"/>
        <v>0</v>
      </c>
    </row>
    <row r="65" spans="1:21" x14ac:dyDescent="0.35">
      <c r="A65" t="str">
        <f t="shared" si="23"/>
        <v/>
      </c>
      <c r="B65" s="1"/>
      <c r="C65" s="50"/>
      <c r="D65" s="50"/>
      <c r="E65" s="50"/>
      <c r="F65" s="50"/>
      <c r="G65" s="50"/>
      <c r="H65" s="50"/>
      <c r="I65" s="50"/>
      <c r="J65" s="50"/>
      <c r="K65" s="50"/>
      <c r="L65" s="50"/>
      <c r="M65" s="54">
        <f t="shared" si="24"/>
        <v>0</v>
      </c>
    </row>
    <row r="66" spans="1:21" x14ac:dyDescent="0.35">
      <c r="A66" t="s">
        <v>159</v>
      </c>
      <c r="B66" s="1"/>
      <c r="C66" s="53">
        <f>IF(C$25&lt;&gt;"",SUM(C60:C65),"")</f>
        <v>0</v>
      </c>
      <c r="D66" s="53">
        <f t="shared" ref="D66:L66" si="25">IF(D$25&lt;&gt;"",SUM(D60:D65),"")</f>
        <v>0</v>
      </c>
      <c r="E66" s="53">
        <f t="shared" si="25"/>
        <v>0</v>
      </c>
      <c r="F66" s="53">
        <f t="shared" si="25"/>
        <v>0</v>
      </c>
      <c r="G66" s="53">
        <f t="shared" si="25"/>
        <v>0</v>
      </c>
      <c r="H66" s="53">
        <f t="shared" si="25"/>
        <v>0</v>
      </c>
      <c r="I66" s="53">
        <f t="shared" si="25"/>
        <v>0</v>
      </c>
      <c r="J66" s="53">
        <f t="shared" si="25"/>
        <v>0</v>
      </c>
      <c r="K66" s="53">
        <f t="shared" si="25"/>
        <v>0</v>
      </c>
      <c r="L66" s="53">
        <f t="shared" si="25"/>
        <v>0</v>
      </c>
      <c r="M66" s="34"/>
    </row>
    <row r="67" spans="1:21" x14ac:dyDescent="0.35">
      <c r="A67" t="s">
        <v>160</v>
      </c>
      <c r="B67" s="1"/>
      <c r="C67" s="31"/>
      <c r="D67" s="31"/>
      <c r="E67" s="31"/>
      <c r="F67" s="31"/>
      <c r="G67" s="31"/>
      <c r="H67" s="31"/>
      <c r="I67" s="31"/>
      <c r="J67" s="31"/>
      <c r="K67" s="31"/>
      <c r="L67" s="31"/>
    </row>
    <row r="68" spans="1:21" x14ac:dyDescent="0.35">
      <c r="A68" s="1" t="s">
        <v>186</v>
      </c>
      <c r="B68" s="1"/>
      <c r="C68"/>
    </row>
    <row r="69" spans="1:21" x14ac:dyDescent="0.35">
      <c r="A69" t="str">
        <f>IF(A6="","","    "&amp;A6)</f>
        <v xml:space="preserve">    Upper Basin</v>
      </c>
      <c r="C69" s="14">
        <f>IF(OR(C$25="",$A69=""),"",C28+C46+C53-C38-C60)</f>
        <v>14.632257133649304</v>
      </c>
      <c r="D69" s="14">
        <f t="shared" ref="D69:L69" si="26">IF(OR(D$25="",$A69=""),"",D28+D46+D53-D38-D60)</f>
        <v>14.082874272508667</v>
      </c>
      <c r="E69" s="14">
        <f t="shared" si="26"/>
        <v>13.550587618564743</v>
      </c>
      <c r="F69" s="14">
        <f t="shared" si="26"/>
        <v>13.036950776845103</v>
      </c>
      <c r="G69" s="14">
        <f t="shared" si="26"/>
        <v>12.541654016622303</v>
      </c>
      <c r="H69" s="14">
        <f t="shared" si="26"/>
        <v>12.064595445953662</v>
      </c>
      <c r="I69" s="14">
        <f t="shared" si="26"/>
        <v>13.605150942800178</v>
      </c>
      <c r="J69" s="14">
        <f t="shared" si="26"/>
        <v>15.077783506870695</v>
      </c>
      <c r="K69" s="14">
        <f t="shared" si="26"/>
        <v>16.489027609216578</v>
      </c>
      <c r="L69" s="14">
        <f t="shared" si="26"/>
        <v>17.843964778059782</v>
      </c>
    </row>
    <row r="70" spans="1:21" x14ac:dyDescent="0.35">
      <c r="A70" t="str">
        <f t="shared" ref="A70:A74" si="27">IF(A7="","","    "&amp;A7)</f>
        <v xml:space="preserve">    Lower Basin</v>
      </c>
      <c r="C70" s="14">
        <f t="shared" ref="C70:L74" si="28">IF(OR(C$25="",$A70=""),"",C29+C47+C54-C39-C61)</f>
        <v>16.575845186350726</v>
      </c>
      <c r="D70" s="14">
        <f t="shared" si="28"/>
        <v>16.19513156749079</v>
      </c>
      <c r="E70" s="14">
        <f t="shared" si="28"/>
        <v>15.825758467435284</v>
      </c>
      <c r="F70" s="14">
        <f t="shared" si="28"/>
        <v>15.546878750154894</v>
      </c>
      <c r="G70" s="14">
        <f t="shared" si="28"/>
        <v>15.274388146376525</v>
      </c>
      <c r="H70" s="14">
        <f t="shared" si="28"/>
        <v>15.008394548044595</v>
      </c>
      <c r="I70" s="14">
        <f t="shared" si="28"/>
        <v>14.748478071198679</v>
      </c>
      <c r="J70" s="14">
        <f t="shared" si="28"/>
        <v>14.515478701627588</v>
      </c>
      <c r="K70" s="14">
        <f t="shared" si="28"/>
        <v>14.305841001281136</v>
      </c>
      <c r="L70" s="14">
        <f t="shared" si="28"/>
        <v>14.137385441937935</v>
      </c>
    </row>
    <row r="71" spans="1:21" x14ac:dyDescent="0.35">
      <c r="A71" t="str">
        <f t="shared" si="27"/>
        <v xml:space="preserve">    Mexico</v>
      </c>
      <c r="C71" s="60">
        <f t="shared" si="28"/>
        <v>1.47</v>
      </c>
      <c r="D71" s="14">
        <f t="shared" si="28"/>
        <v>1.47</v>
      </c>
      <c r="E71" s="14">
        <f t="shared" si="28"/>
        <v>1.468</v>
      </c>
      <c r="F71" s="14">
        <f t="shared" si="28"/>
        <v>1.468</v>
      </c>
      <c r="G71" s="14">
        <f t="shared" si="28"/>
        <v>1.468</v>
      </c>
      <c r="H71" s="14">
        <f t="shared" si="28"/>
        <v>1.468</v>
      </c>
      <c r="I71" s="14">
        <f t="shared" si="28"/>
        <v>1.468</v>
      </c>
      <c r="J71" s="14">
        <f t="shared" si="28"/>
        <v>1.468</v>
      </c>
      <c r="K71" s="14">
        <f t="shared" si="28"/>
        <v>1.468</v>
      </c>
      <c r="L71" s="14">
        <f t="shared" si="28"/>
        <v>1.4470000000000001</v>
      </c>
    </row>
    <row r="72" spans="1:21" x14ac:dyDescent="0.35">
      <c r="A72" t="str">
        <f t="shared" si="27"/>
        <v xml:space="preserve">    Mohave &amp; Havasu Evap &amp; ET</v>
      </c>
      <c r="C72" s="14">
        <f t="shared" si="28"/>
        <v>0.6</v>
      </c>
      <c r="D72" s="14">
        <f t="shared" si="28"/>
        <v>0.6</v>
      </c>
      <c r="E72" s="14">
        <f t="shared" si="28"/>
        <v>0.6</v>
      </c>
      <c r="F72" s="14">
        <f t="shared" si="28"/>
        <v>0.6</v>
      </c>
      <c r="G72" s="14">
        <f t="shared" si="28"/>
        <v>0.6</v>
      </c>
      <c r="H72" s="14">
        <f t="shared" si="28"/>
        <v>0.6</v>
      </c>
      <c r="I72" s="14">
        <f t="shared" si="28"/>
        <v>0.6</v>
      </c>
      <c r="J72" s="14">
        <f t="shared" si="28"/>
        <v>0.6</v>
      </c>
      <c r="K72" s="14">
        <f t="shared" si="28"/>
        <v>0.6</v>
      </c>
      <c r="L72" s="14">
        <f t="shared" si="28"/>
        <v>0.6</v>
      </c>
    </row>
    <row r="73" spans="1:21" x14ac:dyDescent="0.35">
      <c r="A73" t="str">
        <f t="shared" si="27"/>
        <v/>
      </c>
      <c r="C73" s="60" t="str">
        <f t="shared" si="28"/>
        <v/>
      </c>
      <c r="D73" s="60" t="str">
        <f t="shared" si="28"/>
        <v/>
      </c>
      <c r="E73" s="60" t="str">
        <f t="shared" si="28"/>
        <v/>
      </c>
      <c r="F73" s="60" t="str">
        <f t="shared" si="28"/>
        <v/>
      </c>
      <c r="G73" s="60" t="str">
        <f t="shared" si="28"/>
        <v/>
      </c>
      <c r="H73" s="60" t="str">
        <f t="shared" si="28"/>
        <v/>
      </c>
      <c r="I73" s="60" t="str">
        <f t="shared" si="28"/>
        <v/>
      </c>
      <c r="J73" s="60" t="str">
        <f t="shared" si="28"/>
        <v/>
      </c>
      <c r="K73" s="60" t="str">
        <f t="shared" si="28"/>
        <v/>
      </c>
      <c r="L73" s="60" t="str">
        <f t="shared" si="28"/>
        <v/>
      </c>
    </row>
    <row r="74" spans="1:21" x14ac:dyDescent="0.35">
      <c r="A74" t="str">
        <f t="shared" si="27"/>
        <v/>
      </c>
      <c r="C74" s="14" t="str">
        <f t="shared" si="28"/>
        <v/>
      </c>
      <c r="D74" s="14" t="str">
        <f t="shared" si="28"/>
        <v/>
      </c>
      <c r="E74" s="14" t="str">
        <f t="shared" si="28"/>
        <v/>
      </c>
      <c r="F74" s="14" t="str">
        <f t="shared" si="28"/>
        <v/>
      </c>
      <c r="G74" s="14" t="str">
        <f t="shared" si="28"/>
        <v/>
      </c>
      <c r="H74" s="14" t="str">
        <f t="shared" si="28"/>
        <v/>
      </c>
      <c r="I74" s="14" t="str">
        <f t="shared" si="28"/>
        <v/>
      </c>
      <c r="J74" s="14" t="str">
        <f t="shared" si="28"/>
        <v/>
      </c>
      <c r="K74" s="14" t="str">
        <f t="shared" si="28"/>
        <v/>
      </c>
      <c r="L74" s="14" t="str">
        <f t="shared" si="28"/>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L76" si="29">IF(D69&gt;6.1+4.2,4.2,MAX(D69-6.1,0))</f>
        <v>4.2</v>
      </c>
      <c r="E76" s="43">
        <f t="shared" si="29"/>
        <v>4.2</v>
      </c>
      <c r="F76" s="43">
        <f t="shared" si="29"/>
        <v>4.2</v>
      </c>
      <c r="G76" s="43">
        <f t="shared" si="29"/>
        <v>4.2</v>
      </c>
      <c r="H76" s="43">
        <f t="shared" si="29"/>
        <v>4.2</v>
      </c>
      <c r="I76" s="43">
        <f t="shared" si="29"/>
        <v>4.2</v>
      </c>
      <c r="J76" s="43">
        <f t="shared" si="29"/>
        <v>4.2</v>
      </c>
      <c r="K76" s="43">
        <f t="shared" si="29"/>
        <v>4.2</v>
      </c>
      <c r="L76" s="43">
        <f t="shared" si="29"/>
        <v>4.2</v>
      </c>
      <c r="N76" s="1" t="s">
        <v>129</v>
      </c>
    </row>
    <row r="77" spans="1:21" x14ac:dyDescent="0.35">
      <c r="A77" t="str">
        <f>IF(A7="","","    "&amp;A7&amp;" - Release from Mead")</f>
        <v xml:space="preserve">    Lower Basin - Release from Mead</v>
      </c>
      <c r="C77" s="43">
        <f>7.5-IF(C$29&lt;$O$78,$P$78,IF(C$29&lt;=$O$85,VLOOKUP(C$29,$O$78:$P$85,2),0))</f>
        <v>6.867</v>
      </c>
      <c r="D77" s="43">
        <f t="shared" ref="D77:L77" si="30">7.5-IF(D$29&lt;$O$78,$P$78,IF(D$29&lt;=$O$85,VLOOKUP(D$29,$O$78:$P$85,2),0))</f>
        <v>6.867</v>
      </c>
      <c r="E77" s="43">
        <f t="shared" si="30"/>
        <v>6.7830000000000004</v>
      </c>
      <c r="F77" s="43">
        <f t="shared" si="30"/>
        <v>6.7830000000000004</v>
      </c>
      <c r="G77" s="43">
        <f t="shared" si="30"/>
        <v>6.7830000000000004</v>
      </c>
      <c r="H77" s="43">
        <f t="shared" si="30"/>
        <v>6.7830000000000004</v>
      </c>
      <c r="I77" s="43">
        <f t="shared" si="30"/>
        <v>6.7830000000000004</v>
      </c>
      <c r="J77" s="43">
        <f t="shared" si="30"/>
        <v>6.7830000000000004</v>
      </c>
      <c r="K77" s="43">
        <f t="shared" si="30"/>
        <v>6.7830000000000004</v>
      </c>
      <c r="L77" s="43">
        <f t="shared" si="30"/>
        <v>6.5330000000000004</v>
      </c>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 t="shared" ref="C78:L78" si="32">C71</f>
        <v>1.47</v>
      </c>
      <c r="D78" s="50">
        <f t="shared" si="32"/>
        <v>1.47</v>
      </c>
      <c r="E78" s="50">
        <f t="shared" si="32"/>
        <v>1.468</v>
      </c>
      <c r="F78" s="50">
        <f t="shared" si="32"/>
        <v>1.468</v>
      </c>
      <c r="G78" s="50">
        <f t="shared" si="32"/>
        <v>1.468</v>
      </c>
      <c r="H78" s="50">
        <f t="shared" si="32"/>
        <v>1.468</v>
      </c>
      <c r="I78" s="50">
        <f t="shared" si="32"/>
        <v>1.468</v>
      </c>
      <c r="J78" s="50">
        <f t="shared" si="32"/>
        <v>1.468</v>
      </c>
      <c r="K78" s="50">
        <f t="shared" si="32"/>
        <v>1.468</v>
      </c>
      <c r="L78" s="50">
        <f t="shared" si="32"/>
        <v>1.4470000000000001</v>
      </c>
      <c r="N78" s="39">
        <v>1025</v>
      </c>
      <c r="O78" s="40">
        <v>5.981122</v>
      </c>
      <c r="P78" s="41">
        <f>S78-Q78</f>
        <v>1.2000000000000002</v>
      </c>
      <c r="Q78" s="49">
        <v>0.15</v>
      </c>
      <c r="R78" s="41">
        <v>1.325</v>
      </c>
      <c r="S78" s="41">
        <f t="shared" ref="S78:S85" si="33">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v>0.6</v>
      </c>
      <c r="I79" s="43">
        <v>0.6</v>
      </c>
      <c r="J79" s="43">
        <v>0.6</v>
      </c>
      <c r="K79" s="43">
        <v>0.6</v>
      </c>
      <c r="L79" s="43">
        <v>0.6</v>
      </c>
      <c r="N79" s="39">
        <v>1030</v>
      </c>
      <c r="O79" s="40">
        <v>6.305377</v>
      </c>
      <c r="P79" s="41">
        <f t="shared" ref="P79:P85" si="34">S79-Q79</f>
        <v>1.117</v>
      </c>
      <c r="Q79" s="49">
        <v>0.10100000000000001</v>
      </c>
      <c r="R79" s="41">
        <v>1.1870000000000001</v>
      </c>
      <c r="S79" s="41">
        <f t="shared" si="33"/>
        <v>1.218</v>
      </c>
      <c r="T79" s="42">
        <v>7.0000000000000007E-2</v>
      </c>
      <c r="U79" s="52">
        <v>1218000</v>
      </c>
    </row>
    <row r="80" spans="1:21" x14ac:dyDescent="0.35">
      <c r="A80" t="str">
        <f t="shared" si="31"/>
        <v/>
      </c>
      <c r="C80" s="68"/>
      <c r="D80" s="68"/>
      <c r="E80" s="50" t="str">
        <f>E73</f>
        <v/>
      </c>
      <c r="F80" s="50"/>
      <c r="G80" s="50"/>
      <c r="H80" s="50" t="str">
        <f>H73</f>
        <v/>
      </c>
      <c r="I80" s="50"/>
      <c r="J80" s="50"/>
      <c r="K80" s="50" t="str">
        <f>K73</f>
        <v/>
      </c>
      <c r="L80" s="50"/>
      <c r="N80" s="39">
        <v>1035</v>
      </c>
      <c r="O80" s="40">
        <v>6.6375080000000004</v>
      </c>
      <c r="P80" s="41">
        <f t="shared" si="34"/>
        <v>1.0669999999999999</v>
      </c>
      <c r="Q80" s="49">
        <v>9.1999999999999998E-2</v>
      </c>
      <c r="R80" s="41">
        <v>1.137</v>
      </c>
      <c r="S80" s="41">
        <f t="shared" si="33"/>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4"/>
        <v>1.0169999999999999</v>
      </c>
      <c r="Q81" s="49">
        <v>8.4000000000000005E-2</v>
      </c>
      <c r="R81" s="41">
        <v>1.087</v>
      </c>
      <c r="S81" s="41">
        <f t="shared" si="33"/>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4"/>
        <v>0.96699999999999997</v>
      </c>
      <c r="Q82" s="49">
        <v>7.5999999999999998E-2</v>
      </c>
      <c r="R82" s="41">
        <v>1.0369999999999999</v>
      </c>
      <c r="S82" s="41">
        <f t="shared" si="33"/>
        <v>1.0429999999999999</v>
      </c>
      <c r="T82" s="42">
        <v>7.0000000000000007E-2</v>
      </c>
      <c r="U82" s="52">
        <v>1043000</v>
      </c>
    </row>
    <row r="83" spans="1:21" x14ac:dyDescent="0.35">
      <c r="A83" t="str">
        <f>IF(A6="","","    "&amp;A6)</f>
        <v xml:space="preserve">    Upper Basin</v>
      </c>
      <c r="C83" s="14">
        <f>IF(OR(C$25="",$A83=""),"",C69-C76)</f>
        <v>10.432257133649305</v>
      </c>
      <c r="D83" s="14">
        <f t="shared" ref="D83:L83" si="35">IF(OR(D$25="",$A83=""),"",D69-D76)</f>
        <v>9.8828742725086656</v>
      </c>
      <c r="E83" s="14">
        <f t="shared" si="35"/>
        <v>9.3505876185647416</v>
      </c>
      <c r="F83" s="14">
        <f t="shared" si="35"/>
        <v>8.8369507768451037</v>
      </c>
      <c r="G83" s="14">
        <f t="shared" si="35"/>
        <v>8.3416540166223037</v>
      </c>
      <c r="H83" s="14">
        <f t="shared" si="35"/>
        <v>7.864595445953662</v>
      </c>
      <c r="I83" s="14">
        <f t="shared" si="35"/>
        <v>9.4051509428001765</v>
      </c>
      <c r="J83" s="14">
        <f t="shared" si="35"/>
        <v>10.877783506870696</v>
      </c>
      <c r="K83" s="14">
        <f t="shared" si="35"/>
        <v>12.289027609216578</v>
      </c>
      <c r="L83" s="14">
        <f t="shared" si="35"/>
        <v>13.643964778059782</v>
      </c>
      <c r="N83" s="39">
        <v>1050</v>
      </c>
      <c r="O83" s="40">
        <v>7.6828779999999997</v>
      </c>
      <c r="P83" s="41">
        <f t="shared" si="34"/>
        <v>0.71699999999999997</v>
      </c>
      <c r="Q83" s="49">
        <v>3.4000000000000002E-2</v>
      </c>
      <c r="R83" s="41">
        <v>0.78700000000000003</v>
      </c>
      <c r="S83" s="41">
        <f t="shared" si="33"/>
        <v>0.751</v>
      </c>
      <c r="T83" s="42">
        <v>7.0000000000000007E-2</v>
      </c>
      <c r="U83" s="52">
        <v>751000</v>
      </c>
    </row>
    <row r="84" spans="1:21" x14ac:dyDescent="0.35">
      <c r="A84" t="str">
        <f t="shared" ref="A84:A88" si="36">IF(A7="","","    "&amp;A7)</f>
        <v xml:space="preserve">    Lower Basin</v>
      </c>
      <c r="C84" s="14">
        <f t="shared" ref="C84:L88" si="37">IF(OR(C$25="",$A84=""),"",C70-C77)</f>
        <v>9.7088451863507252</v>
      </c>
      <c r="D84" s="14">
        <f t="shared" si="37"/>
        <v>9.3281315674907894</v>
      </c>
      <c r="E84" s="14">
        <f t="shared" si="37"/>
        <v>9.0427584674352843</v>
      </c>
      <c r="F84" s="14">
        <f t="shared" si="37"/>
        <v>8.7638787501548947</v>
      </c>
      <c r="G84" s="14">
        <f t="shared" si="37"/>
        <v>8.4913881463765257</v>
      </c>
      <c r="H84" s="14">
        <f t="shared" si="37"/>
        <v>8.2253945480445942</v>
      </c>
      <c r="I84" s="14">
        <f t="shared" si="37"/>
        <v>7.965478071198679</v>
      </c>
      <c r="J84" s="14">
        <f t="shared" si="37"/>
        <v>7.7324787016275875</v>
      </c>
      <c r="K84" s="14">
        <f t="shared" si="37"/>
        <v>7.5228410012811358</v>
      </c>
      <c r="L84" s="14">
        <f t="shared" si="37"/>
        <v>7.6043854419379349</v>
      </c>
      <c r="N84" s="39">
        <v>1075</v>
      </c>
      <c r="O84" s="40">
        <v>9.6009879999900001</v>
      </c>
      <c r="P84" s="41">
        <f t="shared" si="34"/>
        <v>0.63300000000000001</v>
      </c>
      <c r="Q84" s="49">
        <v>0.03</v>
      </c>
      <c r="R84" s="41">
        <v>0.68300000000000005</v>
      </c>
      <c r="S84" s="41">
        <f t="shared" si="33"/>
        <v>0.66300000000000003</v>
      </c>
      <c r="T84" s="42">
        <v>0.05</v>
      </c>
      <c r="U84" s="52">
        <v>663000</v>
      </c>
    </row>
    <row r="85" spans="1:21" x14ac:dyDescent="0.35">
      <c r="A85" t="str">
        <f t="shared" si="36"/>
        <v xml:space="preserve">    Mexico</v>
      </c>
      <c r="C85" s="14">
        <f t="shared" si="37"/>
        <v>0</v>
      </c>
      <c r="D85" s="14">
        <f t="shared" si="37"/>
        <v>0</v>
      </c>
      <c r="E85" s="14">
        <f t="shared" si="37"/>
        <v>0</v>
      </c>
      <c r="F85" s="14">
        <f t="shared" si="37"/>
        <v>0</v>
      </c>
      <c r="G85" s="14">
        <f t="shared" si="37"/>
        <v>0</v>
      </c>
      <c r="H85" s="14">
        <f t="shared" si="37"/>
        <v>0</v>
      </c>
      <c r="I85" s="14">
        <f t="shared" si="37"/>
        <v>0</v>
      </c>
      <c r="J85" s="14">
        <f t="shared" si="37"/>
        <v>0</v>
      </c>
      <c r="K85" s="14">
        <f t="shared" si="37"/>
        <v>0</v>
      </c>
      <c r="L85" s="14">
        <f t="shared" si="37"/>
        <v>0</v>
      </c>
      <c r="N85" s="39">
        <v>1090</v>
      </c>
      <c r="O85" s="40">
        <v>10.857008</v>
      </c>
      <c r="P85" s="41">
        <f t="shared" si="34"/>
        <v>0.30000000000000004</v>
      </c>
      <c r="Q85" s="49">
        <v>4.1000000000000002E-2</v>
      </c>
      <c r="R85" s="41">
        <v>0.3</v>
      </c>
      <c r="S85" s="41">
        <f t="shared" si="33"/>
        <v>0.34100000000000003</v>
      </c>
      <c r="T85" s="38"/>
      <c r="U85" s="52">
        <v>341000</v>
      </c>
    </row>
    <row r="86" spans="1:21" x14ac:dyDescent="0.35">
      <c r="A86" t="str">
        <f t="shared" si="36"/>
        <v xml:space="preserve">    Mohave &amp; Havasu Evap &amp; ET</v>
      </c>
      <c r="C86" s="14">
        <f t="shared" si="37"/>
        <v>0</v>
      </c>
      <c r="D86" s="14">
        <f t="shared" si="37"/>
        <v>0</v>
      </c>
      <c r="E86" s="14">
        <f t="shared" si="37"/>
        <v>0</v>
      </c>
      <c r="F86" s="14">
        <f t="shared" si="37"/>
        <v>0</v>
      </c>
      <c r="G86" s="14">
        <f t="shared" si="37"/>
        <v>0</v>
      </c>
      <c r="H86" s="14">
        <f t="shared" si="37"/>
        <v>0</v>
      </c>
      <c r="I86" s="14">
        <f t="shared" si="37"/>
        <v>0</v>
      </c>
      <c r="J86" s="14">
        <f t="shared" si="37"/>
        <v>0</v>
      </c>
      <c r="K86" s="14">
        <f t="shared" si="37"/>
        <v>0</v>
      </c>
      <c r="L86" s="14">
        <f t="shared" si="37"/>
        <v>0</v>
      </c>
    </row>
    <row r="87" spans="1:21" x14ac:dyDescent="0.35">
      <c r="A87" t="str">
        <f t="shared" si="36"/>
        <v/>
      </c>
      <c r="C87" s="59" t="str">
        <f>IF(OR(C$25="",$A87=""),"",C73-C80)</f>
        <v/>
      </c>
      <c r="D87" s="59" t="str">
        <f t="shared" si="37"/>
        <v/>
      </c>
      <c r="E87" s="59" t="str">
        <f t="shared" si="37"/>
        <v/>
      </c>
      <c r="F87" s="59" t="str">
        <f t="shared" si="37"/>
        <v/>
      </c>
      <c r="G87" s="59" t="str">
        <f t="shared" si="37"/>
        <v/>
      </c>
      <c r="H87" s="59" t="str">
        <f t="shared" si="37"/>
        <v/>
      </c>
      <c r="I87" s="59" t="str">
        <f t="shared" si="37"/>
        <v/>
      </c>
      <c r="J87" s="59" t="str">
        <f t="shared" si="37"/>
        <v/>
      </c>
      <c r="K87" s="59" t="str">
        <f t="shared" si="37"/>
        <v/>
      </c>
      <c r="L87" s="59" t="str">
        <f t="shared" si="37"/>
        <v/>
      </c>
    </row>
    <row r="88" spans="1:21" x14ac:dyDescent="0.35">
      <c r="A88" t="str">
        <f t="shared" si="36"/>
        <v/>
      </c>
      <c r="C88" s="14" t="str">
        <f t="shared" si="37"/>
        <v/>
      </c>
      <c r="D88" s="14" t="str">
        <f t="shared" si="37"/>
        <v/>
      </c>
      <c r="E88" s="14" t="str">
        <f t="shared" si="37"/>
        <v/>
      </c>
      <c r="F88" s="14" t="str">
        <f t="shared" si="37"/>
        <v/>
      </c>
      <c r="G88" s="14" t="str">
        <f t="shared" si="37"/>
        <v/>
      </c>
      <c r="H88" s="14" t="str">
        <f t="shared" si="37"/>
        <v/>
      </c>
      <c r="I88" s="14" t="str">
        <f t="shared" si="37"/>
        <v/>
      </c>
      <c r="J88" s="14" t="str">
        <f t="shared" si="37"/>
        <v/>
      </c>
      <c r="K88" s="14" t="str">
        <f t="shared" si="37"/>
        <v/>
      </c>
      <c r="L88" s="14" t="str">
        <f t="shared" si="37"/>
        <v/>
      </c>
    </row>
    <row r="89" spans="1:21" x14ac:dyDescent="0.35">
      <c r="A89" s="1" t="s">
        <v>125</v>
      </c>
      <c r="B89" s="1"/>
      <c r="C89" s="14">
        <f>IF(C$25&lt;&gt;"",SUM(C83:C88),"")</f>
        <v>20.14110232000003</v>
      </c>
      <c r="D89" s="14">
        <f t="shared" ref="D89:L89" si="38">IF(D$25&lt;&gt;"",SUM(D83:D88),"")</f>
        <v>19.211005839999455</v>
      </c>
      <c r="E89" s="14">
        <f t="shared" si="38"/>
        <v>18.393346086000026</v>
      </c>
      <c r="F89" s="14">
        <f t="shared" si="38"/>
        <v>17.600829526999998</v>
      </c>
      <c r="G89" s="14">
        <f t="shared" si="38"/>
        <v>16.833042162998829</v>
      </c>
      <c r="H89" s="14">
        <f t="shared" si="38"/>
        <v>16.089989993998255</v>
      </c>
      <c r="I89" s="14">
        <f t="shared" si="38"/>
        <v>17.370629013998855</v>
      </c>
      <c r="J89" s="14">
        <f t="shared" si="38"/>
        <v>18.610262208498284</v>
      </c>
      <c r="K89" s="14">
        <f t="shared" si="38"/>
        <v>19.811868610497715</v>
      </c>
      <c r="L89" s="14">
        <f t="shared" si="38"/>
        <v>21.248350219997718</v>
      </c>
    </row>
    <row r="90" spans="1:21" x14ac:dyDescent="0.35">
      <c r="A90" s="1" t="s">
        <v>147</v>
      </c>
      <c r="B90" s="1"/>
      <c r="C90" s="14">
        <f>IF(C25&lt;&gt;"",C35+C25-C38-C76-C89*$B$35,"")</f>
        <v>8.5967059736492857</v>
      </c>
      <c r="D90" s="14">
        <f t="shared" ref="D90:L90" si="39">IF(D25&lt;&gt;"",D35+D25-D38-D76-D89*$B$35,"")</f>
        <v>8.1506653788596477</v>
      </c>
      <c r="E90" s="14">
        <f t="shared" si="39"/>
        <v>8.1115432230557918</v>
      </c>
      <c r="F90" s="14">
        <f t="shared" si="39"/>
        <v>8.117621437780377</v>
      </c>
      <c r="G90" s="14">
        <f t="shared" si="39"/>
        <v>8.1235969217777821</v>
      </c>
      <c r="H90" s="14">
        <f t="shared" si="39"/>
        <v>8.1294675138316475</v>
      </c>
      <c r="I90" s="14">
        <f t="shared" si="39"/>
        <v>9.135235986846217</v>
      </c>
      <c r="J90" s="14">
        <f t="shared" si="39"/>
        <v>9.0878159668208021</v>
      </c>
      <c r="K90" s="14">
        <f t="shared" si="39"/>
        <v>9.0454409013461632</v>
      </c>
      <c r="L90" s="14">
        <f t="shared" si="39"/>
        <v>8.8716963640932001</v>
      </c>
    </row>
    <row r="92" spans="1:21" x14ac:dyDescent="0.35">
      <c r="A92" s="1" t="s">
        <v>127</v>
      </c>
      <c r="C92" s="12">
        <f>IF(C$25&lt;&gt;"",0.2,"")</f>
        <v>0.2</v>
      </c>
      <c r="D92" s="12">
        <f t="shared" ref="D92:L92" si="40">IF(D$25&lt;&gt;"",0.2,"")</f>
        <v>0.2</v>
      </c>
      <c r="E92" s="12">
        <f t="shared" si="40"/>
        <v>0.2</v>
      </c>
      <c r="F92" s="12">
        <f t="shared" si="40"/>
        <v>0.2</v>
      </c>
      <c r="G92" s="12">
        <f t="shared" si="40"/>
        <v>0.2</v>
      </c>
      <c r="H92" s="12">
        <f t="shared" si="40"/>
        <v>0.2</v>
      </c>
      <c r="I92" s="12">
        <f t="shared" si="40"/>
        <v>0.2</v>
      </c>
      <c r="J92" s="12">
        <f t="shared" si="40"/>
        <v>0.2</v>
      </c>
      <c r="K92" s="12">
        <f t="shared" si="40"/>
        <v>0.2</v>
      </c>
      <c r="L92" s="12">
        <f t="shared" si="40"/>
        <v>0.2</v>
      </c>
    </row>
    <row r="93" spans="1:21" x14ac:dyDescent="0.35">
      <c r="A93" t="s">
        <v>128</v>
      </c>
      <c r="C93" s="14">
        <f t="shared" ref="C93:L93" si="41">IF(C$25&lt;&gt;"",C77+C92,"")</f>
        <v>7.0670000000000002</v>
      </c>
      <c r="D93" s="14">
        <f t="shared" si="41"/>
        <v>7.0670000000000002</v>
      </c>
      <c r="E93" s="14">
        <f t="shared" si="41"/>
        <v>6.9830000000000005</v>
      </c>
      <c r="F93" s="14">
        <f t="shared" si="41"/>
        <v>6.9830000000000005</v>
      </c>
      <c r="G93" s="14">
        <f t="shared" si="41"/>
        <v>6.9830000000000005</v>
      </c>
      <c r="H93" s="14">
        <f t="shared" si="41"/>
        <v>6.9830000000000005</v>
      </c>
      <c r="I93" s="14">
        <f t="shared" si="41"/>
        <v>6.9830000000000005</v>
      </c>
      <c r="J93" s="14">
        <f t="shared" si="41"/>
        <v>6.9830000000000005</v>
      </c>
      <c r="K93" s="14">
        <f t="shared" si="41"/>
        <v>6.9830000000000005</v>
      </c>
      <c r="L93" s="14">
        <f t="shared" si="41"/>
        <v>6.7330000000000005</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142" priority="60" operator="greaterThan">
      <formula>$C$69</formula>
    </cfRule>
  </conditionalFormatting>
  <conditionalFormatting sqref="C77">
    <cfRule type="cellIs" dxfId="141" priority="59" operator="greaterThan">
      <formula>$C$70</formula>
    </cfRule>
  </conditionalFormatting>
  <conditionalFormatting sqref="C78">
    <cfRule type="cellIs" dxfId="140" priority="58" operator="greaterThan">
      <formula>$C$71</formula>
    </cfRule>
  </conditionalFormatting>
  <conditionalFormatting sqref="C79">
    <cfRule type="cellIs" dxfId="139" priority="57" operator="greaterThan">
      <formula>$C$72</formula>
    </cfRule>
  </conditionalFormatting>
  <conditionalFormatting sqref="C80">
    <cfRule type="cellIs" dxfId="138" priority="56" operator="greaterThan">
      <formula>$C$73</formula>
    </cfRule>
  </conditionalFormatting>
  <conditionalFormatting sqref="C81">
    <cfRule type="cellIs" dxfId="137" priority="55" operator="greaterThan">
      <formula>$C$74</formula>
    </cfRule>
  </conditionalFormatting>
  <conditionalFormatting sqref="D76">
    <cfRule type="cellIs" dxfId="136" priority="54" operator="greaterThan">
      <formula>$D$69</formula>
    </cfRule>
  </conditionalFormatting>
  <conditionalFormatting sqref="D77">
    <cfRule type="cellIs" dxfId="135" priority="53" operator="greaterThan">
      <formula>$D$70</formula>
    </cfRule>
  </conditionalFormatting>
  <conditionalFormatting sqref="D78">
    <cfRule type="cellIs" dxfId="134" priority="52" operator="greaterThan">
      <formula>$D$71</formula>
    </cfRule>
  </conditionalFormatting>
  <conditionalFormatting sqref="D79">
    <cfRule type="cellIs" dxfId="133" priority="51" operator="greaterThan">
      <formula>$D$72</formula>
    </cfRule>
  </conditionalFormatting>
  <conditionalFormatting sqref="D80">
    <cfRule type="cellIs" dxfId="132" priority="50" operator="greaterThan">
      <formula>$D$73</formula>
    </cfRule>
  </conditionalFormatting>
  <conditionalFormatting sqref="D81">
    <cfRule type="cellIs" dxfId="131" priority="49" operator="greaterThan">
      <formula>$D$74</formula>
    </cfRule>
  </conditionalFormatting>
  <conditionalFormatting sqref="E76">
    <cfRule type="cellIs" dxfId="130" priority="48" operator="greaterThan">
      <formula>$E$69</formula>
    </cfRule>
  </conditionalFormatting>
  <conditionalFormatting sqref="E77">
    <cfRule type="cellIs" dxfId="129" priority="47" operator="greaterThan">
      <formula>$E$70</formula>
    </cfRule>
  </conditionalFormatting>
  <conditionalFormatting sqref="E78">
    <cfRule type="cellIs" dxfId="128" priority="46" operator="greaterThan">
      <formula>$E$71</formula>
    </cfRule>
  </conditionalFormatting>
  <conditionalFormatting sqref="E79">
    <cfRule type="cellIs" dxfId="127" priority="45" operator="greaterThan">
      <formula>$E$72</formula>
    </cfRule>
  </conditionalFormatting>
  <conditionalFormatting sqref="E80">
    <cfRule type="cellIs" dxfId="126" priority="44" operator="greaterThan">
      <formula>$E$73</formula>
    </cfRule>
  </conditionalFormatting>
  <conditionalFormatting sqref="E81">
    <cfRule type="cellIs" dxfId="125" priority="43" operator="greaterThan">
      <formula>$E$74</formula>
    </cfRule>
  </conditionalFormatting>
  <conditionalFormatting sqref="F76">
    <cfRule type="cellIs" dxfId="124" priority="42" operator="greaterThan">
      <formula>$F$69</formula>
    </cfRule>
  </conditionalFormatting>
  <conditionalFormatting sqref="F77">
    <cfRule type="cellIs" dxfId="123" priority="41" operator="greaterThan">
      <formula>$F$70</formula>
    </cfRule>
  </conditionalFormatting>
  <conditionalFormatting sqref="F78">
    <cfRule type="cellIs" dxfId="122" priority="40" operator="greaterThan">
      <formula>$F$71</formula>
    </cfRule>
  </conditionalFormatting>
  <conditionalFormatting sqref="F79">
    <cfRule type="cellIs" dxfId="121" priority="39" operator="greaterThan">
      <formula>$F$72</formula>
    </cfRule>
  </conditionalFormatting>
  <conditionalFormatting sqref="F80">
    <cfRule type="cellIs" dxfId="120" priority="38" operator="greaterThan">
      <formula>$F$73</formula>
    </cfRule>
  </conditionalFormatting>
  <conditionalFormatting sqref="F81">
    <cfRule type="cellIs" dxfId="119" priority="37" operator="greaterThan">
      <formula>$F$74</formula>
    </cfRule>
  </conditionalFormatting>
  <conditionalFormatting sqref="G76">
    <cfRule type="cellIs" dxfId="118" priority="36" operator="greaterThan">
      <formula>$G$69</formula>
    </cfRule>
  </conditionalFormatting>
  <conditionalFormatting sqref="G77">
    <cfRule type="cellIs" dxfId="117" priority="35" operator="greaterThan">
      <formula>$G$70</formula>
    </cfRule>
  </conditionalFormatting>
  <conditionalFormatting sqref="G78">
    <cfRule type="cellIs" dxfId="116" priority="34" operator="greaterThan">
      <formula>$G$71</formula>
    </cfRule>
  </conditionalFormatting>
  <conditionalFormatting sqref="G79">
    <cfRule type="cellIs" dxfId="115" priority="33" operator="greaterThan">
      <formula>$G$72</formula>
    </cfRule>
  </conditionalFormatting>
  <conditionalFormatting sqref="G80">
    <cfRule type="cellIs" dxfId="114" priority="32" operator="greaterThan">
      <formula>$G$73</formula>
    </cfRule>
  </conditionalFormatting>
  <conditionalFormatting sqref="G81">
    <cfRule type="cellIs" dxfId="113" priority="31" operator="greaterThan">
      <formula>$G$74</formula>
    </cfRule>
  </conditionalFormatting>
  <conditionalFormatting sqref="H76">
    <cfRule type="cellIs" dxfId="112" priority="30" operator="greaterThan">
      <formula>$H$69</formula>
    </cfRule>
  </conditionalFormatting>
  <conditionalFormatting sqref="H77">
    <cfRule type="cellIs" dxfId="111" priority="29" operator="greaterThan">
      <formula>$H$70</formula>
    </cfRule>
  </conditionalFormatting>
  <conditionalFormatting sqref="H78">
    <cfRule type="cellIs" dxfId="110" priority="28" operator="greaterThan">
      <formula>$H$71</formula>
    </cfRule>
  </conditionalFormatting>
  <conditionalFormatting sqref="H79">
    <cfRule type="cellIs" dxfId="109" priority="27" operator="greaterThan">
      <formula>$H$72</formula>
    </cfRule>
  </conditionalFormatting>
  <conditionalFormatting sqref="H80">
    <cfRule type="cellIs" dxfId="108" priority="26" operator="greaterThan">
      <formula>$H$73</formula>
    </cfRule>
  </conditionalFormatting>
  <conditionalFormatting sqref="H81">
    <cfRule type="cellIs" dxfId="107" priority="25" operator="greaterThan">
      <formula>$H$74</formula>
    </cfRule>
  </conditionalFormatting>
  <conditionalFormatting sqref="I76">
    <cfRule type="cellIs" dxfId="106" priority="24" operator="greaterThan">
      <formula>$I$69</formula>
    </cfRule>
  </conditionalFormatting>
  <conditionalFormatting sqref="I77">
    <cfRule type="cellIs" dxfId="105" priority="23" operator="greaterThan">
      <formula>$I$70</formula>
    </cfRule>
  </conditionalFormatting>
  <conditionalFormatting sqref="I78">
    <cfRule type="cellIs" dxfId="104" priority="22" operator="greaterThan">
      <formula>$I$71</formula>
    </cfRule>
  </conditionalFormatting>
  <conditionalFormatting sqref="I79">
    <cfRule type="cellIs" dxfId="103" priority="21" operator="greaterThan">
      <formula>$I$72</formula>
    </cfRule>
  </conditionalFormatting>
  <conditionalFormatting sqref="I80">
    <cfRule type="cellIs" dxfId="102" priority="20" operator="greaterThan">
      <formula>$I$73</formula>
    </cfRule>
  </conditionalFormatting>
  <conditionalFormatting sqref="I81">
    <cfRule type="cellIs" dxfId="101" priority="19" operator="greaterThan">
      <formula>$I$74</formula>
    </cfRule>
  </conditionalFormatting>
  <conditionalFormatting sqref="J76">
    <cfRule type="cellIs" dxfId="100" priority="18" operator="greaterThan">
      <formula>$J$69</formula>
    </cfRule>
  </conditionalFormatting>
  <conditionalFormatting sqref="J77">
    <cfRule type="cellIs" dxfId="99" priority="17" operator="greaterThan">
      <formula>$J$70</formula>
    </cfRule>
  </conditionalFormatting>
  <conditionalFormatting sqref="J78">
    <cfRule type="cellIs" dxfId="98" priority="16" operator="greaterThan">
      <formula>$J$71</formula>
    </cfRule>
  </conditionalFormatting>
  <conditionalFormatting sqref="J79">
    <cfRule type="cellIs" dxfId="97" priority="15" operator="greaterThan">
      <formula>$J$72</formula>
    </cfRule>
  </conditionalFormatting>
  <conditionalFormatting sqref="J80">
    <cfRule type="cellIs" dxfId="96" priority="14" operator="greaterThan">
      <formula>$J$73</formula>
    </cfRule>
  </conditionalFormatting>
  <conditionalFormatting sqref="J81">
    <cfRule type="cellIs" dxfId="95" priority="13" operator="greaterThan">
      <formula>$J$74</formula>
    </cfRule>
  </conditionalFormatting>
  <conditionalFormatting sqref="K76">
    <cfRule type="cellIs" dxfId="94" priority="12" operator="greaterThan">
      <formula>$K$69</formula>
    </cfRule>
  </conditionalFormatting>
  <conditionalFormatting sqref="K77">
    <cfRule type="cellIs" dxfId="93" priority="11" operator="greaterThan">
      <formula>$K$70</formula>
    </cfRule>
  </conditionalFormatting>
  <conditionalFormatting sqref="K78">
    <cfRule type="cellIs" dxfId="92" priority="10" operator="greaterThan">
      <formula>$K$71</formula>
    </cfRule>
  </conditionalFormatting>
  <conditionalFormatting sqref="K79">
    <cfRule type="cellIs" dxfId="91" priority="9" operator="greaterThan">
      <formula>$K$72</formula>
    </cfRule>
  </conditionalFormatting>
  <conditionalFormatting sqref="K80">
    <cfRule type="cellIs" dxfId="90" priority="8" operator="greaterThan">
      <formula>$K$73</formula>
    </cfRule>
  </conditionalFormatting>
  <conditionalFormatting sqref="K81">
    <cfRule type="cellIs" dxfId="89" priority="7" operator="greaterThan">
      <formula>$K$74</formula>
    </cfRule>
  </conditionalFormatting>
  <conditionalFormatting sqref="L76">
    <cfRule type="cellIs" dxfId="88" priority="6" operator="greaterThan">
      <formula>$L$69</formula>
    </cfRule>
  </conditionalFormatting>
  <conditionalFormatting sqref="L77">
    <cfRule type="cellIs" dxfId="87" priority="5" operator="greaterThan">
      <formula>$L$70</formula>
    </cfRule>
  </conditionalFormatting>
  <conditionalFormatting sqref="L78">
    <cfRule type="cellIs" dxfId="86" priority="4" operator="greaterThan">
      <formula>$L$71</formula>
    </cfRule>
  </conditionalFormatting>
  <conditionalFormatting sqref="L79">
    <cfRule type="cellIs" dxfId="85" priority="3" operator="greaterThan">
      <formula>$L$72</formula>
    </cfRule>
  </conditionalFormatting>
  <conditionalFormatting sqref="L80">
    <cfRule type="cellIs" dxfId="84" priority="2" operator="greaterThan">
      <formula>$L$73</formula>
    </cfRule>
  </conditionalFormatting>
  <conditionalFormatting sqref="L81">
    <cfRule type="cellIs" dxfId="83" priority="1" operator="greaterThan">
      <formula>$L$74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ReadMe-Directions</vt:lpstr>
      <vt:lpstr>Versions</vt:lpstr>
      <vt:lpstr>Master</vt:lpstr>
      <vt:lpstr>11.0-Trade</vt:lpstr>
      <vt:lpstr>11.0-TradeReserve</vt:lpstr>
      <vt:lpstr>11.0-LawOfRiver</vt:lpstr>
      <vt:lpstr>11.0-Plots</vt:lpstr>
      <vt:lpstr>MillenniumRecover-Trade</vt:lpstr>
      <vt:lpstr>MillenniumRecover-LawOfRiver</vt:lpstr>
      <vt:lpstr>Millennium-Plots</vt:lpstr>
      <vt:lpstr>MillenniumRecover-Delta</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2021-06-30T16:39:27Z</dcterms:modified>
</cp:coreProperties>
</file>