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4.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C:\Rosenberg\Work\USU\Research\ColoradoRiver\RCode\ColoradoRiverFutures\PilotFlexAccounting\"/>
    </mc:Choice>
  </mc:AlternateContent>
  <xr:revisionPtr revIDLastSave="0" documentId="13_ncr:1_{154E8A4D-C706-4AFD-8F58-17C10C3D95F5}" xr6:coauthVersionLast="36" xr6:coauthVersionMax="36" xr10:uidLastSave="{00000000-0000-0000-0000-000000000000}"/>
  <bookViews>
    <workbookView xWindow="0" yWindow="0" windowWidth="19200" windowHeight="6640" activeTab="1" xr2:uid="{5373AB19-D84C-490D-97DC-C516D358024A}"/>
  </bookViews>
  <sheets>
    <sheet name="ReadMe-Directions" sheetId="6" r:id="rId1"/>
    <sheet name="Versions" sheetId="31" r:id="rId2"/>
    <sheet name="Master" sheetId="36" r:id="rId3"/>
    <sheet name="11.0-Trade" sheetId="33" r:id="rId4"/>
    <sheet name="11.0-LawOfRiver" sheetId="35" r:id="rId5"/>
    <sheet name="11.0-Plots" sheetId="19" r:id="rId6"/>
    <sheet name="MillenniumRecover-Trade" sheetId="39" r:id="rId7"/>
    <sheet name="MillenniumRecover-LawOfRiver" sheetId="37" r:id="rId8"/>
    <sheet name="Millennium-Plots" sheetId="28" r:id="rId9"/>
    <sheet name="MillenniumRecover-Delta" sheetId="40" r:id="rId10"/>
    <sheet name="HydrologicScenarios" sheetId="7" r:id="rId11"/>
    <sheet name="Powell-Elevation-Area" sheetId="2" r:id="rId12"/>
    <sheet name="Mead-Elevation-Area" sheetId="10" r:id="rId13"/>
    <sheet name="11.0-LawOfRiverShort" sheetId="16" r:id="rId1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31" l="1"/>
  <c r="K97" i="40" l="1"/>
  <c r="M97" i="40"/>
  <c r="K74" i="40"/>
  <c r="M74" i="40" s="1"/>
  <c r="K66" i="40"/>
  <c r="H74" i="40"/>
  <c r="H73" i="40"/>
  <c r="M73" i="40" s="1"/>
  <c r="H98" i="40"/>
  <c r="H97" i="40"/>
  <c r="E98" i="40"/>
  <c r="E97" i="40"/>
  <c r="E74" i="40"/>
  <c r="B53" i="40"/>
  <c r="I133" i="40"/>
  <c r="C133" i="40"/>
  <c r="A126" i="40"/>
  <c r="A125" i="40"/>
  <c r="A124" i="40"/>
  <c r="A123" i="40"/>
  <c r="A122" i="40"/>
  <c r="A121" i="40"/>
  <c r="A119" i="40"/>
  <c r="I119" i="40" s="1"/>
  <c r="A118" i="40"/>
  <c r="I118" i="40" s="1"/>
  <c r="A117" i="40"/>
  <c r="A116" i="40"/>
  <c r="A115" i="40"/>
  <c r="A114" i="40"/>
  <c r="A111" i="40"/>
  <c r="I111" i="40" s="1"/>
  <c r="N110" i="40"/>
  <c r="I110" i="40"/>
  <c r="C110" i="40"/>
  <c r="A110" i="40"/>
  <c r="I109" i="40"/>
  <c r="C109" i="40"/>
  <c r="A109" i="40"/>
  <c r="A108" i="40"/>
  <c r="C108" i="40" s="1"/>
  <c r="A107" i="40"/>
  <c r="I107" i="40" s="1"/>
  <c r="A106" i="40"/>
  <c r="A96" i="40"/>
  <c r="A97" i="40" s="1"/>
  <c r="M90" i="40"/>
  <c r="M89" i="40"/>
  <c r="A88" i="40"/>
  <c r="A89" i="40" s="1"/>
  <c r="A90" i="40" s="1"/>
  <c r="A92" i="40" s="1"/>
  <c r="M82" i="40"/>
  <c r="N109" i="40" s="1"/>
  <c r="M81" i="40"/>
  <c r="A80" i="40"/>
  <c r="A81" i="40" s="1"/>
  <c r="X73" i="40"/>
  <c r="U73" i="40"/>
  <c r="X72" i="40"/>
  <c r="U72" i="40" s="1"/>
  <c r="A72" i="40"/>
  <c r="A73" i="40" s="1"/>
  <c r="A74" i="40" s="1"/>
  <c r="X71" i="40"/>
  <c r="U71" i="40"/>
  <c r="X70" i="40"/>
  <c r="U70" i="40" s="1"/>
  <c r="X69" i="40"/>
  <c r="U69" i="40"/>
  <c r="X68" i="40"/>
  <c r="U68" i="40"/>
  <c r="X67" i="40"/>
  <c r="U67" i="40"/>
  <c r="X66" i="40"/>
  <c r="U66" i="40"/>
  <c r="M66" i="40"/>
  <c r="Z65" i="40"/>
  <c r="Y65" i="40"/>
  <c r="X65" i="40"/>
  <c r="W65" i="40"/>
  <c r="V65" i="40"/>
  <c r="U65" i="40"/>
  <c r="M65" i="40"/>
  <c r="A64" i="40"/>
  <c r="A65" i="40" s="1"/>
  <c r="M58" i="40"/>
  <c r="M57" i="40"/>
  <c r="A56" i="40"/>
  <c r="A57" i="40" s="1"/>
  <c r="A53" i="40"/>
  <c r="C53" i="40" s="1"/>
  <c r="A52" i="40"/>
  <c r="A51" i="40"/>
  <c r="A50" i="40"/>
  <c r="B49" i="40"/>
  <c r="A49" i="40"/>
  <c r="A48" i="40"/>
  <c r="A45" i="40"/>
  <c r="A44" i="40"/>
  <c r="A43" i="40"/>
  <c r="C42" i="40"/>
  <c r="A42" i="40"/>
  <c r="A41" i="40"/>
  <c r="A40" i="40"/>
  <c r="C39" i="40"/>
  <c r="C38" i="40"/>
  <c r="C37" i="40"/>
  <c r="A35" i="40"/>
  <c r="A34" i="40"/>
  <c r="A33" i="40"/>
  <c r="C32" i="40"/>
  <c r="A32" i="40"/>
  <c r="A31" i="40"/>
  <c r="A30" i="40"/>
  <c r="C29" i="40"/>
  <c r="K28" i="40"/>
  <c r="J28" i="40"/>
  <c r="I28" i="40"/>
  <c r="C28" i="40"/>
  <c r="C47" i="40" s="1"/>
  <c r="L27" i="40"/>
  <c r="K27" i="40"/>
  <c r="J27" i="40"/>
  <c r="D27" i="40"/>
  <c r="C24" i="40"/>
  <c r="B31" i="40" s="1"/>
  <c r="C31" i="40" s="1"/>
  <c r="C69" i="40" s="1"/>
  <c r="B24" i="40"/>
  <c r="B30" i="40" s="1"/>
  <c r="A1" i="40"/>
  <c r="J65" i="39"/>
  <c r="K65" i="39"/>
  <c r="L65" i="39"/>
  <c r="J66" i="39"/>
  <c r="K66" i="39"/>
  <c r="L66" i="39"/>
  <c r="M66" i="39" s="1"/>
  <c r="I66" i="39"/>
  <c r="I65" i="39"/>
  <c r="J58" i="39"/>
  <c r="K58" i="39"/>
  <c r="L58" i="39"/>
  <c r="I58" i="39"/>
  <c r="K57" i="39"/>
  <c r="L57" i="39" s="1"/>
  <c r="J57" i="39"/>
  <c r="I133" i="39"/>
  <c r="C133" i="39"/>
  <c r="I126" i="39"/>
  <c r="C126" i="39"/>
  <c r="A126" i="39"/>
  <c r="A125" i="39"/>
  <c r="A124" i="39"/>
  <c r="A123" i="39"/>
  <c r="A122" i="39"/>
  <c r="A121" i="39"/>
  <c r="I119" i="39"/>
  <c r="C119" i="39"/>
  <c r="A119" i="39"/>
  <c r="A118" i="39"/>
  <c r="C118" i="39" s="1"/>
  <c r="A117" i="39"/>
  <c r="A116" i="39"/>
  <c r="A115" i="39"/>
  <c r="A114" i="39"/>
  <c r="M111" i="39"/>
  <c r="I111" i="39"/>
  <c r="C111" i="39"/>
  <c r="A111" i="39"/>
  <c r="N111" i="39" s="1"/>
  <c r="N110" i="39"/>
  <c r="A110" i="39"/>
  <c r="C110" i="39" s="1"/>
  <c r="A109" i="39"/>
  <c r="N109" i="39" s="1"/>
  <c r="A108" i="39"/>
  <c r="I107" i="39"/>
  <c r="C107" i="39"/>
  <c r="A107" i="39"/>
  <c r="A106" i="39"/>
  <c r="M98" i="39"/>
  <c r="A98" i="39"/>
  <c r="A99" i="39" s="1"/>
  <c r="I99" i="39" s="1"/>
  <c r="M97" i="39"/>
  <c r="A96" i="39"/>
  <c r="A97" i="39" s="1"/>
  <c r="N97" i="39" s="1"/>
  <c r="M90" i="39"/>
  <c r="M89" i="39"/>
  <c r="A88" i="39"/>
  <c r="A89" i="39" s="1"/>
  <c r="A90" i="39" s="1"/>
  <c r="M82" i="39"/>
  <c r="M81" i="39"/>
  <c r="A80" i="39"/>
  <c r="A81" i="39" s="1"/>
  <c r="M74" i="39"/>
  <c r="X73" i="39"/>
  <c r="U73" i="39" s="1"/>
  <c r="M73" i="39"/>
  <c r="X72" i="39"/>
  <c r="U72" i="39" s="1"/>
  <c r="A72" i="39"/>
  <c r="A73" i="39" s="1"/>
  <c r="X71" i="39"/>
  <c r="U71" i="39"/>
  <c r="X70" i="39"/>
  <c r="U70" i="39"/>
  <c r="X69" i="39"/>
  <c r="U69" i="39"/>
  <c r="X68" i="39"/>
  <c r="U68" i="39"/>
  <c r="X67" i="39"/>
  <c r="U67" i="39"/>
  <c r="X66" i="39"/>
  <c r="X65" i="39" s="1"/>
  <c r="Z65" i="39"/>
  <c r="Y65" i="39"/>
  <c r="W65" i="39"/>
  <c r="V65" i="39"/>
  <c r="A65" i="39"/>
  <c r="A66" i="39" s="1"/>
  <c r="A64" i="39"/>
  <c r="A57" i="39"/>
  <c r="N57" i="39" s="1"/>
  <c r="A56" i="39"/>
  <c r="I53" i="39"/>
  <c r="C53" i="39"/>
  <c r="A53" i="39"/>
  <c r="A52" i="39"/>
  <c r="A51" i="39"/>
  <c r="A50" i="39"/>
  <c r="B49" i="39"/>
  <c r="A49" i="39"/>
  <c r="A48" i="39"/>
  <c r="I47" i="39"/>
  <c r="C45" i="39"/>
  <c r="A45" i="39"/>
  <c r="I45" i="39" s="1"/>
  <c r="A44" i="39"/>
  <c r="A43" i="39"/>
  <c r="A42" i="39"/>
  <c r="A41" i="39"/>
  <c r="A40" i="39"/>
  <c r="C38" i="39"/>
  <c r="C37" i="39"/>
  <c r="C39" i="39" s="1"/>
  <c r="A35" i="39"/>
  <c r="I35" i="39" s="1"/>
  <c r="A34" i="39"/>
  <c r="A33" i="39"/>
  <c r="C33" i="39" s="1"/>
  <c r="A32" i="39"/>
  <c r="A31" i="39"/>
  <c r="A30" i="39"/>
  <c r="C29" i="39"/>
  <c r="J28" i="39"/>
  <c r="I28" i="39"/>
  <c r="C28" i="39"/>
  <c r="J27" i="39"/>
  <c r="D27" i="39"/>
  <c r="C24" i="39"/>
  <c r="B31" i="39" s="1"/>
  <c r="C31" i="39" s="1"/>
  <c r="B24" i="39"/>
  <c r="B34" i="39" s="1"/>
  <c r="C34" i="39" s="1"/>
  <c r="A1" i="39"/>
  <c r="H37" i="36"/>
  <c r="I37" i="36"/>
  <c r="J37" i="36"/>
  <c r="K37" i="36"/>
  <c r="L37" i="36"/>
  <c r="H38" i="36"/>
  <c r="I38" i="36"/>
  <c r="J38" i="36"/>
  <c r="K38" i="36"/>
  <c r="L38" i="36"/>
  <c r="K27" i="37"/>
  <c r="L27" i="37" s="1"/>
  <c r="J27" i="37"/>
  <c r="J53" i="37" s="1"/>
  <c r="H27" i="37"/>
  <c r="K133" i="37"/>
  <c r="I133" i="37"/>
  <c r="H133" i="37"/>
  <c r="C133" i="37"/>
  <c r="I126" i="37"/>
  <c r="H126" i="37"/>
  <c r="C126" i="37"/>
  <c r="A126" i="37"/>
  <c r="J126" i="37" s="1"/>
  <c r="A125" i="37"/>
  <c r="A124" i="37"/>
  <c r="A123" i="37"/>
  <c r="A122" i="37"/>
  <c r="A121" i="37"/>
  <c r="K119" i="37"/>
  <c r="I119" i="37"/>
  <c r="C119" i="37"/>
  <c r="A119" i="37"/>
  <c r="I118" i="37"/>
  <c r="H118" i="37"/>
  <c r="A118" i="37"/>
  <c r="A117" i="37"/>
  <c r="A116" i="37"/>
  <c r="A115" i="37"/>
  <c r="A114" i="37"/>
  <c r="M111" i="37"/>
  <c r="K111" i="37"/>
  <c r="I111" i="37"/>
  <c r="H111" i="37"/>
  <c r="C111" i="37"/>
  <c r="A111" i="37"/>
  <c r="N111" i="37" s="1"/>
  <c r="N110" i="37"/>
  <c r="I110" i="37"/>
  <c r="H110" i="37"/>
  <c r="A110" i="37"/>
  <c r="A109" i="37"/>
  <c r="A108" i="37"/>
  <c r="C108" i="37" s="1"/>
  <c r="K107" i="37"/>
  <c r="I107" i="37"/>
  <c r="H107" i="37"/>
  <c r="C107" i="37"/>
  <c r="A107" i="37"/>
  <c r="J107" i="37" s="1"/>
  <c r="A106" i="37"/>
  <c r="M98" i="37"/>
  <c r="M97" i="37"/>
  <c r="A96" i="37"/>
  <c r="A97" i="37" s="1"/>
  <c r="M90" i="37"/>
  <c r="M89" i="37"/>
  <c r="A88" i="37"/>
  <c r="A89" i="37" s="1"/>
  <c r="A90" i="37" s="1"/>
  <c r="M82" i="37"/>
  <c r="M81" i="37"/>
  <c r="A81" i="37"/>
  <c r="A80" i="37"/>
  <c r="M74" i="37"/>
  <c r="X73" i="37"/>
  <c r="U73" i="37"/>
  <c r="M73" i="37"/>
  <c r="X72" i="37"/>
  <c r="U72" i="37"/>
  <c r="A72" i="37"/>
  <c r="A73" i="37" s="1"/>
  <c r="A74" i="37" s="1"/>
  <c r="X71" i="37"/>
  <c r="U71" i="37"/>
  <c r="X70" i="37"/>
  <c r="U70" i="37"/>
  <c r="X69" i="37"/>
  <c r="U69" i="37"/>
  <c r="X68" i="37"/>
  <c r="U68" i="37" s="1"/>
  <c r="X67" i="37"/>
  <c r="U67" i="37" s="1"/>
  <c r="X66" i="37"/>
  <c r="X65" i="37" s="1"/>
  <c r="U66" i="37"/>
  <c r="U65" i="37" s="1"/>
  <c r="M66" i="37"/>
  <c r="Z65" i="37"/>
  <c r="Y65" i="37"/>
  <c r="W65" i="37"/>
  <c r="V65" i="37"/>
  <c r="M65" i="37"/>
  <c r="A65" i="37"/>
  <c r="A64" i="37"/>
  <c r="M58" i="37"/>
  <c r="M57" i="37"/>
  <c r="A56" i="37"/>
  <c r="A57" i="37" s="1"/>
  <c r="I53" i="37"/>
  <c r="C53" i="37"/>
  <c r="A53" i="37"/>
  <c r="A52" i="37"/>
  <c r="A51" i="37"/>
  <c r="A50" i="37"/>
  <c r="B49" i="37"/>
  <c r="A49" i="37"/>
  <c r="A48" i="37"/>
  <c r="H47" i="37"/>
  <c r="A45" i="37"/>
  <c r="A44" i="37"/>
  <c r="A43" i="37"/>
  <c r="A42" i="37"/>
  <c r="A41" i="37"/>
  <c r="A40" i="37"/>
  <c r="C38" i="37"/>
  <c r="C37" i="37"/>
  <c r="I35" i="37"/>
  <c r="H35" i="37"/>
  <c r="A35" i="37"/>
  <c r="K35" i="37" s="1"/>
  <c r="C34" i="37"/>
  <c r="A34" i="37"/>
  <c r="C33" i="37"/>
  <c r="A33" i="37"/>
  <c r="C32" i="37"/>
  <c r="A32" i="37"/>
  <c r="A31" i="37"/>
  <c r="B30" i="37"/>
  <c r="A30" i="37"/>
  <c r="C29" i="37"/>
  <c r="K28" i="37"/>
  <c r="I28" i="37"/>
  <c r="I47" i="37" s="1"/>
  <c r="H28" i="37"/>
  <c r="D28" i="37"/>
  <c r="C28" i="37"/>
  <c r="C47" i="37" s="1"/>
  <c r="D27" i="37"/>
  <c r="D111" i="37" s="1"/>
  <c r="C24" i="37"/>
  <c r="B31" i="37" s="1"/>
  <c r="C31" i="37" s="1"/>
  <c r="B24" i="37"/>
  <c r="B34" i="37" s="1"/>
  <c r="A1" i="37"/>
  <c r="K98" i="40" l="1"/>
  <c r="M98" i="40" s="1"/>
  <c r="N111" i="40" s="1"/>
  <c r="K119" i="40"/>
  <c r="C45" i="40"/>
  <c r="C119" i="40"/>
  <c r="C111" i="40"/>
  <c r="C118" i="40"/>
  <c r="N108" i="40"/>
  <c r="C107" i="40"/>
  <c r="C41" i="40"/>
  <c r="A75" i="40"/>
  <c r="A76" i="40"/>
  <c r="C30" i="40"/>
  <c r="E27" i="40"/>
  <c r="D28" i="40"/>
  <c r="L28" i="40"/>
  <c r="L47" i="40" s="1"/>
  <c r="C33" i="40"/>
  <c r="C40" i="40"/>
  <c r="A58" i="40"/>
  <c r="N57" i="40"/>
  <c r="N65" i="40"/>
  <c r="N73" i="40" s="1"/>
  <c r="N81" i="40" s="1"/>
  <c r="N89" i="40" s="1"/>
  <c r="A66" i="40"/>
  <c r="A82" i="40"/>
  <c r="A98" i="40"/>
  <c r="N97" i="40"/>
  <c r="I106" i="40"/>
  <c r="N106" i="40"/>
  <c r="C106" i="40"/>
  <c r="J47" i="40"/>
  <c r="A91" i="40"/>
  <c r="J106" i="40"/>
  <c r="C115" i="40"/>
  <c r="C134" i="40" s="1"/>
  <c r="L107" i="40"/>
  <c r="L118" i="40"/>
  <c r="L110" i="40"/>
  <c r="L133" i="40"/>
  <c r="L108" i="40"/>
  <c r="L111" i="40"/>
  <c r="L106" i="40"/>
  <c r="L119" i="40"/>
  <c r="L109" i="40"/>
  <c r="C43" i="40"/>
  <c r="D107" i="40"/>
  <c r="D118" i="40"/>
  <c r="D110" i="40"/>
  <c r="D133" i="40"/>
  <c r="D108" i="40"/>
  <c r="D111" i="40"/>
  <c r="D106" i="40"/>
  <c r="D119" i="40"/>
  <c r="D109" i="40"/>
  <c r="L53" i="40"/>
  <c r="B34" i="40"/>
  <c r="C34" i="40" s="1"/>
  <c r="C46" i="40" s="1"/>
  <c r="C77" i="40" s="1"/>
  <c r="C116" i="40" s="1"/>
  <c r="C35" i="40"/>
  <c r="J119" i="40"/>
  <c r="J109" i="40"/>
  <c r="J107" i="40"/>
  <c r="J118" i="40"/>
  <c r="J110" i="40"/>
  <c r="J133" i="40"/>
  <c r="J53" i="40"/>
  <c r="J108" i="40"/>
  <c r="J111" i="40"/>
  <c r="D53" i="40"/>
  <c r="K107" i="40"/>
  <c r="K118" i="40"/>
  <c r="K110" i="40"/>
  <c r="K133" i="40"/>
  <c r="K53" i="40"/>
  <c r="K108" i="40"/>
  <c r="K111" i="40"/>
  <c r="K106" i="40"/>
  <c r="K47" i="40"/>
  <c r="I47" i="40"/>
  <c r="C44" i="40"/>
  <c r="C52" i="40" s="1"/>
  <c r="A93" i="40"/>
  <c r="K109" i="40"/>
  <c r="N107" i="40"/>
  <c r="I108" i="40"/>
  <c r="I53" i="40"/>
  <c r="M65" i="39"/>
  <c r="N107" i="39"/>
  <c r="M58" i="39"/>
  <c r="N106" i="39" s="1"/>
  <c r="M57" i="39"/>
  <c r="C32" i="39"/>
  <c r="C46" i="39" s="1"/>
  <c r="C77" i="39" s="1"/>
  <c r="C116" i="39" s="1"/>
  <c r="J35" i="39"/>
  <c r="D133" i="39"/>
  <c r="D53" i="39"/>
  <c r="D108" i="39"/>
  <c r="D126" i="39"/>
  <c r="D111" i="39"/>
  <c r="D99" i="39"/>
  <c r="D119" i="39"/>
  <c r="D109" i="39"/>
  <c r="D110" i="39"/>
  <c r="D47" i="39"/>
  <c r="D35" i="39"/>
  <c r="D28" i="39"/>
  <c r="E27" i="39"/>
  <c r="D107" i="39"/>
  <c r="C44" i="39"/>
  <c r="C42" i="39"/>
  <c r="A91" i="39"/>
  <c r="A92" i="39"/>
  <c r="J119" i="39"/>
  <c r="J107" i="39"/>
  <c r="J118" i="39"/>
  <c r="J110" i="39"/>
  <c r="J133" i="39"/>
  <c r="J53" i="39"/>
  <c r="J126" i="39"/>
  <c r="J111" i="39"/>
  <c r="J99" i="39"/>
  <c r="J106" i="39"/>
  <c r="J108" i="39"/>
  <c r="J45" i="39"/>
  <c r="J47" i="39"/>
  <c r="K27" i="39"/>
  <c r="C69" i="39"/>
  <c r="C115" i="39" s="1"/>
  <c r="C134" i="39" s="1"/>
  <c r="A82" i="39"/>
  <c r="C47" i="39"/>
  <c r="C43" i="39"/>
  <c r="D45" i="39"/>
  <c r="A58" i="39"/>
  <c r="A67" i="39"/>
  <c r="A68" i="39"/>
  <c r="A74" i="39"/>
  <c r="C35" i="39"/>
  <c r="C41" i="39"/>
  <c r="D106" i="39"/>
  <c r="J109" i="39"/>
  <c r="D118" i="39"/>
  <c r="C108" i="39"/>
  <c r="I108" i="39"/>
  <c r="B30" i="39"/>
  <c r="B29" i="39" s="1"/>
  <c r="C106" i="39"/>
  <c r="I109" i="39"/>
  <c r="N99" i="39"/>
  <c r="M99" i="39"/>
  <c r="A100" i="39"/>
  <c r="D100" i="39" s="1"/>
  <c r="I106" i="39"/>
  <c r="N65" i="39"/>
  <c r="N73" i="39" s="1"/>
  <c r="N81" i="39" s="1"/>
  <c r="N89" i="39" s="1"/>
  <c r="N98" i="39"/>
  <c r="N108" i="39"/>
  <c r="C99" i="39"/>
  <c r="C52" i="39"/>
  <c r="C109" i="39"/>
  <c r="U66" i="39"/>
  <c r="U65" i="39" s="1"/>
  <c r="I110" i="39"/>
  <c r="I118" i="39"/>
  <c r="L126" i="37"/>
  <c r="L47" i="37"/>
  <c r="L118" i="37"/>
  <c r="L110" i="37"/>
  <c r="L111" i="37"/>
  <c r="L133" i="37"/>
  <c r="L107" i="37"/>
  <c r="L28" i="37"/>
  <c r="K118" i="37"/>
  <c r="K108" i="37"/>
  <c r="K53" i="37"/>
  <c r="K47" i="37"/>
  <c r="K109" i="37"/>
  <c r="K126" i="37"/>
  <c r="K110" i="37"/>
  <c r="J133" i="37"/>
  <c r="J119" i="37"/>
  <c r="J28" i="37"/>
  <c r="C39" i="37"/>
  <c r="C42" i="37" s="1"/>
  <c r="C69" i="37"/>
  <c r="C115" i="37" s="1"/>
  <c r="C134" i="37" s="1"/>
  <c r="D47" i="37"/>
  <c r="E27" i="37"/>
  <c r="E108" i="37" s="1"/>
  <c r="D107" i="37"/>
  <c r="N57" i="37"/>
  <c r="A58" i="37"/>
  <c r="A92" i="37"/>
  <c r="A91" i="37"/>
  <c r="E118" i="37"/>
  <c r="E126" i="37"/>
  <c r="E35" i="37"/>
  <c r="E28" i="37"/>
  <c r="E109" i="37"/>
  <c r="E106" i="37"/>
  <c r="E107" i="37"/>
  <c r="E53" i="37"/>
  <c r="C30" i="37"/>
  <c r="B29" i="37"/>
  <c r="K45" i="37"/>
  <c r="C45" i="37"/>
  <c r="J45" i="37"/>
  <c r="I45" i="37"/>
  <c r="H45" i="37"/>
  <c r="D45" i="37"/>
  <c r="C46" i="37"/>
  <c r="C77" i="37" s="1"/>
  <c r="A66" i="37"/>
  <c r="N65" i="37"/>
  <c r="N73" i="37" s="1"/>
  <c r="N81" i="37" s="1"/>
  <c r="N89" i="37" s="1"/>
  <c r="F27" i="37"/>
  <c r="N106" i="37"/>
  <c r="K106" i="37"/>
  <c r="C106" i="37"/>
  <c r="L106" i="37"/>
  <c r="J106" i="37"/>
  <c r="I106" i="37"/>
  <c r="H106" i="37"/>
  <c r="D106" i="37"/>
  <c r="A75" i="37"/>
  <c r="A76" i="37"/>
  <c r="L45" i="37"/>
  <c r="N97" i="37"/>
  <c r="A98" i="37"/>
  <c r="N108" i="37"/>
  <c r="H109" i="37"/>
  <c r="L109" i="37"/>
  <c r="N109" i="37"/>
  <c r="C35" i="37"/>
  <c r="L35" i="37"/>
  <c r="C109" i="37"/>
  <c r="D35" i="37"/>
  <c r="A82" i="37"/>
  <c r="D110" i="37"/>
  <c r="C116" i="37"/>
  <c r="D118" i="37"/>
  <c r="J35" i="37"/>
  <c r="L108" i="37"/>
  <c r="I108" i="37"/>
  <c r="H108" i="37"/>
  <c r="I109" i="37"/>
  <c r="D133" i="37"/>
  <c r="D108" i="37"/>
  <c r="D126" i="37"/>
  <c r="D119" i="37"/>
  <c r="D109" i="37"/>
  <c r="D53" i="37"/>
  <c r="H53" i="37"/>
  <c r="L53" i="37"/>
  <c r="J108" i="37"/>
  <c r="J109" i="37"/>
  <c r="N107" i="37"/>
  <c r="J111" i="37"/>
  <c r="L119" i="37"/>
  <c r="J110" i="37"/>
  <c r="J118" i="37"/>
  <c r="C110" i="37"/>
  <c r="C118" i="37"/>
  <c r="H119" i="37"/>
  <c r="A1" i="35"/>
  <c r="A1" i="33"/>
  <c r="A1" i="36"/>
  <c r="C112" i="40" l="1"/>
  <c r="C91" i="40" s="1"/>
  <c r="L112" i="40"/>
  <c r="L75" i="40" s="1"/>
  <c r="D112" i="40"/>
  <c r="D91" i="40" s="1"/>
  <c r="J112" i="40"/>
  <c r="J91" i="40" s="1"/>
  <c r="K112" i="40"/>
  <c r="K91" i="40" s="1"/>
  <c r="C51" i="40"/>
  <c r="C50" i="40" s="1"/>
  <c r="C76" i="40" s="1"/>
  <c r="C92" i="40"/>
  <c r="A77" i="40"/>
  <c r="E118" i="40"/>
  <c r="E110" i="40"/>
  <c r="E133" i="40"/>
  <c r="E108" i="40"/>
  <c r="E111" i="40"/>
  <c r="E106" i="40"/>
  <c r="E109" i="40"/>
  <c r="E107" i="40"/>
  <c r="E53" i="40"/>
  <c r="E28" i="40"/>
  <c r="F27" i="40"/>
  <c r="E47" i="40"/>
  <c r="M75" i="40"/>
  <c r="D47" i="40"/>
  <c r="A68" i="40"/>
  <c r="A67" i="40"/>
  <c r="I112" i="40"/>
  <c r="I75" i="40" s="1"/>
  <c r="B29" i="40"/>
  <c r="A94" i="40"/>
  <c r="A100" i="40"/>
  <c r="A99" i="40"/>
  <c r="N58" i="40"/>
  <c r="N66" i="40" s="1"/>
  <c r="N74" i="40" s="1"/>
  <c r="N82" i="40" s="1"/>
  <c r="N90" i="40" s="1"/>
  <c r="N98" i="40" s="1"/>
  <c r="A60" i="40"/>
  <c r="A59" i="40"/>
  <c r="M91" i="40"/>
  <c r="A83" i="40"/>
  <c r="A84" i="40"/>
  <c r="J112" i="39"/>
  <c r="J91" i="39" s="1"/>
  <c r="C112" i="39"/>
  <c r="C91" i="39" s="1"/>
  <c r="D112" i="39"/>
  <c r="D91" i="39" s="1"/>
  <c r="M67" i="39"/>
  <c r="A93" i="39"/>
  <c r="C92" i="39"/>
  <c r="E118" i="39"/>
  <c r="E133" i="39"/>
  <c r="E108" i="39"/>
  <c r="E126" i="39"/>
  <c r="E111" i="39"/>
  <c r="E99" i="39"/>
  <c r="E106" i="39"/>
  <c r="E47" i="39"/>
  <c r="E100" i="39"/>
  <c r="E110" i="39"/>
  <c r="E35" i="39"/>
  <c r="E28" i="39"/>
  <c r="F27" i="39"/>
  <c r="E53" i="39"/>
  <c r="E45" i="39"/>
  <c r="E119" i="39"/>
  <c r="E109" i="39"/>
  <c r="E107" i="39"/>
  <c r="A59" i="39"/>
  <c r="N58" i="39"/>
  <c r="N66" i="39" s="1"/>
  <c r="A60" i="39"/>
  <c r="K118" i="39"/>
  <c r="K110" i="39"/>
  <c r="K45" i="39"/>
  <c r="K133" i="39"/>
  <c r="K53" i="39"/>
  <c r="K108" i="39"/>
  <c r="K106" i="39"/>
  <c r="K107" i="39"/>
  <c r="K109" i="39"/>
  <c r="K35" i="39"/>
  <c r="K126" i="39"/>
  <c r="K111" i="39"/>
  <c r="K100" i="39"/>
  <c r="K28" i="39"/>
  <c r="K99" i="39"/>
  <c r="L27" i="39"/>
  <c r="K119" i="39"/>
  <c r="A75" i="39"/>
  <c r="N74" i="39"/>
  <c r="A76" i="39"/>
  <c r="M91" i="39"/>
  <c r="I112" i="39"/>
  <c r="I91" i="39" s="1"/>
  <c r="A83" i="39"/>
  <c r="N82" i="39"/>
  <c r="N90" i="39" s="1"/>
  <c r="A84" i="39"/>
  <c r="I100" i="39"/>
  <c r="N100" i="39"/>
  <c r="C100" i="39"/>
  <c r="A101" i="39"/>
  <c r="C51" i="39"/>
  <c r="C49" i="39" s="1"/>
  <c r="J100" i="39"/>
  <c r="C50" i="39"/>
  <c r="A69" i="39"/>
  <c r="C30" i="39"/>
  <c r="C40" i="39" s="1"/>
  <c r="L112" i="37"/>
  <c r="L91" i="37" s="1"/>
  <c r="K112" i="37"/>
  <c r="K75" i="37" s="1"/>
  <c r="J112" i="37"/>
  <c r="J91" i="37" s="1"/>
  <c r="I112" i="37"/>
  <c r="I75" i="37" s="1"/>
  <c r="J47" i="37"/>
  <c r="H112" i="37"/>
  <c r="H91" i="37" s="1"/>
  <c r="E133" i="37"/>
  <c r="E45" i="37"/>
  <c r="E110" i="37"/>
  <c r="C41" i="37"/>
  <c r="E47" i="37"/>
  <c r="E111" i="37"/>
  <c r="C40" i="37"/>
  <c r="C43" i="37"/>
  <c r="E119" i="37"/>
  <c r="C44" i="37"/>
  <c r="C52" i="37" s="1"/>
  <c r="D112" i="37"/>
  <c r="D91" i="37" s="1"/>
  <c r="A67" i="37"/>
  <c r="A68" i="37"/>
  <c r="A84" i="37"/>
  <c r="A83" i="37"/>
  <c r="A99" i="37"/>
  <c r="F99" i="37" s="1"/>
  <c r="A100" i="37"/>
  <c r="N98" i="37"/>
  <c r="A77" i="37"/>
  <c r="C112" i="37"/>
  <c r="C91" i="37" s="1"/>
  <c r="M91" i="37"/>
  <c r="A93" i="37"/>
  <c r="C92" i="37"/>
  <c r="A59" i="37"/>
  <c r="A60" i="37"/>
  <c r="N58" i="37"/>
  <c r="N66" i="37" s="1"/>
  <c r="N74" i="37" s="1"/>
  <c r="N82" i="37" s="1"/>
  <c r="N90" i="37" s="1"/>
  <c r="M75" i="37"/>
  <c r="F133" i="37"/>
  <c r="F126" i="37"/>
  <c r="F111" i="37"/>
  <c r="F106" i="37"/>
  <c r="F119" i="37"/>
  <c r="F107" i="37"/>
  <c r="F110" i="37"/>
  <c r="F28" i="37"/>
  <c r="F47" i="37" s="1"/>
  <c r="G27" i="37"/>
  <c r="F35" i="37"/>
  <c r="F118" i="37"/>
  <c r="F109" i="37"/>
  <c r="F108" i="37"/>
  <c r="F45" i="37"/>
  <c r="F100" i="37"/>
  <c r="F53" i="37"/>
  <c r="H85" i="36"/>
  <c r="I85" i="36"/>
  <c r="J85" i="36"/>
  <c r="K85" i="36"/>
  <c r="L85" i="36"/>
  <c r="L134" i="36"/>
  <c r="K134" i="36"/>
  <c r="J134" i="36"/>
  <c r="I134" i="36"/>
  <c r="H134" i="36"/>
  <c r="L133" i="36"/>
  <c r="K133" i="36"/>
  <c r="J133" i="36"/>
  <c r="I133" i="36"/>
  <c r="H133" i="36"/>
  <c r="C133" i="36"/>
  <c r="L131" i="36"/>
  <c r="K131" i="36"/>
  <c r="J131" i="36"/>
  <c r="I131" i="36"/>
  <c r="H131" i="36"/>
  <c r="H130" i="36"/>
  <c r="L129" i="36"/>
  <c r="K129" i="36"/>
  <c r="J129" i="36"/>
  <c r="I129" i="36"/>
  <c r="H129" i="36"/>
  <c r="L127" i="36"/>
  <c r="K127" i="36"/>
  <c r="J127" i="36"/>
  <c r="I127" i="36"/>
  <c r="H127" i="36"/>
  <c r="L126" i="36"/>
  <c r="K126" i="36"/>
  <c r="I126" i="36"/>
  <c r="H126" i="36"/>
  <c r="C126" i="36"/>
  <c r="A126" i="36"/>
  <c r="J126" i="36" s="1"/>
  <c r="A125" i="36"/>
  <c r="L124" i="36"/>
  <c r="I124" i="36"/>
  <c r="A124" i="36"/>
  <c r="K124" i="36" s="1"/>
  <c r="L123" i="36"/>
  <c r="J123" i="36"/>
  <c r="A123" i="36"/>
  <c r="K122" i="36"/>
  <c r="J122" i="36"/>
  <c r="A122" i="36"/>
  <c r="H121" i="36"/>
  <c r="A121" i="36"/>
  <c r="J119" i="36"/>
  <c r="I119" i="36"/>
  <c r="H119" i="36"/>
  <c r="A119" i="36"/>
  <c r="L119" i="36" s="1"/>
  <c r="L118" i="36"/>
  <c r="K118" i="36"/>
  <c r="I118" i="36"/>
  <c r="H118" i="36"/>
  <c r="C118" i="36"/>
  <c r="A118" i="36"/>
  <c r="J118" i="36" s="1"/>
  <c r="L117" i="36"/>
  <c r="K117" i="36"/>
  <c r="I117" i="36"/>
  <c r="H117" i="36"/>
  <c r="A117" i="36"/>
  <c r="J117" i="36" s="1"/>
  <c r="K116" i="36"/>
  <c r="I116" i="36"/>
  <c r="A116" i="36"/>
  <c r="H116" i="36" s="1"/>
  <c r="L115" i="36"/>
  <c r="I115" i="36"/>
  <c r="A115" i="36"/>
  <c r="K115" i="36" s="1"/>
  <c r="L114" i="36"/>
  <c r="I114" i="36"/>
  <c r="H114" i="36"/>
  <c r="D114" i="36"/>
  <c r="A114" i="36"/>
  <c r="J114" i="36" s="1"/>
  <c r="L112" i="36"/>
  <c r="K112" i="36"/>
  <c r="J112" i="36"/>
  <c r="I112" i="36"/>
  <c r="H112" i="36"/>
  <c r="N111" i="36"/>
  <c r="L111" i="36"/>
  <c r="K111" i="36"/>
  <c r="I111" i="36"/>
  <c r="H111" i="36"/>
  <c r="C111" i="36"/>
  <c r="A111" i="36"/>
  <c r="M111" i="36" s="1"/>
  <c r="N110" i="36"/>
  <c r="L110" i="36"/>
  <c r="K110" i="36"/>
  <c r="I110" i="36"/>
  <c r="H110" i="36"/>
  <c r="C110" i="36"/>
  <c r="A110" i="36"/>
  <c r="J110" i="36" s="1"/>
  <c r="K109" i="36"/>
  <c r="C109" i="36"/>
  <c r="A109" i="36"/>
  <c r="J109" i="36" s="1"/>
  <c r="A108" i="36"/>
  <c r="J108" i="36" s="1"/>
  <c r="A107" i="36"/>
  <c r="L106" i="36"/>
  <c r="D106" i="36"/>
  <c r="A106" i="36"/>
  <c r="J106" i="36" s="1"/>
  <c r="M98" i="36"/>
  <c r="N97" i="36"/>
  <c r="M97" i="36"/>
  <c r="A96" i="36"/>
  <c r="A97" i="36" s="1"/>
  <c r="A98" i="36" s="1"/>
  <c r="A99" i="36" s="1"/>
  <c r="M90" i="36"/>
  <c r="A90" i="36"/>
  <c r="M89" i="36"/>
  <c r="A89" i="36"/>
  <c r="A88" i="36"/>
  <c r="M82" i="36"/>
  <c r="M81" i="36"/>
  <c r="A81" i="36"/>
  <c r="A80" i="36"/>
  <c r="X73" i="36"/>
  <c r="U73" i="36"/>
  <c r="M73" i="36"/>
  <c r="A73" i="36"/>
  <c r="A74" i="36" s="1"/>
  <c r="X72" i="36"/>
  <c r="U72" i="36"/>
  <c r="A72" i="36"/>
  <c r="X71" i="36"/>
  <c r="U71" i="36"/>
  <c r="X70" i="36"/>
  <c r="U70" i="36" s="1"/>
  <c r="X69" i="36"/>
  <c r="U69" i="36"/>
  <c r="X68" i="36"/>
  <c r="U68" i="36" s="1"/>
  <c r="X67" i="36"/>
  <c r="U67" i="36"/>
  <c r="X66" i="36"/>
  <c r="U66" i="36" s="1"/>
  <c r="U65" i="36" s="1"/>
  <c r="M66" i="36"/>
  <c r="Z65" i="36"/>
  <c r="Y65" i="36"/>
  <c r="X65" i="36"/>
  <c r="W65" i="36"/>
  <c r="V65" i="36"/>
  <c r="A65" i="36"/>
  <c r="A66" i="36" s="1"/>
  <c r="A64" i="36"/>
  <c r="M57" i="36"/>
  <c r="A57" i="36"/>
  <c r="A56" i="36"/>
  <c r="A53" i="36"/>
  <c r="L52" i="36"/>
  <c r="I52" i="36"/>
  <c r="H52" i="36"/>
  <c r="A52" i="36"/>
  <c r="K52" i="36" s="1"/>
  <c r="A51" i="36"/>
  <c r="A50" i="36"/>
  <c r="J49" i="36"/>
  <c r="H49" i="36"/>
  <c r="B49" i="36"/>
  <c r="A49" i="36"/>
  <c r="L49" i="36" s="1"/>
  <c r="A48" i="36"/>
  <c r="K48" i="36" s="1"/>
  <c r="L47" i="36"/>
  <c r="K47" i="36"/>
  <c r="J47" i="36"/>
  <c r="I47" i="36"/>
  <c r="H47" i="36"/>
  <c r="D47" i="36"/>
  <c r="L46" i="36"/>
  <c r="K46" i="36"/>
  <c r="J46" i="36"/>
  <c r="I46" i="36"/>
  <c r="H46" i="36"/>
  <c r="A45" i="36"/>
  <c r="K45" i="36" s="1"/>
  <c r="L44" i="36"/>
  <c r="K44" i="36"/>
  <c r="H44" i="36"/>
  <c r="A44" i="36"/>
  <c r="J44" i="36" s="1"/>
  <c r="K43" i="36"/>
  <c r="I43" i="36"/>
  <c r="H43" i="36"/>
  <c r="A43" i="36"/>
  <c r="L43" i="36" s="1"/>
  <c r="L42" i="36"/>
  <c r="K42" i="36"/>
  <c r="A42" i="36"/>
  <c r="L41" i="36"/>
  <c r="I41" i="36"/>
  <c r="H41" i="36"/>
  <c r="A41" i="36"/>
  <c r="K41" i="36" s="1"/>
  <c r="L40" i="36"/>
  <c r="J40" i="36"/>
  <c r="I40" i="36"/>
  <c r="H40" i="36"/>
  <c r="A40" i="36"/>
  <c r="L39" i="36"/>
  <c r="K39" i="36"/>
  <c r="J39" i="36"/>
  <c r="I39" i="36"/>
  <c r="H39" i="36"/>
  <c r="C38" i="36"/>
  <c r="C37" i="36"/>
  <c r="C39" i="36" s="1"/>
  <c r="K35" i="36"/>
  <c r="J35" i="36"/>
  <c r="I35" i="36"/>
  <c r="H35" i="36"/>
  <c r="D35" i="36"/>
  <c r="C35" i="36"/>
  <c r="A35" i="36"/>
  <c r="L35" i="36" s="1"/>
  <c r="L34" i="36"/>
  <c r="K34" i="36"/>
  <c r="H34" i="36"/>
  <c r="A34" i="36"/>
  <c r="J34" i="36" s="1"/>
  <c r="L33" i="36"/>
  <c r="A33" i="36"/>
  <c r="J33" i="36" s="1"/>
  <c r="L32" i="36"/>
  <c r="J32" i="36"/>
  <c r="H32" i="36"/>
  <c r="C32" i="36"/>
  <c r="A32" i="36"/>
  <c r="I32" i="36" s="1"/>
  <c r="K31" i="36"/>
  <c r="J31" i="36"/>
  <c r="H31" i="36"/>
  <c r="B31" i="36"/>
  <c r="C31" i="36" s="1"/>
  <c r="A31" i="36"/>
  <c r="L31" i="36" s="1"/>
  <c r="L30" i="36"/>
  <c r="K30" i="36"/>
  <c r="J30" i="36"/>
  <c r="B30" i="36"/>
  <c r="B29" i="36" s="1"/>
  <c r="A30" i="36"/>
  <c r="H30" i="36" s="1"/>
  <c r="L29" i="36"/>
  <c r="K29" i="36"/>
  <c r="J29" i="36"/>
  <c r="I29" i="36"/>
  <c r="H29" i="36"/>
  <c r="C29" i="36"/>
  <c r="L28" i="36"/>
  <c r="L130" i="36" s="1"/>
  <c r="K28" i="36"/>
  <c r="J28" i="36"/>
  <c r="I28" i="36"/>
  <c r="I130" i="36" s="1"/>
  <c r="H28" i="36"/>
  <c r="D28" i="36"/>
  <c r="C28" i="36"/>
  <c r="C24" i="36"/>
  <c r="B24" i="36"/>
  <c r="B34" i="36" s="1"/>
  <c r="C34" i="36" s="1"/>
  <c r="C46" i="36" s="1"/>
  <c r="C77" i="35"/>
  <c r="C69" i="35"/>
  <c r="C61" i="35"/>
  <c r="L134" i="35"/>
  <c r="K134" i="35"/>
  <c r="J134" i="35"/>
  <c r="I134" i="35"/>
  <c r="H134" i="35"/>
  <c r="L133" i="35"/>
  <c r="K133" i="35"/>
  <c r="J133" i="35"/>
  <c r="I133" i="35"/>
  <c r="H133" i="35"/>
  <c r="C133" i="35"/>
  <c r="L131" i="35"/>
  <c r="K131" i="35"/>
  <c r="J131" i="35"/>
  <c r="I131" i="35"/>
  <c r="H131" i="35"/>
  <c r="L129" i="35"/>
  <c r="K129" i="35"/>
  <c r="J129" i="35"/>
  <c r="I129" i="35"/>
  <c r="H129" i="35"/>
  <c r="L127" i="35"/>
  <c r="K127" i="35"/>
  <c r="J127" i="35"/>
  <c r="I127" i="35"/>
  <c r="H127" i="35"/>
  <c r="L126" i="35"/>
  <c r="I126" i="35"/>
  <c r="H126" i="35"/>
  <c r="A126" i="35"/>
  <c r="K126" i="35" s="1"/>
  <c r="A125" i="35"/>
  <c r="A124" i="35"/>
  <c r="L124" i="35" s="1"/>
  <c r="A123" i="35"/>
  <c r="L122" i="35"/>
  <c r="K122" i="35"/>
  <c r="H122" i="35"/>
  <c r="A122" i="35"/>
  <c r="J122" i="35" s="1"/>
  <c r="K121" i="35"/>
  <c r="H121" i="35"/>
  <c r="A121" i="35"/>
  <c r="L121" i="35" s="1"/>
  <c r="K119" i="35"/>
  <c r="I119" i="35"/>
  <c r="C119" i="35"/>
  <c r="A119" i="35"/>
  <c r="J119" i="35" s="1"/>
  <c r="L118" i="35"/>
  <c r="I118" i="35"/>
  <c r="C118" i="35"/>
  <c r="A118" i="35"/>
  <c r="K118" i="35" s="1"/>
  <c r="L117" i="35"/>
  <c r="K117" i="35"/>
  <c r="I117" i="35"/>
  <c r="H117" i="35"/>
  <c r="A117" i="35"/>
  <c r="J117" i="35" s="1"/>
  <c r="L116" i="35"/>
  <c r="J116" i="35"/>
  <c r="A116" i="35"/>
  <c r="A115" i="35"/>
  <c r="L115" i="35" s="1"/>
  <c r="H114" i="35"/>
  <c r="A114" i="35"/>
  <c r="J114" i="35" s="1"/>
  <c r="L112" i="35"/>
  <c r="K112" i="35"/>
  <c r="J112" i="35"/>
  <c r="I112" i="35"/>
  <c r="H112" i="35"/>
  <c r="N111" i="35"/>
  <c r="L111" i="35"/>
  <c r="K111" i="35"/>
  <c r="I111" i="35"/>
  <c r="H111" i="35"/>
  <c r="C111" i="35"/>
  <c r="A111" i="35"/>
  <c r="M111" i="35" s="1"/>
  <c r="N110" i="35"/>
  <c r="L110" i="35"/>
  <c r="K110" i="35"/>
  <c r="I110" i="35"/>
  <c r="H110" i="35"/>
  <c r="C110" i="35"/>
  <c r="A110" i="35"/>
  <c r="J110" i="35" s="1"/>
  <c r="K109" i="35"/>
  <c r="I109" i="35"/>
  <c r="C109" i="35"/>
  <c r="A109" i="35"/>
  <c r="J109" i="35" s="1"/>
  <c r="K108" i="35"/>
  <c r="H108" i="35"/>
  <c r="C108" i="35"/>
  <c r="A108" i="35"/>
  <c r="L107" i="35"/>
  <c r="K107" i="35"/>
  <c r="H107" i="35"/>
  <c r="C107" i="35"/>
  <c r="A107" i="35"/>
  <c r="J107" i="35" s="1"/>
  <c r="A106" i="35"/>
  <c r="M98" i="35"/>
  <c r="A98" i="35"/>
  <c r="A99" i="35" s="1"/>
  <c r="M97" i="35"/>
  <c r="A97" i="35"/>
  <c r="N97" i="35" s="1"/>
  <c r="A96" i="35"/>
  <c r="M91" i="35"/>
  <c r="A91" i="35"/>
  <c r="J91" i="35" s="1"/>
  <c r="M90" i="35"/>
  <c r="A90" i="35"/>
  <c r="A92" i="35" s="1"/>
  <c r="M89" i="35"/>
  <c r="A89" i="35"/>
  <c r="A88" i="35"/>
  <c r="M83" i="35"/>
  <c r="J83" i="35"/>
  <c r="I83" i="35"/>
  <c r="A83" i="35"/>
  <c r="M82" i="35"/>
  <c r="N109" i="35" s="1"/>
  <c r="A82" i="35"/>
  <c r="A84" i="35" s="1"/>
  <c r="M81" i="35"/>
  <c r="A81" i="35"/>
  <c r="A80" i="35"/>
  <c r="M74" i="35"/>
  <c r="N108" i="35" s="1"/>
  <c r="X73" i="35"/>
  <c r="U73" i="35"/>
  <c r="M73" i="35"/>
  <c r="A73" i="35"/>
  <c r="X72" i="35"/>
  <c r="U72" i="35"/>
  <c r="A72" i="35"/>
  <c r="X71" i="35"/>
  <c r="U71" i="35"/>
  <c r="X70" i="35"/>
  <c r="U70" i="35" s="1"/>
  <c r="X69" i="35"/>
  <c r="U69" i="35"/>
  <c r="X68" i="35"/>
  <c r="U68" i="35" s="1"/>
  <c r="X67" i="35"/>
  <c r="U67" i="35"/>
  <c r="X66" i="35"/>
  <c r="U66" i="35" s="1"/>
  <c r="U65" i="35" s="1"/>
  <c r="Z65" i="35"/>
  <c r="Y65" i="35"/>
  <c r="X65" i="35"/>
  <c r="W65" i="35"/>
  <c r="V65" i="35"/>
  <c r="M65" i="35"/>
  <c r="A65" i="35"/>
  <c r="N65" i="35" s="1"/>
  <c r="A64" i="35"/>
  <c r="M59" i="35"/>
  <c r="L59" i="35"/>
  <c r="K59" i="35"/>
  <c r="H59" i="35"/>
  <c r="M66" i="35"/>
  <c r="A58" i="35"/>
  <c r="A59" i="35" s="1"/>
  <c r="M57" i="35"/>
  <c r="A57" i="35"/>
  <c r="N57" i="35" s="1"/>
  <c r="A56" i="35"/>
  <c r="L53" i="35"/>
  <c r="K53" i="35"/>
  <c r="I53" i="35"/>
  <c r="H53" i="35"/>
  <c r="C53" i="35"/>
  <c r="A53" i="35"/>
  <c r="J53" i="35" s="1"/>
  <c r="A52" i="35"/>
  <c r="K52" i="35" s="1"/>
  <c r="K51" i="35"/>
  <c r="H51" i="35"/>
  <c r="A51" i="35"/>
  <c r="L51" i="35" s="1"/>
  <c r="K50" i="35"/>
  <c r="H50" i="35"/>
  <c r="A50" i="35"/>
  <c r="I50" i="35" s="1"/>
  <c r="J49" i="35"/>
  <c r="I49" i="35"/>
  <c r="H49" i="35"/>
  <c r="B49" i="35"/>
  <c r="A49" i="35"/>
  <c r="K48" i="35"/>
  <c r="H48" i="35"/>
  <c r="A48" i="35"/>
  <c r="L48" i="35" s="1"/>
  <c r="L47" i="35"/>
  <c r="K47" i="35"/>
  <c r="J47" i="35"/>
  <c r="I47" i="35"/>
  <c r="H47" i="35"/>
  <c r="L46" i="35"/>
  <c r="K46" i="35"/>
  <c r="J46" i="35"/>
  <c r="I46" i="35"/>
  <c r="H46" i="35"/>
  <c r="L45" i="35"/>
  <c r="A45" i="35"/>
  <c r="J45" i="35" s="1"/>
  <c r="I44" i="35"/>
  <c r="A44" i="35"/>
  <c r="J44" i="35" s="1"/>
  <c r="H43" i="35"/>
  <c r="A43" i="35"/>
  <c r="I43" i="35" s="1"/>
  <c r="K42" i="35"/>
  <c r="H42" i="35"/>
  <c r="A42" i="35"/>
  <c r="L42" i="35" s="1"/>
  <c r="A41" i="35"/>
  <c r="L41" i="35" s="1"/>
  <c r="L40" i="35"/>
  <c r="K40" i="35"/>
  <c r="I40" i="35"/>
  <c r="H40" i="35"/>
  <c r="A40" i="35"/>
  <c r="J40" i="35" s="1"/>
  <c r="L39" i="35"/>
  <c r="K39" i="35"/>
  <c r="J39" i="35"/>
  <c r="I39" i="35"/>
  <c r="H39" i="35"/>
  <c r="J38" i="35"/>
  <c r="H38" i="35"/>
  <c r="C38" i="35"/>
  <c r="L37" i="35"/>
  <c r="K37" i="35"/>
  <c r="J37" i="35"/>
  <c r="I37" i="35"/>
  <c r="H37" i="35"/>
  <c r="C37" i="35"/>
  <c r="C39" i="35" s="1"/>
  <c r="I35" i="35"/>
  <c r="A35" i="35"/>
  <c r="H35" i="35" s="1"/>
  <c r="J34" i="35"/>
  <c r="H34" i="35"/>
  <c r="A34" i="35"/>
  <c r="K34" i="35" s="1"/>
  <c r="L33" i="35"/>
  <c r="K33" i="35"/>
  <c r="C33" i="35"/>
  <c r="A33" i="35"/>
  <c r="J33" i="35" s="1"/>
  <c r="K32" i="35"/>
  <c r="I32" i="35"/>
  <c r="H32" i="35"/>
  <c r="C32" i="35"/>
  <c r="A32" i="35"/>
  <c r="L32" i="35" s="1"/>
  <c r="B31" i="35"/>
  <c r="A31" i="35"/>
  <c r="I31" i="35" s="1"/>
  <c r="L30" i="35"/>
  <c r="J30" i="35"/>
  <c r="H30" i="35"/>
  <c r="A30" i="35"/>
  <c r="K30" i="35" s="1"/>
  <c r="L29" i="35"/>
  <c r="K29" i="35"/>
  <c r="J29" i="35"/>
  <c r="I29" i="35"/>
  <c r="H29" i="35"/>
  <c r="C29" i="35"/>
  <c r="L28" i="35"/>
  <c r="K28" i="35"/>
  <c r="K38" i="35" s="1"/>
  <c r="J28" i="35"/>
  <c r="J130" i="35" s="1"/>
  <c r="I28" i="35"/>
  <c r="I38" i="35" s="1"/>
  <c r="H28" i="35"/>
  <c r="H130" i="35" s="1"/>
  <c r="D28" i="35"/>
  <c r="C28" i="35"/>
  <c r="C47" i="35" s="1"/>
  <c r="D27" i="35"/>
  <c r="C24" i="35"/>
  <c r="B24" i="35"/>
  <c r="B30" i="35" s="1"/>
  <c r="H131" i="33"/>
  <c r="I131" i="33"/>
  <c r="J131" i="33"/>
  <c r="K131" i="33"/>
  <c r="L131" i="33"/>
  <c r="H129" i="33"/>
  <c r="I129" i="33"/>
  <c r="J129" i="33"/>
  <c r="K129" i="33"/>
  <c r="L129" i="33"/>
  <c r="F58" i="33"/>
  <c r="G58" i="33"/>
  <c r="G66" i="33"/>
  <c r="F66" i="33"/>
  <c r="G74" i="33"/>
  <c r="F74" i="33"/>
  <c r="L91" i="40" l="1"/>
  <c r="C75" i="40"/>
  <c r="C49" i="40"/>
  <c r="C48" i="40" s="1"/>
  <c r="C60" i="40" s="1"/>
  <c r="C61" i="40" s="1"/>
  <c r="C114" i="40" s="1"/>
  <c r="J75" i="40"/>
  <c r="K75" i="40"/>
  <c r="E112" i="40"/>
  <c r="E67" i="40" s="1"/>
  <c r="D75" i="40"/>
  <c r="A61" i="40"/>
  <c r="N60" i="40"/>
  <c r="N68" i="40" s="1"/>
  <c r="N76" i="40" s="1"/>
  <c r="N84" i="40" s="1"/>
  <c r="N92" i="40" s="1"/>
  <c r="N100" i="40" s="1"/>
  <c r="C94" i="40"/>
  <c r="C125" i="40" s="1"/>
  <c r="D34" i="40" s="1"/>
  <c r="A78" i="40"/>
  <c r="M83" i="40"/>
  <c r="C83" i="40"/>
  <c r="I83" i="40"/>
  <c r="J83" i="40"/>
  <c r="L83" i="40"/>
  <c r="D83" i="40"/>
  <c r="K83" i="40"/>
  <c r="I91" i="40"/>
  <c r="A85" i="40"/>
  <c r="C84" i="40"/>
  <c r="C85" i="40" s="1"/>
  <c r="C117" i="40" s="1"/>
  <c r="F133" i="40"/>
  <c r="F53" i="40"/>
  <c r="F108" i="40"/>
  <c r="F111" i="40"/>
  <c r="F106" i="40"/>
  <c r="F119" i="40"/>
  <c r="F109" i="40"/>
  <c r="F107" i="40"/>
  <c r="F118" i="40"/>
  <c r="F28" i="40"/>
  <c r="F47" i="40" s="1"/>
  <c r="G27" i="40"/>
  <c r="F110" i="40"/>
  <c r="N99" i="40"/>
  <c r="M99" i="40"/>
  <c r="C99" i="40"/>
  <c r="I99" i="40"/>
  <c r="D99" i="40"/>
  <c r="K99" i="40"/>
  <c r="L99" i="40"/>
  <c r="J99" i="40"/>
  <c r="A69" i="40"/>
  <c r="C100" i="40"/>
  <c r="A101" i="40"/>
  <c r="C59" i="40"/>
  <c r="I59" i="40"/>
  <c r="N59" i="40"/>
  <c r="M59" i="40"/>
  <c r="L59" i="40"/>
  <c r="K59" i="40"/>
  <c r="D59" i="40"/>
  <c r="J59" i="40"/>
  <c r="C67" i="40"/>
  <c r="I67" i="40"/>
  <c r="N67" i="40"/>
  <c r="N75" i="40" s="1"/>
  <c r="N83" i="40" s="1"/>
  <c r="N91" i="40" s="1"/>
  <c r="M67" i="40"/>
  <c r="J67" i="40"/>
  <c r="L67" i="40"/>
  <c r="K67" i="40"/>
  <c r="D67" i="40"/>
  <c r="D67" i="39"/>
  <c r="C67" i="39"/>
  <c r="K112" i="39"/>
  <c r="K83" i="39" s="1"/>
  <c r="I67" i="39"/>
  <c r="J67" i="39"/>
  <c r="C68" i="39"/>
  <c r="C48" i="39"/>
  <c r="A77" i="39"/>
  <c r="C76" i="39"/>
  <c r="E112" i="39"/>
  <c r="E83" i="39" s="1"/>
  <c r="C75" i="39"/>
  <c r="M75" i="39"/>
  <c r="I75" i="39"/>
  <c r="J75" i="39"/>
  <c r="D75" i="39"/>
  <c r="A85" i="39"/>
  <c r="C84" i="39"/>
  <c r="C85" i="39" s="1"/>
  <c r="C117" i="39" s="1"/>
  <c r="A70" i="39"/>
  <c r="C83" i="39"/>
  <c r="M83" i="39"/>
  <c r="I83" i="39"/>
  <c r="D83" i="39"/>
  <c r="J83" i="39"/>
  <c r="N60" i="39"/>
  <c r="N68" i="39" s="1"/>
  <c r="N76" i="39" s="1"/>
  <c r="N84" i="39" s="1"/>
  <c r="N92" i="39" s="1"/>
  <c r="C60" i="39"/>
  <c r="C61" i="39" s="1"/>
  <c r="C114" i="39" s="1"/>
  <c r="A61" i="39"/>
  <c r="A102" i="39"/>
  <c r="N101" i="39"/>
  <c r="K47" i="39"/>
  <c r="I59" i="39"/>
  <c r="N59" i="39"/>
  <c r="N67" i="39" s="1"/>
  <c r="N75" i="39" s="1"/>
  <c r="N83" i="39" s="1"/>
  <c r="N91" i="39" s="1"/>
  <c r="C59" i="39"/>
  <c r="M59" i="39"/>
  <c r="J59" i="39"/>
  <c r="D59" i="39"/>
  <c r="F133" i="39"/>
  <c r="F126" i="39"/>
  <c r="F111" i="39"/>
  <c r="F99" i="39"/>
  <c r="F106" i="39"/>
  <c r="F119" i="39"/>
  <c r="F109" i="39"/>
  <c r="F107" i="39"/>
  <c r="F100" i="39"/>
  <c r="F47" i="39"/>
  <c r="F35" i="39"/>
  <c r="F28" i="39"/>
  <c r="G27" i="39"/>
  <c r="F102" i="39"/>
  <c r="F53" i="39"/>
  <c r="F118" i="39"/>
  <c r="F108" i="39"/>
  <c r="F110" i="39"/>
  <c r="F45" i="39"/>
  <c r="L133" i="39"/>
  <c r="L53" i="39"/>
  <c r="L108" i="39"/>
  <c r="L126" i="39"/>
  <c r="L111" i="39"/>
  <c r="L99" i="39"/>
  <c r="L119" i="39"/>
  <c r="L109" i="39"/>
  <c r="L102" i="39"/>
  <c r="L107" i="39"/>
  <c r="L106" i="39"/>
  <c r="L118" i="39"/>
  <c r="L45" i="39"/>
  <c r="L35" i="39"/>
  <c r="L28" i="39"/>
  <c r="L100" i="39"/>
  <c r="L110" i="39"/>
  <c r="L47" i="39"/>
  <c r="A94" i="39"/>
  <c r="J75" i="37"/>
  <c r="K91" i="37"/>
  <c r="L75" i="37"/>
  <c r="I91" i="37"/>
  <c r="H75" i="37"/>
  <c r="E112" i="37"/>
  <c r="E91" i="37" s="1"/>
  <c r="C51" i="37"/>
  <c r="C50" i="37" s="1"/>
  <c r="C76" i="37" s="1"/>
  <c r="D75" i="37"/>
  <c r="F112" i="37"/>
  <c r="F75" i="37" s="1"/>
  <c r="C75" i="37"/>
  <c r="N59" i="37"/>
  <c r="N67" i="37" s="1"/>
  <c r="N75" i="37" s="1"/>
  <c r="N83" i="37" s="1"/>
  <c r="N91" i="37" s="1"/>
  <c r="M59" i="37"/>
  <c r="J59" i="37"/>
  <c r="H59" i="37"/>
  <c r="C59" i="37"/>
  <c r="L59" i="37"/>
  <c r="K59" i="37"/>
  <c r="I59" i="37"/>
  <c r="D59" i="37"/>
  <c r="A85" i="37"/>
  <c r="A94" i="37"/>
  <c r="A69" i="37"/>
  <c r="N68" i="37"/>
  <c r="N76" i="37" s="1"/>
  <c r="N84" i="37" s="1"/>
  <c r="N92" i="37" s="1"/>
  <c r="I100" i="37"/>
  <c r="H100" i="37"/>
  <c r="N100" i="37"/>
  <c r="A101" i="37"/>
  <c r="L100" i="37"/>
  <c r="K100" i="37"/>
  <c r="J100" i="37"/>
  <c r="D100" i="37"/>
  <c r="C100" i="37"/>
  <c r="E100" i="37"/>
  <c r="K67" i="37"/>
  <c r="C67" i="37"/>
  <c r="J67" i="37"/>
  <c r="I67" i="37"/>
  <c r="H67" i="37"/>
  <c r="M67" i="37"/>
  <c r="L67" i="37"/>
  <c r="D67" i="37"/>
  <c r="N99" i="37"/>
  <c r="M99" i="37"/>
  <c r="J99" i="37"/>
  <c r="L99" i="37"/>
  <c r="K99" i="37"/>
  <c r="I99" i="37"/>
  <c r="H99" i="37"/>
  <c r="D99" i="37"/>
  <c r="C99" i="37"/>
  <c r="E99" i="37"/>
  <c r="K83" i="37"/>
  <c r="C83" i="37"/>
  <c r="M83" i="37"/>
  <c r="L83" i="37"/>
  <c r="J83" i="37"/>
  <c r="I83" i="37"/>
  <c r="H83" i="37"/>
  <c r="D83" i="37"/>
  <c r="G106" i="37"/>
  <c r="M106" i="37" s="1"/>
  <c r="G45" i="37"/>
  <c r="G119" i="37"/>
  <c r="G109" i="37"/>
  <c r="G53" i="37"/>
  <c r="G118" i="37"/>
  <c r="G110" i="37"/>
  <c r="M110" i="37" s="1"/>
  <c r="G111" i="37"/>
  <c r="G35" i="37"/>
  <c r="G28" i="37"/>
  <c r="G108" i="37"/>
  <c r="M108" i="37" s="1"/>
  <c r="G107" i="37"/>
  <c r="M107" i="37" s="1"/>
  <c r="G99" i="37"/>
  <c r="G100" i="37"/>
  <c r="G133" i="37"/>
  <c r="G126" i="37"/>
  <c r="N60" i="37"/>
  <c r="A61" i="37"/>
  <c r="A78" i="37"/>
  <c r="E47" i="36"/>
  <c r="A67" i="36"/>
  <c r="A68" i="36"/>
  <c r="L50" i="36"/>
  <c r="A91" i="36"/>
  <c r="A92" i="36"/>
  <c r="C30" i="36"/>
  <c r="C40" i="36" s="1"/>
  <c r="L48" i="36"/>
  <c r="K51" i="36"/>
  <c r="L51" i="36"/>
  <c r="J51" i="36"/>
  <c r="I51" i="36"/>
  <c r="H51" i="36"/>
  <c r="H53" i="36"/>
  <c r="L53" i="36"/>
  <c r="K53" i="36"/>
  <c r="J53" i="36"/>
  <c r="I53" i="36"/>
  <c r="A75" i="36"/>
  <c r="A76" i="36"/>
  <c r="N98" i="36"/>
  <c r="E126" i="36"/>
  <c r="E111" i="36"/>
  <c r="E99" i="36"/>
  <c r="E114" i="36"/>
  <c r="E106" i="36"/>
  <c r="E116" i="36"/>
  <c r="E100" i="36"/>
  <c r="E53" i="36"/>
  <c r="E119" i="36"/>
  <c r="E118" i="36"/>
  <c r="E115" i="36"/>
  <c r="E134" i="36" s="1"/>
  <c r="E35" i="36"/>
  <c r="E110" i="36"/>
  <c r="E28" i="36"/>
  <c r="E133" i="36"/>
  <c r="E109" i="36"/>
  <c r="E107" i="36"/>
  <c r="E45" i="36"/>
  <c r="E108" i="36"/>
  <c r="C47" i="36"/>
  <c r="C52" i="36" s="1"/>
  <c r="L45" i="36"/>
  <c r="J45" i="36"/>
  <c r="I45" i="36"/>
  <c r="H45" i="36"/>
  <c r="C45" i="36"/>
  <c r="I107" i="36"/>
  <c r="H107" i="36"/>
  <c r="N107" i="36"/>
  <c r="C107" i="36"/>
  <c r="L107" i="36"/>
  <c r="K107" i="36"/>
  <c r="J107" i="36"/>
  <c r="D107" i="36"/>
  <c r="H42" i="36"/>
  <c r="I42" i="36"/>
  <c r="C42" i="36"/>
  <c r="C53" i="36"/>
  <c r="A100" i="36"/>
  <c r="I33" i="36"/>
  <c r="H33" i="36"/>
  <c r="C33" i="36"/>
  <c r="C43" i="36" s="1"/>
  <c r="J130" i="36"/>
  <c r="I30" i="36"/>
  <c r="K33" i="36"/>
  <c r="J42" i="36"/>
  <c r="C44" i="36"/>
  <c r="D53" i="36"/>
  <c r="H125" i="36"/>
  <c r="L125" i="36"/>
  <c r="K125" i="36"/>
  <c r="J125" i="36"/>
  <c r="I125" i="36"/>
  <c r="N57" i="36"/>
  <c r="N65" i="36" s="1"/>
  <c r="N73" i="36" s="1"/>
  <c r="N81" i="36" s="1"/>
  <c r="N89" i="36" s="1"/>
  <c r="A58" i="36"/>
  <c r="M74" i="36"/>
  <c r="N108" i="36" s="1"/>
  <c r="M99" i="36"/>
  <c r="L99" i="36"/>
  <c r="J99" i="36"/>
  <c r="C99" i="36"/>
  <c r="N99" i="36"/>
  <c r="K99" i="36"/>
  <c r="I99" i="36"/>
  <c r="H99" i="36"/>
  <c r="K130" i="36"/>
  <c r="I50" i="36"/>
  <c r="H50" i="36"/>
  <c r="K50" i="36"/>
  <c r="J50" i="36"/>
  <c r="H48" i="36"/>
  <c r="J48" i="36"/>
  <c r="I48" i="36"/>
  <c r="I122" i="36"/>
  <c r="H122" i="36"/>
  <c r="K123" i="36"/>
  <c r="I31" i="36"/>
  <c r="K40" i="36"/>
  <c r="M58" i="36"/>
  <c r="M65" i="36"/>
  <c r="D110" i="36"/>
  <c r="L116" i="36"/>
  <c r="K119" i="36"/>
  <c r="D133" i="36"/>
  <c r="L121" i="36"/>
  <c r="K121" i="36"/>
  <c r="I121" i="36"/>
  <c r="I106" i="36"/>
  <c r="H108" i="36"/>
  <c r="I109" i="36"/>
  <c r="C116" i="36"/>
  <c r="H123" i="36"/>
  <c r="H106" i="36"/>
  <c r="H109" i="36"/>
  <c r="D108" i="36"/>
  <c r="D126" i="36"/>
  <c r="D111" i="36"/>
  <c r="D99" i="36"/>
  <c r="D119" i="36"/>
  <c r="D109" i="36"/>
  <c r="D45" i="36"/>
  <c r="K32" i="36"/>
  <c r="A82" i="36"/>
  <c r="K114" i="36"/>
  <c r="C114" i="36"/>
  <c r="D115" i="36"/>
  <c r="D134" i="36" s="1"/>
  <c r="D116" i="36"/>
  <c r="D118" i="36"/>
  <c r="C119" i="36"/>
  <c r="I123" i="36"/>
  <c r="N106" i="36"/>
  <c r="K106" i="36"/>
  <c r="C106" i="36"/>
  <c r="L108" i="36"/>
  <c r="K108" i="36"/>
  <c r="C108" i="36"/>
  <c r="I108" i="36"/>
  <c r="N109" i="36"/>
  <c r="L109" i="36"/>
  <c r="J116" i="36"/>
  <c r="J121" i="36"/>
  <c r="L122" i="36"/>
  <c r="J43" i="36"/>
  <c r="I49" i="36"/>
  <c r="J111" i="36"/>
  <c r="H115" i="36"/>
  <c r="H124" i="36"/>
  <c r="I34" i="36"/>
  <c r="J41" i="36"/>
  <c r="I44" i="36"/>
  <c r="K49" i="36"/>
  <c r="J52" i="36"/>
  <c r="J115" i="36"/>
  <c r="J124" i="36"/>
  <c r="C41" i="36"/>
  <c r="C115" i="36"/>
  <c r="C134" i="36" s="1"/>
  <c r="I92" i="35"/>
  <c r="A93" i="35"/>
  <c r="L92" i="35"/>
  <c r="K92" i="35"/>
  <c r="J92" i="35"/>
  <c r="H92" i="35"/>
  <c r="C43" i="35"/>
  <c r="C42" i="35"/>
  <c r="H99" i="35"/>
  <c r="N99" i="35"/>
  <c r="M99" i="35"/>
  <c r="K99" i="35"/>
  <c r="C99" i="35"/>
  <c r="J99" i="35"/>
  <c r="C31" i="35"/>
  <c r="C41" i="35" s="1"/>
  <c r="K31" i="35"/>
  <c r="I34" i="35"/>
  <c r="H44" i="35"/>
  <c r="J50" i="35"/>
  <c r="D53" i="35"/>
  <c r="I106" i="35"/>
  <c r="L106" i="35"/>
  <c r="K106" i="35"/>
  <c r="C106" i="35"/>
  <c r="C112" i="35" s="1"/>
  <c r="C59" i="35" s="1"/>
  <c r="D110" i="35"/>
  <c r="D118" i="35"/>
  <c r="K125" i="35"/>
  <c r="I125" i="35"/>
  <c r="H125" i="35"/>
  <c r="I130" i="35"/>
  <c r="L31" i="35"/>
  <c r="B34" i="35"/>
  <c r="B29" i="35" s="1"/>
  <c r="A74" i="35"/>
  <c r="N73" i="35"/>
  <c r="N98" i="35"/>
  <c r="K130" i="35"/>
  <c r="J31" i="35"/>
  <c r="D107" i="35"/>
  <c r="D133" i="35"/>
  <c r="D108" i="35"/>
  <c r="D126" i="35"/>
  <c r="D111" i="35"/>
  <c r="D106" i="35"/>
  <c r="D119" i="35"/>
  <c r="D109" i="35"/>
  <c r="D47" i="35"/>
  <c r="E27" i="35"/>
  <c r="I30" i="35"/>
  <c r="J32" i="35"/>
  <c r="C34" i="35"/>
  <c r="C46" i="35" s="1"/>
  <c r="L34" i="35"/>
  <c r="J35" i="35"/>
  <c r="H41" i="35"/>
  <c r="J43" i="35"/>
  <c r="L49" i="35"/>
  <c r="K49" i="35"/>
  <c r="L50" i="35"/>
  <c r="J52" i="35"/>
  <c r="M58" i="35"/>
  <c r="N106" i="35" s="1"/>
  <c r="L83" i="35"/>
  <c r="K83" i="35"/>
  <c r="D99" i="35"/>
  <c r="H106" i="35"/>
  <c r="I123" i="35"/>
  <c r="L123" i="35"/>
  <c r="K123" i="35"/>
  <c r="J125" i="35"/>
  <c r="J84" i="35"/>
  <c r="I84" i="35"/>
  <c r="A85" i="35"/>
  <c r="I52" i="35"/>
  <c r="H33" i="35"/>
  <c r="K35" i="35"/>
  <c r="I41" i="35"/>
  <c r="K43" i="35"/>
  <c r="K45" i="35"/>
  <c r="C45" i="35"/>
  <c r="I45" i="35"/>
  <c r="H45" i="35"/>
  <c r="H84" i="35"/>
  <c r="J106" i="35"/>
  <c r="H123" i="35"/>
  <c r="L125" i="35"/>
  <c r="C30" i="35"/>
  <c r="C40" i="35" s="1"/>
  <c r="I33" i="35"/>
  <c r="C35" i="35"/>
  <c r="L35" i="35"/>
  <c r="J41" i="35"/>
  <c r="L43" i="35"/>
  <c r="D45" i="35"/>
  <c r="J59" i="35"/>
  <c r="I59" i="35"/>
  <c r="N59" i="35"/>
  <c r="H83" i="35"/>
  <c r="K84" i="35"/>
  <c r="I99" i="35"/>
  <c r="K116" i="35"/>
  <c r="C116" i="35"/>
  <c r="I116" i="35"/>
  <c r="H116" i="35"/>
  <c r="J123" i="35"/>
  <c r="H31" i="35"/>
  <c r="D35" i="35"/>
  <c r="K41" i="35"/>
  <c r="L44" i="35"/>
  <c r="K44" i="35"/>
  <c r="N81" i="35"/>
  <c r="N89" i="35" s="1"/>
  <c r="L84" i="35"/>
  <c r="L91" i="35"/>
  <c r="K91" i="35"/>
  <c r="I91" i="35"/>
  <c r="H91" i="35"/>
  <c r="L99" i="35"/>
  <c r="L130" i="35"/>
  <c r="L38" i="35"/>
  <c r="H52" i="35"/>
  <c r="L52" i="35"/>
  <c r="A100" i="35"/>
  <c r="I114" i="35"/>
  <c r="L114" i="35"/>
  <c r="K114" i="35"/>
  <c r="C114" i="35"/>
  <c r="I42" i="35"/>
  <c r="I48" i="35"/>
  <c r="I51" i="35"/>
  <c r="A66" i="35"/>
  <c r="N107" i="35"/>
  <c r="I108" i="35"/>
  <c r="L109" i="35"/>
  <c r="J111" i="35"/>
  <c r="H115" i="35"/>
  <c r="L119" i="35"/>
  <c r="I121" i="35"/>
  <c r="H124" i="35"/>
  <c r="J126" i="35"/>
  <c r="J42" i="35"/>
  <c r="J48" i="35"/>
  <c r="J51" i="35"/>
  <c r="A60" i="35"/>
  <c r="J108" i="35"/>
  <c r="I115" i="35"/>
  <c r="H118" i="35"/>
  <c r="J121" i="35"/>
  <c r="I124" i="35"/>
  <c r="C126" i="35"/>
  <c r="J115" i="35"/>
  <c r="J124" i="35"/>
  <c r="N58" i="35"/>
  <c r="I107" i="35"/>
  <c r="L108" i="35"/>
  <c r="C115" i="35"/>
  <c r="C134" i="35" s="1"/>
  <c r="K115" i="35"/>
  <c r="J118" i="35"/>
  <c r="I122" i="35"/>
  <c r="K124" i="35"/>
  <c r="H109" i="35"/>
  <c r="H119" i="35"/>
  <c r="H46" i="33"/>
  <c r="I46" i="33"/>
  <c r="J46" i="33"/>
  <c r="K46" i="33"/>
  <c r="L46" i="33"/>
  <c r="G69" i="33"/>
  <c r="C66" i="33"/>
  <c r="D58" i="33"/>
  <c r="D66" i="33" s="1"/>
  <c r="E58" i="33"/>
  <c r="E66" i="33" s="1"/>
  <c r="C58" i="33"/>
  <c r="D65" i="33"/>
  <c r="E65" i="33"/>
  <c r="C65" i="33"/>
  <c r="E59" i="40" l="1"/>
  <c r="E99" i="40"/>
  <c r="C68" i="40"/>
  <c r="F112" i="40"/>
  <c r="F83" i="40" s="1"/>
  <c r="E83" i="40"/>
  <c r="E91" i="40"/>
  <c r="E75" i="40"/>
  <c r="A62" i="40"/>
  <c r="N61" i="40"/>
  <c r="C78" i="40"/>
  <c r="C123" i="40" s="1"/>
  <c r="D32" i="40" s="1"/>
  <c r="G108" i="40"/>
  <c r="G111" i="40"/>
  <c r="G106" i="40"/>
  <c r="G119" i="40"/>
  <c r="G109" i="40"/>
  <c r="G107" i="40"/>
  <c r="G118" i="40"/>
  <c r="G110" i="40"/>
  <c r="G133" i="40"/>
  <c r="G53" i="40"/>
  <c r="G28" i="40"/>
  <c r="H27" i="40"/>
  <c r="A86" i="40"/>
  <c r="A102" i="40"/>
  <c r="A70" i="40"/>
  <c r="N69" i="40"/>
  <c r="N77" i="40" s="1"/>
  <c r="N85" i="40" s="1"/>
  <c r="N93" i="40" s="1"/>
  <c r="N101" i="40" s="1"/>
  <c r="E59" i="39"/>
  <c r="E75" i="39"/>
  <c r="K67" i="39"/>
  <c r="K59" i="39"/>
  <c r="K75" i="39"/>
  <c r="K91" i="39"/>
  <c r="C102" i="39"/>
  <c r="I102" i="39"/>
  <c r="N102" i="39"/>
  <c r="J102" i="39"/>
  <c r="D102" i="39"/>
  <c r="E102" i="39"/>
  <c r="K102" i="39"/>
  <c r="N61" i="39"/>
  <c r="N69" i="39" s="1"/>
  <c r="A62" i="39"/>
  <c r="L112" i="39"/>
  <c r="F112" i="39"/>
  <c r="A86" i="39"/>
  <c r="N77" i="39"/>
  <c r="N85" i="39" s="1"/>
  <c r="N93" i="39" s="1"/>
  <c r="A78" i="39"/>
  <c r="G126" i="39"/>
  <c r="G106" i="39"/>
  <c r="G47" i="39"/>
  <c r="G119" i="39"/>
  <c r="G109" i="39"/>
  <c r="G100" i="39"/>
  <c r="G118" i="39"/>
  <c r="G110" i="39"/>
  <c r="G102" i="39"/>
  <c r="G45" i="39"/>
  <c r="G99" i="39"/>
  <c r="G35" i="39"/>
  <c r="G28" i="39"/>
  <c r="H27" i="39"/>
  <c r="G111" i="39"/>
  <c r="G53" i="39"/>
  <c r="G133" i="39"/>
  <c r="G107" i="39"/>
  <c r="G108" i="39"/>
  <c r="C70" i="39"/>
  <c r="C122" i="39" s="1"/>
  <c r="D31" i="39" s="1"/>
  <c r="E67" i="39"/>
  <c r="E91" i="39"/>
  <c r="C94" i="39"/>
  <c r="C125" i="39" s="1"/>
  <c r="D34" i="39" s="1"/>
  <c r="E75" i="37"/>
  <c r="E67" i="37"/>
  <c r="E59" i="37"/>
  <c r="E83" i="37"/>
  <c r="C84" i="37"/>
  <c r="C85" i="37" s="1"/>
  <c r="C117" i="37" s="1"/>
  <c r="C49" i="37"/>
  <c r="F59" i="37"/>
  <c r="F67" i="37"/>
  <c r="F83" i="37"/>
  <c r="F91" i="37"/>
  <c r="G112" i="37"/>
  <c r="G91" i="37" s="1"/>
  <c r="C78" i="37"/>
  <c r="C123" i="37" s="1"/>
  <c r="D32" i="37" s="1"/>
  <c r="M109" i="37"/>
  <c r="A70" i="37"/>
  <c r="A86" i="37"/>
  <c r="G47" i="37"/>
  <c r="A102" i="37"/>
  <c r="N101" i="37"/>
  <c r="A62" i="37"/>
  <c r="N61" i="37"/>
  <c r="N69" i="37" s="1"/>
  <c r="N77" i="37" s="1"/>
  <c r="N85" i="37" s="1"/>
  <c r="N93" i="37" s="1"/>
  <c r="C94" i="37"/>
  <c r="C125" i="37" s="1"/>
  <c r="D34" i="37" s="1"/>
  <c r="D112" i="36"/>
  <c r="D75" i="36" s="1"/>
  <c r="C112" i="36"/>
  <c r="C67" i="36" s="1"/>
  <c r="E112" i="36"/>
  <c r="E67" i="36" s="1"/>
  <c r="K91" i="36"/>
  <c r="J91" i="36"/>
  <c r="H91" i="36"/>
  <c r="M91" i="36"/>
  <c r="I91" i="36"/>
  <c r="L91" i="36"/>
  <c r="L68" i="36"/>
  <c r="K68" i="36"/>
  <c r="I68" i="36"/>
  <c r="J68" i="36"/>
  <c r="A69" i="36"/>
  <c r="H68" i="36"/>
  <c r="A83" i="36"/>
  <c r="A84" i="36"/>
  <c r="H100" i="36"/>
  <c r="N100" i="36"/>
  <c r="C100" i="36"/>
  <c r="L100" i="36"/>
  <c r="K100" i="36"/>
  <c r="J100" i="36"/>
  <c r="I100" i="36"/>
  <c r="D100" i="36"/>
  <c r="A101" i="36"/>
  <c r="A77" i="36"/>
  <c r="L76" i="36"/>
  <c r="I76" i="36"/>
  <c r="H76" i="36"/>
  <c r="K76" i="36"/>
  <c r="J76" i="36"/>
  <c r="K67" i="36"/>
  <c r="J67" i="36"/>
  <c r="H67" i="36"/>
  <c r="I67" i="36"/>
  <c r="L67" i="36"/>
  <c r="M67" i="36"/>
  <c r="N58" i="36"/>
  <c r="N66" i="36" s="1"/>
  <c r="N74" i="36" s="1"/>
  <c r="N82" i="36" s="1"/>
  <c r="N90" i="36" s="1"/>
  <c r="A60" i="36"/>
  <c r="A59" i="36"/>
  <c r="L75" i="36"/>
  <c r="K75" i="36"/>
  <c r="I75" i="36"/>
  <c r="H75" i="36"/>
  <c r="J75" i="36"/>
  <c r="M75" i="36"/>
  <c r="F133" i="36"/>
  <c r="F114" i="36"/>
  <c r="F106" i="36"/>
  <c r="F119" i="36"/>
  <c r="F109" i="36"/>
  <c r="F45" i="36"/>
  <c r="F35" i="36"/>
  <c r="F107" i="36"/>
  <c r="F116" i="36"/>
  <c r="F111" i="36"/>
  <c r="F110" i="36"/>
  <c r="F28" i="36"/>
  <c r="F47" i="36" s="1"/>
  <c r="F108" i="36"/>
  <c r="F100" i="36"/>
  <c r="F126" i="36"/>
  <c r="F53" i="36"/>
  <c r="F99" i="36"/>
  <c r="F115" i="36"/>
  <c r="F134" i="36" s="1"/>
  <c r="F118" i="36"/>
  <c r="C51" i="36"/>
  <c r="C50" i="36" s="1"/>
  <c r="A93" i="36"/>
  <c r="K92" i="36"/>
  <c r="C92" i="36"/>
  <c r="L92" i="36"/>
  <c r="I92" i="36"/>
  <c r="H92" i="36"/>
  <c r="J92" i="36"/>
  <c r="C83" i="35"/>
  <c r="D112" i="35"/>
  <c r="D83" i="35" s="1"/>
  <c r="A94" i="35"/>
  <c r="A68" i="35"/>
  <c r="N66" i="35"/>
  <c r="A67" i="35"/>
  <c r="K100" i="35"/>
  <c r="C100" i="35"/>
  <c r="I100" i="35"/>
  <c r="H100" i="35"/>
  <c r="A101" i="35"/>
  <c r="N100" i="35"/>
  <c r="L100" i="35"/>
  <c r="J100" i="35"/>
  <c r="D100" i="35"/>
  <c r="E118" i="35"/>
  <c r="E110" i="35"/>
  <c r="E108" i="35"/>
  <c r="E126" i="35"/>
  <c r="E111" i="35"/>
  <c r="E99" i="35"/>
  <c r="E119" i="35"/>
  <c r="E109" i="35"/>
  <c r="E47" i="35"/>
  <c r="E100" i="35"/>
  <c r="E35" i="35"/>
  <c r="E45" i="35"/>
  <c r="F27" i="35"/>
  <c r="E28" i="35"/>
  <c r="E106" i="35"/>
  <c r="E53" i="35"/>
  <c r="E133" i="35"/>
  <c r="E107" i="35"/>
  <c r="A86" i="35"/>
  <c r="N60" i="35"/>
  <c r="L60" i="35"/>
  <c r="J60" i="35"/>
  <c r="I60" i="35"/>
  <c r="K60" i="35"/>
  <c r="H60" i="35"/>
  <c r="A61" i="35"/>
  <c r="C91" i="35"/>
  <c r="C44" i="35"/>
  <c r="C52" i="35" s="1"/>
  <c r="C92" i="35" s="1"/>
  <c r="A75" i="35"/>
  <c r="N74" i="35"/>
  <c r="N82" i="35" s="1"/>
  <c r="N90" i="35" s="1"/>
  <c r="A76" i="35"/>
  <c r="B49" i="33"/>
  <c r="H29" i="33"/>
  <c r="I29" i="33"/>
  <c r="J29" i="33"/>
  <c r="K29" i="33"/>
  <c r="L29" i="33"/>
  <c r="H47" i="33"/>
  <c r="I47" i="33"/>
  <c r="J47" i="33"/>
  <c r="K47" i="33"/>
  <c r="L47" i="33"/>
  <c r="V65" i="33"/>
  <c r="W65" i="33"/>
  <c r="Y65" i="33"/>
  <c r="Z65" i="33"/>
  <c r="A49" i="33"/>
  <c r="J49" i="33" s="1"/>
  <c r="A50" i="33"/>
  <c r="J50" i="33" s="1"/>
  <c r="A51" i="33"/>
  <c r="H51" i="33" s="1"/>
  <c r="A52" i="33"/>
  <c r="H52" i="33" s="1"/>
  <c r="A53" i="33"/>
  <c r="C53" i="33" s="1"/>
  <c r="A48" i="33"/>
  <c r="H48" i="33" s="1"/>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34" i="33"/>
  <c r="K134" i="33"/>
  <c r="J134" i="33"/>
  <c r="I134" i="33"/>
  <c r="H134" i="33"/>
  <c r="L133" i="33"/>
  <c r="K133" i="33"/>
  <c r="J133" i="33"/>
  <c r="I133" i="33"/>
  <c r="H133" i="33"/>
  <c r="C133" i="33"/>
  <c r="L127" i="33"/>
  <c r="K127" i="33"/>
  <c r="J127" i="33"/>
  <c r="I127" i="33"/>
  <c r="H127" i="33"/>
  <c r="A126" i="33"/>
  <c r="K126" i="33" s="1"/>
  <c r="A125" i="33"/>
  <c r="L125" i="33" s="1"/>
  <c r="A124" i="33"/>
  <c r="I124" i="33" s="1"/>
  <c r="X73" i="33"/>
  <c r="U73" i="33" s="1"/>
  <c r="A123" i="33"/>
  <c r="H123" i="33" s="1"/>
  <c r="X72" i="33"/>
  <c r="U72" i="33" s="1"/>
  <c r="A122" i="33"/>
  <c r="K122" i="33" s="1"/>
  <c r="X71" i="33"/>
  <c r="U71" i="33" s="1"/>
  <c r="A121" i="33"/>
  <c r="H121" i="33" s="1"/>
  <c r="X70" i="33"/>
  <c r="U70" i="33" s="1"/>
  <c r="X69" i="33"/>
  <c r="U69" i="33" s="1"/>
  <c r="A119" i="33"/>
  <c r="H119" i="33" s="1"/>
  <c r="X68" i="33"/>
  <c r="U68" i="33" s="1"/>
  <c r="A118" i="33"/>
  <c r="I118" i="33" s="1"/>
  <c r="X67" i="33"/>
  <c r="U67" i="33" s="1"/>
  <c r="A117" i="33"/>
  <c r="J117" i="33" s="1"/>
  <c r="X66" i="33"/>
  <c r="U66" i="33" s="1"/>
  <c r="U65"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L37" i="33"/>
  <c r="K37" i="33"/>
  <c r="J37" i="33"/>
  <c r="I37" i="33"/>
  <c r="H37" i="33"/>
  <c r="C37" i="33"/>
  <c r="A35" i="33"/>
  <c r="K35" i="33" s="1"/>
  <c r="A34" i="33"/>
  <c r="L34" i="33" s="1"/>
  <c r="A33" i="33"/>
  <c r="I33" i="33" s="1"/>
  <c r="A32" i="33"/>
  <c r="H32" i="33" s="1"/>
  <c r="A31" i="33"/>
  <c r="K31" i="33" s="1"/>
  <c r="A30" i="33"/>
  <c r="H30" i="33" s="1"/>
  <c r="C29" i="33"/>
  <c r="L28" i="33"/>
  <c r="K28" i="33"/>
  <c r="J28" i="33"/>
  <c r="I28" i="33"/>
  <c r="H28" i="33"/>
  <c r="D28" i="33"/>
  <c r="D47" i="33" s="1"/>
  <c r="C28" i="33"/>
  <c r="C47" i="33" s="1"/>
  <c r="D27" i="33"/>
  <c r="D115" i="33" s="1"/>
  <c r="C24" i="33"/>
  <c r="B31" i="33" s="1"/>
  <c r="B24" i="33"/>
  <c r="F67" i="40" l="1"/>
  <c r="F99" i="40"/>
  <c r="F59" i="40"/>
  <c r="F91" i="40"/>
  <c r="F75" i="40"/>
  <c r="G112" i="40"/>
  <c r="G83" i="40" s="1"/>
  <c r="H111" i="40"/>
  <c r="M111" i="40" s="1"/>
  <c r="H106" i="40"/>
  <c r="M106" i="40" s="1"/>
  <c r="H109" i="40"/>
  <c r="M109" i="40" s="1"/>
  <c r="H107" i="40"/>
  <c r="M107" i="40" s="1"/>
  <c r="H118" i="40"/>
  <c r="H110" i="40"/>
  <c r="M110" i="40" s="1"/>
  <c r="H133" i="40"/>
  <c r="H53" i="40"/>
  <c r="H28" i="40"/>
  <c r="H108" i="40"/>
  <c r="M108" i="40" s="1"/>
  <c r="C62" i="40"/>
  <c r="C121" i="40" s="1"/>
  <c r="N62" i="40"/>
  <c r="N70" i="40"/>
  <c r="N78" i="40" s="1"/>
  <c r="N86" i="40" s="1"/>
  <c r="N94" i="40" s="1"/>
  <c r="N102" i="40" s="1"/>
  <c r="C70" i="40"/>
  <c r="C122" i="40" s="1"/>
  <c r="D31" i="40" s="1"/>
  <c r="G47" i="40"/>
  <c r="C86" i="40"/>
  <c r="C124" i="40" s="1"/>
  <c r="D33" i="40" s="1"/>
  <c r="C102" i="40"/>
  <c r="C126" i="40" s="1"/>
  <c r="D35" i="40" s="1"/>
  <c r="G112" i="39"/>
  <c r="G83" i="39" s="1"/>
  <c r="C86" i="39"/>
  <c r="C124" i="39" s="1"/>
  <c r="D33" i="39" s="1"/>
  <c r="F59" i="39"/>
  <c r="F91" i="39"/>
  <c r="F75" i="39"/>
  <c r="F83" i="39"/>
  <c r="F67" i="39"/>
  <c r="H126" i="39"/>
  <c r="H111" i="39"/>
  <c r="H119" i="39"/>
  <c r="H109" i="39"/>
  <c r="M109" i="39" s="1"/>
  <c r="H100" i="39"/>
  <c r="H107" i="39"/>
  <c r="M107" i="39" s="1"/>
  <c r="H133" i="39"/>
  <c r="H53" i="39"/>
  <c r="H102" i="39"/>
  <c r="H45" i="39"/>
  <c r="H118" i="39"/>
  <c r="H108" i="39"/>
  <c r="M108" i="39" s="1"/>
  <c r="H106" i="39"/>
  <c r="M106" i="39" s="1"/>
  <c r="H110" i="39"/>
  <c r="M110" i="39" s="1"/>
  <c r="H99" i="39"/>
  <c r="H35" i="39"/>
  <c r="H28" i="39"/>
  <c r="H47" i="39" s="1"/>
  <c r="L59" i="39"/>
  <c r="L67" i="39"/>
  <c r="L91" i="39"/>
  <c r="L83" i="39"/>
  <c r="L75" i="39"/>
  <c r="N62" i="39"/>
  <c r="N70" i="39" s="1"/>
  <c r="C62" i="39"/>
  <c r="C121" i="39" s="1"/>
  <c r="N78" i="39"/>
  <c r="N86" i="39" s="1"/>
  <c r="N94" i="39" s="1"/>
  <c r="C78" i="39"/>
  <c r="C123" i="39" s="1"/>
  <c r="D32" i="39" s="1"/>
  <c r="D46" i="39" s="1"/>
  <c r="D77" i="39" s="1"/>
  <c r="D116" i="39" s="1"/>
  <c r="C48" i="37"/>
  <c r="C60" i="37" s="1"/>
  <c r="C61" i="37" s="1"/>
  <c r="C114" i="37" s="1"/>
  <c r="C68" i="37"/>
  <c r="G83" i="37"/>
  <c r="G67" i="37"/>
  <c r="G59" i="37"/>
  <c r="G75" i="37"/>
  <c r="K102" i="37"/>
  <c r="C102" i="37"/>
  <c r="J102" i="37"/>
  <c r="N102" i="37"/>
  <c r="L102" i="37"/>
  <c r="I102" i="37"/>
  <c r="H102" i="37"/>
  <c r="D102" i="37"/>
  <c r="E102" i="37"/>
  <c r="F102" i="37"/>
  <c r="G102" i="37"/>
  <c r="N62" i="37"/>
  <c r="C62" i="37"/>
  <c r="C121" i="37" s="1"/>
  <c r="C86" i="37"/>
  <c r="C124" i="37" s="1"/>
  <c r="D33" i="37" s="1"/>
  <c r="N70" i="37"/>
  <c r="N78" i="37" s="1"/>
  <c r="N86" i="37" s="1"/>
  <c r="N94" i="37" s="1"/>
  <c r="C70" i="37"/>
  <c r="C122" i="37" s="1"/>
  <c r="D31" i="37" s="1"/>
  <c r="D46" i="37" s="1"/>
  <c r="D77" i="37" s="1"/>
  <c r="D116" i="37" s="1"/>
  <c r="E91" i="36"/>
  <c r="D67" i="36"/>
  <c r="E75" i="36"/>
  <c r="C75" i="36"/>
  <c r="C91" i="36"/>
  <c r="D91" i="36"/>
  <c r="C76" i="36"/>
  <c r="C49" i="36"/>
  <c r="L60" i="36"/>
  <c r="K60" i="36"/>
  <c r="I60" i="36"/>
  <c r="J60" i="36"/>
  <c r="H60" i="36"/>
  <c r="A61" i="36"/>
  <c r="N60" i="36"/>
  <c r="N68" i="36" s="1"/>
  <c r="N76" i="36" s="1"/>
  <c r="N84" i="36" s="1"/>
  <c r="N92" i="36" s="1"/>
  <c r="F112" i="36"/>
  <c r="A78" i="36"/>
  <c r="A102" i="36"/>
  <c r="N101" i="36"/>
  <c r="I84" i="36"/>
  <c r="H84" i="36"/>
  <c r="A85" i="36"/>
  <c r="C84" i="36"/>
  <c r="L84" i="36"/>
  <c r="K84" i="36"/>
  <c r="J84" i="36"/>
  <c r="A94" i="36"/>
  <c r="M83" i="36"/>
  <c r="K83" i="36"/>
  <c r="C83" i="36"/>
  <c r="L83" i="36"/>
  <c r="J83" i="36"/>
  <c r="I83" i="36"/>
  <c r="H83" i="36"/>
  <c r="D83" i="36"/>
  <c r="E83" i="36"/>
  <c r="G119" i="36"/>
  <c r="G109" i="36"/>
  <c r="M109" i="36" s="1"/>
  <c r="G45" i="36"/>
  <c r="G35" i="36"/>
  <c r="G116" i="36"/>
  <c r="G100" i="36"/>
  <c r="G53" i="36"/>
  <c r="G118" i="36"/>
  <c r="G110" i="36"/>
  <c r="M110" i="36" s="1"/>
  <c r="G102" i="36"/>
  <c r="G115" i="36"/>
  <c r="G134" i="36" s="1"/>
  <c r="G111" i="36"/>
  <c r="G28" i="36"/>
  <c r="G133" i="36"/>
  <c r="G108" i="36"/>
  <c r="M108" i="36" s="1"/>
  <c r="G107" i="36"/>
  <c r="M107" i="36" s="1"/>
  <c r="G126" i="36"/>
  <c r="G106" i="36"/>
  <c r="M106" i="36" s="1"/>
  <c r="G99" i="36"/>
  <c r="G47" i="36"/>
  <c r="G114" i="36"/>
  <c r="A70" i="36"/>
  <c r="I59" i="36"/>
  <c r="H59" i="36"/>
  <c r="N59" i="36"/>
  <c r="N67" i="36" s="1"/>
  <c r="N75" i="36" s="1"/>
  <c r="N83" i="36" s="1"/>
  <c r="N91" i="36" s="1"/>
  <c r="K59" i="36"/>
  <c r="J59" i="36"/>
  <c r="D59" i="36"/>
  <c r="C59" i="36"/>
  <c r="M59" i="36"/>
  <c r="L59" i="36"/>
  <c r="E59" i="36"/>
  <c r="D59" i="35"/>
  <c r="D91" i="35"/>
  <c r="E112" i="35"/>
  <c r="E67" i="35" s="1"/>
  <c r="H76" i="35"/>
  <c r="L76" i="35"/>
  <c r="A77" i="35"/>
  <c r="K76" i="35"/>
  <c r="J76" i="35"/>
  <c r="I76" i="35"/>
  <c r="A102" i="35"/>
  <c r="N101" i="35"/>
  <c r="K94" i="35"/>
  <c r="C94" i="35"/>
  <c r="C125" i="35" s="1"/>
  <c r="D34" i="35" s="1"/>
  <c r="I94" i="35"/>
  <c r="H94" i="35"/>
  <c r="L94" i="35"/>
  <c r="J94" i="35"/>
  <c r="M75" i="35"/>
  <c r="L75" i="35"/>
  <c r="J75" i="35"/>
  <c r="I75" i="35"/>
  <c r="K75" i="35"/>
  <c r="H75" i="35"/>
  <c r="C75" i="35"/>
  <c r="D75" i="35"/>
  <c r="C51" i="35"/>
  <c r="A62" i="35"/>
  <c r="N61" i="35"/>
  <c r="L67" i="35"/>
  <c r="K67" i="35"/>
  <c r="C67" i="35"/>
  <c r="I67" i="35"/>
  <c r="H67" i="35"/>
  <c r="N67" i="35"/>
  <c r="N75" i="35" s="1"/>
  <c r="N83" i="35" s="1"/>
  <c r="N91" i="35" s="1"/>
  <c r="M67" i="35"/>
  <c r="J67" i="35"/>
  <c r="D67" i="35"/>
  <c r="L86" i="35"/>
  <c r="K86" i="35"/>
  <c r="J86" i="35"/>
  <c r="I86" i="35"/>
  <c r="H86" i="35"/>
  <c r="F133" i="35"/>
  <c r="F126" i="35"/>
  <c r="F111" i="35"/>
  <c r="F99" i="35"/>
  <c r="F106" i="35"/>
  <c r="F119" i="35"/>
  <c r="F109" i="35"/>
  <c r="F100" i="35"/>
  <c r="F107" i="35"/>
  <c r="F108" i="35"/>
  <c r="F45" i="35"/>
  <c r="F102" i="35"/>
  <c r="G27" i="35"/>
  <c r="F53" i="35"/>
  <c r="F35" i="35"/>
  <c r="F118" i="35"/>
  <c r="F110" i="35"/>
  <c r="F28" i="35"/>
  <c r="F47" i="35" s="1"/>
  <c r="N68" i="35"/>
  <c r="N76" i="35" s="1"/>
  <c r="N84" i="35" s="1"/>
  <c r="N92" i="35" s="1"/>
  <c r="L68" i="35"/>
  <c r="J68" i="35"/>
  <c r="I68" i="35"/>
  <c r="K68" i="35"/>
  <c r="H68" i="35"/>
  <c r="A69" i="35"/>
  <c r="H38" i="33"/>
  <c r="H130" i="33"/>
  <c r="I38" i="33"/>
  <c r="I130" i="33"/>
  <c r="J38" i="33"/>
  <c r="J130" i="33"/>
  <c r="N109" i="33"/>
  <c r="K38" i="33"/>
  <c r="K130" i="33"/>
  <c r="L38" i="33"/>
  <c r="L130" i="33"/>
  <c r="H35" i="33"/>
  <c r="J35" i="33"/>
  <c r="L50" i="33"/>
  <c r="K34" i="33"/>
  <c r="I34" i="33"/>
  <c r="K32" i="33"/>
  <c r="H33" i="33"/>
  <c r="J31" i="33"/>
  <c r="I35" i="33"/>
  <c r="J34" i="33"/>
  <c r="L32" i="33"/>
  <c r="I31" i="33"/>
  <c r="H34" i="33"/>
  <c r="J32" i="33"/>
  <c r="L30" i="33"/>
  <c r="L33" i="33"/>
  <c r="I32" i="33"/>
  <c r="K30" i="33"/>
  <c r="E35" i="33"/>
  <c r="K33" i="33"/>
  <c r="J30" i="33"/>
  <c r="L35" i="33"/>
  <c r="D35" i="33"/>
  <c r="J33" i="33"/>
  <c r="L31" i="33"/>
  <c r="I30" i="33"/>
  <c r="H31" i="33"/>
  <c r="C39" i="33"/>
  <c r="L53" i="33"/>
  <c r="I53" i="33"/>
  <c r="I110" i="33"/>
  <c r="D53" i="33"/>
  <c r="L49" i="33"/>
  <c r="H118" i="33"/>
  <c r="J52" i="33"/>
  <c r="L48" i="33"/>
  <c r="J114" i="33"/>
  <c r="L51" i="33"/>
  <c r="J51" i="33"/>
  <c r="H111" i="33"/>
  <c r="K125" i="33"/>
  <c r="I50" i="33"/>
  <c r="K110" i="33"/>
  <c r="I117" i="33"/>
  <c r="I125" i="33"/>
  <c r="K51" i="33"/>
  <c r="H50" i="33"/>
  <c r="K49" i="33"/>
  <c r="J116" i="33"/>
  <c r="K123" i="33"/>
  <c r="L109" i="33"/>
  <c r="H116" i="33"/>
  <c r="J122" i="33"/>
  <c r="K53" i="33"/>
  <c r="L52" i="33"/>
  <c r="I51" i="33"/>
  <c r="K48" i="33"/>
  <c r="I49" i="33"/>
  <c r="N106" i="33"/>
  <c r="M111" i="33"/>
  <c r="J109" i="33"/>
  <c r="L114" i="33"/>
  <c r="H122" i="33"/>
  <c r="J53" i="33"/>
  <c r="K52" i="33"/>
  <c r="J48" i="33"/>
  <c r="H49" i="33"/>
  <c r="I48" i="33"/>
  <c r="D109" i="33"/>
  <c r="C110" i="33"/>
  <c r="K108" i="33"/>
  <c r="D114" i="33"/>
  <c r="H53" i="33"/>
  <c r="I52" i="33"/>
  <c r="K50" i="33"/>
  <c r="C106" i="33"/>
  <c r="J111" i="33"/>
  <c r="J126" i="33"/>
  <c r="X65" i="33"/>
  <c r="B34"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34"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3" i="33"/>
  <c r="D134" i="33" s="1"/>
  <c r="E27" i="33"/>
  <c r="G91" i="40" l="1"/>
  <c r="G99" i="40"/>
  <c r="G59" i="40"/>
  <c r="G67" i="40"/>
  <c r="G75" i="40"/>
  <c r="D69" i="40"/>
  <c r="D115" i="40" s="1"/>
  <c r="D134" i="40" s="1"/>
  <c r="D46" i="40"/>
  <c r="D77" i="40" s="1"/>
  <c r="D116" i="40" s="1"/>
  <c r="C127" i="40"/>
  <c r="D30" i="40"/>
  <c r="H47" i="40"/>
  <c r="H112" i="40"/>
  <c r="H99" i="40" s="1"/>
  <c r="G91" i="39"/>
  <c r="G75" i="39"/>
  <c r="G59" i="39"/>
  <c r="D69" i="39"/>
  <c r="D115" i="39" s="1"/>
  <c r="D134" i="39" s="1"/>
  <c r="G67" i="39"/>
  <c r="H112" i="39"/>
  <c r="C127" i="39"/>
  <c r="D30" i="39"/>
  <c r="D69" i="37"/>
  <c r="D115" i="37" s="1"/>
  <c r="D134" i="37" s="1"/>
  <c r="C127" i="37"/>
  <c r="D30" i="37"/>
  <c r="C85" i="36"/>
  <c r="C117" i="36" s="1"/>
  <c r="G112" i="36"/>
  <c r="G67" i="36" s="1"/>
  <c r="I78" i="36"/>
  <c r="H78" i="36"/>
  <c r="L78" i="36"/>
  <c r="C78" i="36"/>
  <c r="C123" i="36" s="1"/>
  <c r="D32" i="36" s="1"/>
  <c r="K78" i="36"/>
  <c r="J78" i="36"/>
  <c r="J102" i="36"/>
  <c r="I102" i="36"/>
  <c r="C102" i="36"/>
  <c r="L102" i="36"/>
  <c r="K102" i="36"/>
  <c r="H102" i="36"/>
  <c r="D102" i="36"/>
  <c r="N102" i="36"/>
  <c r="E102" i="36"/>
  <c r="F102" i="36"/>
  <c r="I70" i="36"/>
  <c r="H70" i="36"/>
  <c r="L70" i="36"/>
  <c r="K70" i="36"/>
  <c r="J70" i="36"/>
  <c r="F67" i="36"/>
  <c r="F83" i="36"/>
  <c r="F75" i="36"/>
  <c r="F59" i="36"/>
  <c r="F91" i="36"/>
  <c r="H94" i="36"/>
  <c r="K94" i="36"/>
  <c r="I94" i="36"/>
  <c r="C94" i="36"/>
  <c r="C125" i="36" s="1"/>
  <c r="D34" i="36" s="1"/>
  <c r="L94" i="36"/>
  <c r="J94" i="36"/>
  <c r="A86" i="36"/>
  <c r="C48" i="36"/>
  <c r="C60" i="36" s="1"/>
  <c r="C68" i="36"/>
  <c r="C70" i="36" s="1"/>
  <c r="C122" i="36" s="1"/>
  <c r="D31" i="36" s="1"/>
  <c r="A62" i="36"/>
  <c r="N61" i="36"/>
  <c r="N69" i="36" s="1"/>
  <c r="N77" i="36" s="1"/>
  <c r="N85" i="36" s="1"/>
  <c r="N93" i="36" s="1"/>
  <c r="E59" i="35"/>
  <c r="E91" i="35"/>
  <c r="E83" i="35"/>
  <c r="E75" i="35"/>
  <c r="F112" i="35"/>
  <c r="F91" i="35" s="1"/>
  <c r="A70" i="35"/>
  <c r="N69" i="35"/>
  <c r="G108" i="35"/>
  <c r="M108" i="35" s="1"/>
  <c r="G106" i="35"/>
  <c r="M106" i="35" s="1"/>
  <c r="G119" i="35"/>
  <c r="G109" i="35"/>
  <c r="M109" i="35" s="1"/>
  <c r="G107" i="35"/>
  <c r="G118" i="35"/>
  <c r="G110" i="35"/>
  <c r="M110" i="35" s="1"/>
  <c r="G102" i="35"/>
  <c r="G53" i="35"/>
  <c r="G126" i="35"/>
  <c r="G45" i="35"/>
  <c r="G99" i="35"/>
  <c r="G28" i="35"/>
  <c r="G133" i="35"/>
  <c r="G111" i="35"/>
  <c r="G100" i="35"/>
  <c r="G35" i="35"/>
  <c r="N102" i="35"/>
  <c r="K102" i="35"/>
  <c r="C102" i="35"/>
  <c r="J102" i="35"/>
  <c r="H102" i="35"/>
  <c r="I102" i="35"/>
  <c r="L102" i="35"/>
  <c r="D102" i="35"/>
  <c r="E102" i="35"/>
  <c r="A78" i="35"/>
  <c r="N77" i="35"/>
  <c r="N85" i="35" s="1"/>
  <c r="N93" i="35" s="1"/>
  <c r="L62" i="35"/>
  <c r="K62" i="35"/>
  <c r="N62" i="35"/>
  <c r="J62" i="35"/>
  <c r="I62" i="35"/>
  <c r="H62" i="35"/>
  <c r="C50" i="35"/>
  <c r="C84" i="35"/>
  <c r="C44" i="33"/>
  <c r="C52" i="33" s="1"/>
  <c r="C51" i="33" s="1"/>
  <c r="C46" i="33"/>
  <c r="C42" i="33"/>
  <c r="B29" i="33"/>
  <c r="L68" i="33"/>
  <c r="K68" i="33"/>
  <c r="H68" i="33"/>
  <c r="J68" i="33"/>
  <c r="I68" i="33"/>
  <c r="C50" i="33"/>
  <c r="C49" i="33" s="1"/>
  <c r="C48" i="33" s="1"/>
  <c r="E53" i="33"/>
  <c r="D112" i="33"/>
  <c r="E114" i="33"/>
  <c r="E109" i="33"/>
  <c r="E115" i="33"/>
  <c r="E134" i="33" s="1"/>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A84" i="33"/>
  <c r="A83" i="33"/>
  <c r="A76" i="33"/>
  <c r="A75" i="33"/>
  <c r="A69" i="33"/>
  <c r="E133" i="33"/>
  <c r="E45" i="33"/>
  <c r="E28" i="33"/>
  <c r="E47" i="33" s="1"/>
  <c r="F27" i="33"/>
  <c r="F35" i="33" s="1"/>
  <c r="C41" i="33"/>
  <c r="C30" i="33"/>
  <c r="H83" i="40" l="1"/>
  <c r="H75" i="40"/>
  <c r="H67" i="40"/>
  <c r="H59" i="40"/>
  <c r="H91" i="40"/>
  <c r="C129" i="40"/>
  <c r="C130" i="40"/>
  <c r="D38" i="40" s="1"/>
  <c r="D29" i="40"/>
  <c r="C129" i="39"/>
  <c r="C130" i="39"/>
  <c r="D38" i="39" s="1"/>
  <c r="D29" i="39"/>
  <c r="H91" i="39"/>
  <c r="H67" i="39"/>
  <c r="H83" i="39"/>
  <c r="H59" i="39"/>
  <c r="H75" i="39"/>
  <c r="C129" i="37"/>
  <c r="C130" i="37"/>
  <c r="D38" i="37" s="1"/>
  <c r="D29" i="37"/>
  <c r="G75" i="36"/>
  <c r="G83" i="36"/>
  <c r="G59" i="36"/>
  <c r="G91" i="36"/>
  <c r="N62" i="36"/>
  <c r="N70" i="36" s="1"/>
  <c r="N78" i="36" s="1"/>
  <c r="N86" i="36" s="1"/>
  <c r="N94" i="36" s="1"/>
  <c r="K62" i="36"/>
  <c r="C62" i="36"/>
  <c r="C121" i="36" s="1"/>
  <c r="I62" i="36"/>
  <c r="H62" i="36"/>
  <c r="J62" i="36"/>
  <c r="L62" i="36"/>
  <c r="D46" i="36"/>
  <c r="K86" i="36"/>
  <c r="C86" i="36"/>
  <c r="C124" i="36" s="1"/>
  <c r="D33" i="36" s="1"/>
  <c r="I86" i="36"/>
  <c r="L86" i="36"/>
  <c r="J86" i="36"/>
  <c r="H86" i="36"/>
  <c r="F67" i="35"/>
  <c r="F83" i="35"/>
  <c r="F59" i="35"/>
  <c r="F75" i="35"/>
  <c r="G112" i="35"/>
  <c r="G83" i="35" s="1"/>
  <c r="J78" i="35"/>
  <c r="I78" i="35"/>
  <c r="L78" i="35"/>
  <c r="K78" i="35"/>
  <c r="H78" i="35"/>
  <c r="M107" i="35"/>
  <c r="G47" i="35"/>
  <c r="C85" i="35"/>
  <c r="C117" i="35" s="1"/>
  <c r="J70" i="35"/>
  <c r="I70" i="35"/>
  <c r="N70" i="35"/>
  <c r="N78" i="35" s="1"/>
  <c r="N86" i="35" s="1"/>
  <c r="N94" i="35" s="1"/>
  <c r="L70" i="35"/>
  <c r="H70" i="35"/>
  <c r="K70" i="35"/>
  <c r="C49" i="35"/>
  <c r="C76" i="35"/>
  <c r="C78" i="35" s="1"/>
  <c r="C123" i="35" s="1"/>
  <c r="D32" i="35" s="1"/>
  <c r="L100" i="33"/>
  <c r="K100" i="33"/>
  <c r="C100" i="33"/>
  <c r="H100" i="33"/>
  <c r="J100" i="33"/>
  <c r="I100" i="33"/>
  <c r="D100" i="33"/>
  <c r="F100" i="33"/>
  <c r="C68" i="33"/>
  <c r="C76" i="33"/>
  <c r="H76" i="33"/>
  <c r="I76" i="33"/>
  <c r="J76" i="33"/>
  <c r="K76" i="33"/>
  <c r="L76" i="33"/>
  <c r="C84" i="33"/>
  <c r="C85" i="33" s="1"/>
  <c r="C117" i="33" s="1"/>
  <c r="J84" i="33"/>
  <c r="K84" i="33"/>
  <c r="L84" i="33"/>
  <c r="H84" i="33"/>
  <c r="I84" i="33"/>
  <c r="I60" i="33"/>
  <c r="J60" i="33"/>
  <c r="K60" i="33"/>
  <c r="H60" i="33"/>
  <c r="L60" i="33"/>
  <c r="E100" i="33"/>
  <c r="C92" i="33"/>
  <c r="L92" i="33"/>
  <c r="H92" i="33"/>
  <c r="I92" i="33"/>
  <c r="K92" i="33"/>
  <c r="J92" i="33"/>
  <c r="F53"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8" i="33"/>
  <c r="F47" i="33" s="1"/>
  <c r="F45" i="33"/>
  <c r="G27" i="33"/>
  <c r="F133" i="33"/>
  <c r="C40" i="33"/>
  <c r="C60" i="33" s="1"/>
  <c r="C131" i="40" l="1"/>
  <c r="D37" i="40"/>
  <c r="D39" i="40" s="1"/>
  <c r="D45" i="40" s="1"/>
  <c r="D100" i="40" s="1"/>
  <c r="D102" i="40" s="1"/>
  <c r="D126" i="40" s="1"/>
  <c r="E35" i="40" s="1"/>
  <c r="C131" i="39"/>
  <c r="D37" i="39"/>
  <c r="D39" i="39" s="1"/>
  <c r="D37" i="37"/>
  <c r="D39" i="37" s="1"/>
  <c r="C131" i="37"/>
  <c r="C127" i="36"/>
  <c r="D30" i="36"/>
  <c r="G59" i="35"/>
  <c r="G67" i="35"/>
  <c r="G91" i="35"/>
  <c r="G75" i="35"/>
  <c r="C48" i="35"/>
  <c r="C60" i="35" s="1"/>
  <c r="C62" i="35" s="1"/>
  <c r="C121" i="35" s="1"/>
  <c r="C68" i="35"/>
  <c r="C70" i="35" s="1"/>
  <c r="C122" i="35" s="1"/>
  <c r="D31" i="35" s="1"/>
  <c r="D69" i="35" s="1"/>
  <c r="D115" i="35" s="1"/>
  <c r="D134" i="35" s="1"/>
  <c r="C86" i="35"/>
  <c r="C124" i="35" s="1"/>
  <c r="D33" i="35" s="1"/>
  <c r="G100" i="33"/>
  <c r="G35" i="33"/>
  <c r="G53" i="33"/>
  <c r="G99" i="33"/>
  <c r="F134"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8" i="33"/>
  <c r="G133" i="33"/>
  <c r="D44" i="40" l="1"/>
  <c r="D52" i="40" s="1"/>
  <c r="D43" i="40"/>
  <c r="D41" i="40"/>
  <c r="D40" i="40"/>
  <c r="D42" i="40"/>
  <c r="D41" i="39"/>
  <c r="D40" i="39"/>
  <c r="D44" i="39"/>
  <c r="D52" i="39" s="1"/>
  <c r="D42" i="39"/>
  <c r="D43" i="39"/>
  <c r="D44" i="37"/>
  <c r="D52" i="37" s="1"/>
  <c r="D40" i="37"/>
  <c r="D41" i="37"/>
  <c r="D43" i="37"/>
  <c r="D42" i="37"/>
  <c r="C129" i="36"/>
  <c r="D29" i="36"/>
  <c r="C130" i="36"/>
  <c r="D38" i="36" s="1"/>
  <c r="D46" i="35"/>
  <c r="D77" i="35" s="1"/>
  <c r="D116" i="35" s="1"/>
  <c r="C127" i="35"/>
  <c r="D30" i="35"/>
  <c r="G47" i="33"/>
  <c r="C70" i="33"/>
  <c r="C122" i="33" s="1"/>
  <c r="D31" i="33" s="1"/>
  <c r="F67" i="33"/>
  <c r="F83" i="33"/>
  <c r="F91" i="33"/>
  <c r="F75" i="33"/>
  <c r="G112" i="33"/>
  <c r="G59" i="33" s="1"/>
  <c r="M106" i="33"/>
  <c r="G134"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D51" i="40" l="1"/>
  <c r="D92" i="40"/>
  <c r="D94" i="40" s="1"/>
  <c r="D125" i="40" s="1"/>
  <c r="E34" i="40" s="1"/>
  <c r="D51" i="39"/>
  <c r="D92" i="39"/>
  <c r="D94" i="39" s="1"/>
  <c r="D125" i="39" s="1"/>
  <c r="E34" i="39" s="1"/>
  <c r="D51" i="37"/>
  <c r="D92" i="37"/>
  <c r="D94" i="37" s="1"/>
  <c r="D125" i="37" s="1"/>
  <c r="E34" i="37" s="1"/>
  <c r="C131" i="36"/>
  <c r="D37" i="36"/>
  <c r="D39" i="36" s="1"/>
  <c r="C129" i="35"/>
  <c r="C130" i="35"/>
  <c r="D38" i="35" s="1"/>
  <c r="D29" i="35"/>
  <c r="D46" i="33"/>
  <c r="G67" i="33"/>
  <c r="G75" i="33"/>
  <c r="G83" i="33"/>
  <c r="G91" i="33"/>
  <c r="C62" i="33"/>
  <c r="C121" i="33" s="1"/>
  <c r="D30" i="33" s="1"/>
  <c r="D50" i="40" l="1"/>
  <c r="D76" i="40" s="1"/>
  <c r="D78" i="40" s="1"/>
  <c r="D123" i="40" s="1"/>
  <c r="E32" i="40" s="1"/>
  <c r="D84" i="40"/>
  <c r="D50" i="39"/>
  <c r="D76" i="39" s="1"/>
  <c r="D78" i="39" s="1"/>
  <c r="D123" i="39" s="1"/>
  <c r="E32" i="39" s="1"/>
  <c r="D84" i="39"/>
  <c r="D50" i="37"/>
  <c r="D76" i="37" s="1"/>
  <c r="D78" i="37" s="1"/>
  <c r="D123" i="37" s="1"/>
  <c r="E32" i="37" s="1"/>
  <c r="D84" i="37"/>
  <c r="D40" i="36"/>
  <c r="D42" i="36"/>
  <c r="D41" i="36"/>
  <c r="D44" i="36"/>
  <c r="D52" i="36" s="1"/>
  <c r="D43" i="36"/>
  <c r="C131" i="35"/>
  <c r="D37" i="35"/>
  <c r="D39" i="35" s="1"/>
  <c r="D49" i="40" l="1"/>
  <c r="D68" i="40" s="1"/>
  <c r="D70" i="40" s="1"/>
  <c r="D122" i="40" s="1"/>
  <c r="E31" i="40" s="1"/>
  <c r="D85" i="40"/>
  <c r="D117" i="40" s="1"/>
  <c r="D85" i="39"/>
  <c r="D117" i="39" s="1"/>
  <c r="D49" i="39"/>
  <c r="D49" i="37"/>
  <c r="D48" i="37" s="1"/>
  <c r="D60" i="37" s="1"/>
  <c r="D85" i="37"/>
  <c r="D117" i="37" s="1"/>
  <c r="D51" i="36"/>
  <c r="D92" i="36"/>
  <c r="D94" i="36" s="1"/>
  <c r="D125" i="36" s="1"/>
  <c r="E34" i="36" s="1"/>
  <c r="D43" i="35"/>
  <c r="D41" i="35"/>
  <c r="D40" i="35"/>
  <c r="D44" i="35"/>
  <c r="D52" i="35" s="1"/>
  <c r="D42" i="35"/>
  <c r="D48" i="40" l="1"/>
  <c r="D60" i="40" s="1"/>
  <c r="D61" i="40" s="1"/>
  <c r="D114" i="40" s="1"/>
  <c r="E69" i="40"/>
  <c r="E115" i="40" s="1"/>
  <c r="E134" i="40" s="1"/>
  <c r="E46" i="40"/>
  <c r="E77" i="40" s="1"/>
  <c r="E116" i="40" s="1"/>
  <c r="D86" i="40"/>
  <c r="D124" i="40" s="1"/>
  <c r="E33" i="40" s="1"/>
  <c r="D86" i="39"/>
  <c r="D124" i="39" s="1"/>
  <c r="E33" i="39" s="1"/>
  <c r="D48" i="39"/>
  <c r="D60" i="39" s="1"/>
  <c r="D68" i="39"/>
  <c r="D70" i="39" s="1"/>
  <c r="D122" i="39" s="1"/>
  <c r="E31" i="39" s="1"/>
  <c r="D68" i="37"/>
  <c r="D70" i="37" s="1"/>
  <c r="D122" i="37" s="1"/>
  <c r="E31" i="37" s="1"/>
  <c r="E69" i="37" s="1"/>
  <c r="E115" i="37" s="1"/>
  <c r="E134" i="37" s="1"/>
  <c r="D86" i="37"/>
  <c r="D124" i="37" s="1"/>
  <c r="E33" i="37" s="1"/>
  <c r="D61" i="37"/>
  <c r="D114" i="37" s="1"/>
  <c r="D50" i="36"/>
  <c r="D76" i="36" s="1"/>
  <c r="D78" i="36" s="1"/>
  <c r="D123" i="36" s="1"/>
  <c r="E32" i="36" s="1"/>
  <c r="D84" i="36"/>
  <c r="D85" i="36" s="1"/>
  <c r="D51" i="35"/>
  <c r="D92" i="35"/>
  <c r="D94" i="35" s="1"/>
  <c r="D125" i="35" s="1"/>
  <c r="E34" i="35" s="1"/>
  <c r="D62" i="40" l="1"/>
  <c r="D121" i="40" s="1"/>
  <c r="E69" i="39"/>
  <c r="E115" i="39" s="1"/>
  <c r="E134" i="39" s="1"/>
  <c r="E46" i="39"/>
  <c r="E77" i="39" s="1"/>
  <c r="E116" i="39" s="1"/>
  <c r="D61" i="39"/>
  <c r="D114" i="39" s="1"/>
  <c r="E46" i="37"/>
  <c r="E77" i="37" s="1"/>
  <c r="E116" i="37" s="1"/>
  <c r="D62" i="37"/>
  <c r="D121" i="37" s="1"/>
  <c r="E30" i="37" s="1"/>
  <c r="D49" i="36"/>
  <c r="D117" i="36"/>
  <c r="D50" i="35"/>
  <c r="D84" i="35"/>
  <c r="D127" i="40" l="1"/>
  <c r="E30" i="40"/>
  <c r="D62" i="39"/>
  <c r="D121" i="39" s="1"/>
  <c r="D127" i="39" s="1"/>
  <c r="D127" i="37"/>
  <c r="E29" i="37" s="1"/>
  <c r="D86" i="36"/>
  <c r="D124" i="36" s="1"/>
  <c r="E33" i="36" s="1"/>
  <c r="D48" i="36"/>
  <c r="D60" i="36" s="1"/>
  <c r="D62" i="36" s="1"/>
  <c r="D121" i="36" s="1"/>
  <c r="D68" i="36"/>
  <c r="D70" i="36" s="1"/>
  <c r="D122" i="36" s="1"/>
  <c r="E31" i="36" s="1"/>
  <c r="D85" i="35"/>
  <c r="D117" i="35" s="1"/>
  <c r="D76" i="35"/>
  <c r="D78" i="35" s="1"/>
  <c r="D123" i="35" s="1"/>
  <c r="E32" i="35" s="1"/>
  <c r="D49" i="35"/>
  <c r="D129" i="40" l="1"/>
  <c r="E29" i="40"/>
  <c r="D130" i="40"/>
  <c r="E38" i="40" s="1"/>
  <c r="E30" i="39"/>
  <c r="D129" i="39"/>
  <c r="E29" i="39"/>
  <c r="D130" i="39"/>
  <c r="E38" i="39" s="1"/>
  <c r="D129" i="37"/>
  <c r="D130" i="37"/>
  <c r="E38" i="37" s="1"/>
  <c r="E46" i="36"/>
  <c r="D127" i="36"/>
  <c r="E30" i="36"/>
  <c r="D48" i="35"/>
  <c r="D60" i="35" s="1"/>
  <c r="D68" i="35"/>
  <c r="D70" i="35" s="1"/>
  <c r="D122" i="35" s="1"/>
  <c r="E31" i="35" s="1"/>
  <c r="E69" i="35" s="1"/>
  <c r="E115" i="35" s="1"/>
  <c r="E134" i="35" s="1"/>
  <c r="D86" i="35"/>
  <c r="D124" i="35" s="1"/>
  <c r="E33" i="35" s="1"/>
  <c r="D131" i="40" l="1"/>
  <c r="E37" i="40"/>
  <c r="E39" i="40" s="1"/>
  <c r="E45" i="40" s="1"/>
  <c r="E100" i="40" s="1"/>
  <c r="D131" i="39"/>
  <c r="E37" i="39"/>
  <c r="E39" i="39" s="1"/>
  <c r="E37" i="37"/>
  <c r="E39" i="37" s="1"/>
  <c r="E40" i="37" s="1"/>
  <c r="D131" i="37"/>
  <c r="E29" i="36"/>
  <c r="D130" i="36"/>
  <c r="E38" i="36" s="1"/>
  <c r="D129" i="36"/>
  <c r="D61" i="35"/>
  <c r="D114" i="35" s="1"/>
  <c r="E46" i="35"/>
  <c r="E77" i="35" s="1"/>
  <c r="E116" i="35" s="1"/>
  <c r="E101" i="40" l="1"/>
  <c r="E119" i="40" s="1"/>
  <c r="E43" i="40"/>
  <c r="E42" i="40"/>
  <c r="E44" i="40"/>
  <c r="E52" i="40" s="1"/>
  <c r="E40" i="40"/>
  <c r="E41" i="40"/>
  <c r="E43" i="39"/>
  <c r="E40" i="39"/>
  <c r="E41" i="39"/>
  <c r="E44" i="39"/>
  <c r="E52" i="39" s="1"/>
  <c r="E42" i="39"/>
  <c r="E43" i="37"/>
  <c r="E42" i="37"/>
  <c r="E41" i="37"/>
  <c r="E44" i="37"/>
  <c r="E52" i="37" s="1"/>
  <c r="E51" i="37" s="1"/>
  <c r="D131" i="36"/>
  <c r="E37" i="36"/>
  <c r="E39" i="36" s="1"/>
  <c r="D62" i="35"/>
  <c r="D121" i="35" s="1"/>
  <c r="E102" i="40" l="1"/>
  <c r="E126" i="40" s="1"/>
  <c r="F35" i="40" s="1"/>
  <c r="E51" i="40"/>
  <c r="E92" i="40"/>
  <c r="E94" i="40" s="1"/>
  <c r="E125" i="40" s="1"/>
  <c r="F34" i="40" s="1"/>
  <c r="E51" i="39"/>
  <c r="E92" i="39"/>
  <c r="E94" i="39" s="1"/>
  <c r="E125" i="39" s="1"/>
  <c r="F34" i="39" s="1"/>
  <c r="E92" i="37"/>
  <c r="E94" i="37" s="1"/>
  <c r="E125" i="37" s="1"/>
  <c r="F34" i="37" s="1"/>
  <c r="E50" i="37"/>
  <c r="E76" i="37" s="1"/>
  <c r="E78" i="37" s="1"/>
  <c r="E123" i="37" s="1"/>
  <c r="F32" i="37" s="1"/>
  <c r="E84" i="37"/>
  <c r="E44" i="36"/>
  <c r="E52" i="36" s="1"/>
  <c r="E41" i="36"/>
  <c r="E43" i="36"/>
  <c r="E42" i="36"/>
  <c r="E40" i="36"/>
  <c r="E30" i="35"/>
  <c r="D127" i="35"/>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E50" i="40" l="1"/>
  <c r="E84" i="40"/>
  <c r="E50" i="39"/>
  <c r="E84" i="39"/>
  <c r="E49" i="37"/>
  <c r="E48" i="37" s="1"/>
  <c r="E60" i="37" s="1"/>
  <c r="E85" i="37"/>
  <c r="E117" i="37" s="1"/>
  <c r="E51" i="36"/>
  <c r="E92" i="36"/>
  <c r="E94" i="36" s="1"/>
  <c r="E125" i="36" s="1"/>
  <c r="F34" i="36" s="1"/>
  <c r="D130" i="35"/>
  <c r="E38" i="35" s="1"/>
  <c r="D129" i="35"/>
  <c r="E29" i="35"/>
  <c r="D38" i="16"/>
  <c r="D37" i="16" s="1"/>
  <c r="C37" i="16"/>
  <c r="C32" i="16"/>
  <c r="C33" i="16"/>
  <c r="C55" i="16" s="1"/>
  <c r="D26" i="16" s="1"/>
  <c r="C34" i="16"/>
  <c r="C47" i="16" s="1"/>
  <c r="C56" i="16" s="1"/>
  <c r="D51" i="16"/>
  <c r="E22" i="16"/>
  <c r="E85" i="40" l="1"/>
  <c r="E117" i="40" s="1"/>
  <c r="E76" i="40"/>
  <c r="E78" i="40" s="1"/>
  <c r="E123" i="40" s="1"/>
  <c r="F32" i="40" s="1"/>
  <c r="E49" i="40"/>
  <c r="E85" i="39"/>
  <c r="E117" i="39" s="1"/>
  <c r="E76" i="39"/>
  <c r="E78" i="39" s="1"/>
  <c r="E123" i="39" s="1"/>
  <c r="F32" i="39" s="1"/>
  <c r="E49" i="39"/>
  <c r="E86" i="37"/>
  <c r="E124" i="37" s="1"/>
  <c r="F33" i="37" s="1"/>
  <c r="E68" i="37"/>
  <c r="E70" i="37" s="1"/>
  <c r="E122" i="37" s="1"/>
  <c r="F31" i="37" s="1"/>
  <c r="F69" i="37" s="1"/>
  <c r="F115" i="37" s="1"/>
  <c r="F134" i="37" s="1"/>
  <c r="E61" i="37"/>
  <c r="E114" i="37" s="1"/>
  <c r="E50" i="36"/>
  <c r="E76" i="36" s="1"/>
  <c r="E78" i="36" s="1"/>
  <c r="E123" i="36" s="1"/>
  <c r="F32" i="36" s="1"/>
  <c r="E84" i="36"/>
  <c r="E85" i="36" s="1"/>
  <c r="D131" i="35"/>
  <c r="E37" i="35"/>
  <c r="E39" i="35" s="1"/>
  <c r="D50" i="16"/>
  <c r="D60" i="16" s="1"/>
  <c r="E59" i="16"/>
  <c r="E23" i="16"/>
  <c r="E35" i="16"/>
  <c r="E36" i="16" s="1"/>
  <c r="F22" i="16"/>
  <c r="E51" i="16"/>
  <c r="E86" i="40" l="1"/>
  <c r="E124" i="40" s="1"/>
  <c r="F33" i="40" s="1"/>
  <c r="E48" i="40"/>
  <c r="E60" i="40" s="1"/>
  <c r="E68" i="40"/>
  <c r="E70" i="40" s="1"/>
  <c r="E122" i="40" s="1"/>
  <c r="F31" i="40" s="1"/>
  <c r="E48" i="39"/>
  <c r="E60" i="39" s="1"/>
  <c r="E68" i="39"/>
  <c r="E70" i="39" s="1"/>
  <c r="E122" i="39" s="1"/>
  <c r="F31" i="39" s="1"/>
  <c r="E86" i="39"/>
  <c r="E124" i="39" s="1"/>
  <c r="F33" i="39" s="1"/>
  <c r="F46" i="37"/>
  <c r="F77" i="37" s="1"/>
  <c r="F116" i="37" s="1"/>
  <c r="E62" i="37"/>
  <c r="E121" i="37" s="1"/>
  <c r="E49" i="36"/>
  <c r="E68" i="36" s="1"/>
  <c r="E70" i="36" s="1"/>
  <c r="E122" i="36" s="1"/>
  <c r="F31" i="36" s="1"/>
  <c r="E117" i="36"/>
  <c r="E44" i="35"/>
  <c r="E52" i="35" s="1"/>
  <c r="E40" i="35"/>
  <c r="E41" i="35"/>
  <c r="E42" i="35"/>
  <c r="E43" i="35"/>
  <c r="C49" i="16"/>
  <c r="C54" i="16" s="1"/>
  <c r="E38" i="16"/>
  <c r="E37" i="16" s="1"/>
  <c r="F35" i="16"/>
  <c r="G22" i="16"/>
  <c r="F51" i="16"/>
  <c r="F23" i="16"/>
  <c r="F36" i="16"/>
  <c r="F38" i="16" s="1"/>
  <c r="F59" i="16"/>
  <c r="F69" i="40" l="1"/>
  <c r="F115" i="40" s="1"/>
  <c r="F134" i="40" s="1"/>
  <c r="F46" i="40"/>
  <c r="F77" i="40" s="1"/>
  <c r="F116" i="40" s="1"/>
  <c r="E61" i="40"/>
  <c r="E114" i="40" s="1"/>
  <c r="F69" i="39"/>
  <c r="F115" i="39" s="1"/>
  <c r="F134" i="39" s="1"/>
  <c r="F46" i="39"/>
  <c r="F77" i="39" s="1"/>
  <c r="F116" i="39" s="1"/>
  <c r="E61" i="39"/>
  <c r="E114" i="39" s="1"/>
  <c r="E127" i="37"/>
  <c r="F30" i="37"/>
  <c r="E86" i="36"/>
  <c r="E124" i="36" s="1"/>
  <c r="F33" i="36" s="1"/>
  <c r="E48" i="36"/>
  <c r="E60" i="36" s="1"/>
  <c r="E62" i="36" s="1"/>
  <c r="E121" i="36" s="1"/>
  <c r="F46" i="36"/>
  <c r="E51" i="35"/>
  <c r="E92" i="35"/>
  <c r="E94" i="35" s="1"/>
  <c r="E125" i="35" s="1"/>
  <c r="F34" i="35" s="1"/>
  <c r="D25" i="16"/>
  <c r="C57" i="16"/>
  <c r="D24" i="16" s="1"/>
  <c r="D29" i="16" s="1"/>
  <c r="F37" i="16"/>
  <c r="G51" i="16"/>
  <c r="H22" i="16"/>
  <c r="G35" i="16"/>
  <c r="G23" i="16"/>
  <c r="G36" i="16"/>
  <c r="G59" i="16"/>
  <c r="E62" i="40" l="1"/>
  <c r="E121" i="40" s="1"/>
  <c r="E62" i="39"/>
  <c r="E121" i="39" s="1"/>
  <c r="E127" i="39" s="1"/>
  <c r="E129" i="37"/>
  <c r="E131" i="37" s="1"/>
  <c r="E130" i="37"/>
  <c r="F38" i="37" s="1"/>
  <c r="F29" i="37"/>
  <c r="E127" i="36"/>
  <c r="F29" i="36" s="1"/>
  <c r="F30" i="36"/>
  <c r="E50" i="35"/>
  <c r="E84" i="35"/>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E127" i="40" l="1"/>
  <c r="F30" i="40"/>
  <c r="F30" i="39"/>
  <c r="E129" i="39"/>
  <c r="F29" i="39"/>
  <c r="E130" i="39"/>
  <c r="F38" i="39" s="1"/>
  <c r="F37" i="37"/>
  <c r="F39" i="37" s="1"/>
  <c r="E130" i="36"/>
  <c r="F38" i="36" s="1"/>
  <c r="E129" i="36"/>
  <c r="E131" i="36" s="1"/>
  <c r="E85" i="35"/>
  <c r="E117" i="35" s="1"/>
  <c r="E76" i="35"/>
  <c r="E78" i="35" s="1"/>
  <c r="E123" i="35" s="1"/>
  <c r="F32" i="35" s="1"/>
  <c r="E49" i="35"/>
  <c r="D32" i="16"/>
  <c r="D45" i="16" s="1"/>
  <c r="D49" i="16" s="1"/>
  <c r="D54" i="16" s="1"/>
  <c r="D34" i="16"/>
  <c r="D47" i="16" s="1"/>
  <c r="D56" i="16" s="1"/>
  <c r="D33" i="16"/>
  <c r="D46" i="16" s="1"/>
  <c r="D55" i="16" s="1"/>
  <c r="E26" i="16" s="1"/>
  <c r="E50" i="16" s="1"/>
  <c r="E60" i="16" s="1"/>
  <c r="H38" i="16"/>
  <c r="H37" i="16" s="1"/>
  <c r="I23" i="16"/>
  <c r="I59" i="16"/>
  <c r="I51" i="16"/>
  <c r="I35" i="16"/>
  <c r="I36" i="16" s="1"/>
  <c r="J22" i="16"/>
  <c r="E129" i="40" l="1"/>
  <c r="F29" i="40"/>
  <c r="E130" i="40"/>
  <c r="F38" i="40" s="1"/>
  <c r="E131" i="39"/>
  <c r="F37" i="39"/>
  <c r="F39" i="39" s="1"/>
  <c r="F40" i="37"/>
  <c r="F44" i="37"/>
  <c r="F52" i="37" s="1"/>
  <c r="F41" i="37"/>
  <c r="F43" i="37"/>
  <c r="F42" i="37"/>
  <c r="F37" i="36"/>
  <c r="F39" i="36"/>
  <c r="F43" i="36" s="1"/>
  <c r="E48" i="35"/>
  <c r="E60" i="35" s="1"/>
  <c r="E68" i="35"/>
  <c r="E70" i="35" s="1"/>
  <c r="E122" i="35" s="1"/>
  <c r="F31" i="35" s="1"/>
  <c r="E86" i="35"/>
  <c r="E124" i="35" s="1"/>
  <c r="F33" i="35" s="1"/>
  <c r="I38" i="16"/>
  <c r="I37" i="16" s="1"/>
  <c r="D57" i="16"/>
  <c r="E24" i="16" s="1"/>
  <c r="E25" i="16"/>
  <c r="J36" i="16"/>
  <c r="J38" i="16" s="1"/>
  <c r="J23" i="16"/>
  <c r="J35" i="16"/>
  <c r="J59" i="16"/>
  <c r="K22" i="16"/>
  <c r="J51" i="16"/>
  <c r="E131" i="40" l="1"/>
  <c r="F37" i="40"/>
  <c r="F39" i="40" s="1"/>
  <c r="F45" i="40" s="1"/>
  <c r="F100" i="40" s="1"/>
  <c r="F102" i="40" s="1"/>
  <c r="F126" i="40" s="1"/>
  <c r="G35" i="40" s="1"/>
  <c r="F40" i="39"/>
  <c r="F42" i="39"/>
  <c r="F44" i="39"/>
  <c r="F52" i="39" s="1"/>
  <c r="F43" i="39"/>
  <c r="F41" i="39"/>
  <c r="F51" i="37"/>
  <c r="F92" i="37"/>
  <c r="F94" i="37" s="1"/>
  <c r="F125" i="37" s="1"/>
  <c r="G34" i="37" s="1"/>
  <c r="F40" i="36"/>
  <c r="F44" i="36"/>
  <c r="F52" i="36" s="1"/>
  <c r="F51" i="36" s="1"/>
  <c r="F41" i="36"/>
  <c r="F42" i="36"/>
  <c r="F46" i="35"/>
  <c r="F77" i="35" s="1"/>
  <c r="F116" i="35" s="1"/>
  <c r="F69" i="35"/>
  <c r="F115" i="35" s="1"/>
  <c r="F134" i="35" s="1"/>
  <c r="E61" i="35"/>
  <c r="E114" i="35" s="1"/>
  <c r="J37" i="16"/>
  <c r="K36" i="16"/>
  <c r="K59" i="16"/>
  <c r="K23" i="16"/>
  <c r="K35" i="16"/>
  <c r="L22" i="16"/>
  <c r="K51" i="16"/>
  <c r="E27" i="16"/>
  <c r="E29" i="16"/>
  <c r="E31" i="16" s="1"/>
  <c r="E30" i="16"/>
  <c r="F44" i="40" l="1"/>
  <c r="F52" i="40" s="1"/>
  <c r="F41" i="40"/>
  <c r="F42" i="40"/>
  <c r="F43" i="40"/>
  <c r="F40" i="40"/>
  <c r="F51" i="39"/>
  <c r="F92" i="39"/>
  <c r="F94" i="39" s="1"/>
  <c r="F125" i="39" s="1"/>
  <c r="G34" i="39" s="1"/>
  <c r="F50" i="37"/>
  <c r="F84" i="37"/>
  <c r="F92" i="36"/>
  <c r="F94" i="36" s="1"/>
  <c r="F125" i="36" s="1"/>
  <c r="G34" i="36" s="1"/>
  <c r="F50" i="36"/>
  <c r="F76" i="36" s="1"/>
  <c r="F78" i="36" s="1"/>
  <c r="F123" i="36" s="1"/>
  <c r="G32" i="36" s="1"/>
  <c r="F84" i="36"/>
  <c r="F85" i="36" s="1"/>
  <c r="E62" i="35"/>
  <c r="E121" i="35" s="1"/>
  <c r="L36" i="16"/>
  <c r="L59" i="16"/>
  <c r="L23" i="16"/>
  <c r="L35" i="16"/>
  <c r="L38" i="16"/>
  <c r="L51" i="16"/>
  <c r="L37" i="16"/>
  <c r="K38" i="16"/>
  <c r="K37" i="16" s="1"/>
  <c r="E33" i="16"/>
  <c r="E46" i="16" s="1"/>
  <c r="E55" i="16" s="1"/>
  <c r="F26" i="16" s="1"/>
  <c r="E32" i="16"/>
  <c r="E45" i="16" s="1"/>
  <c r="E34" i="16"/>
  <c r="E47" i="16" s="1"/>
  <c r="E56" i="16" s="1"/>
  <c r="F51" i="40" l="1"/>
  <c r="F92" i="40"/>
  <c r="F94" i="40" s="1"/>
  <c r="F125" i="40" s="1"/>
  <c r="G34" i="40" s="1"/>
  <c r="F50" i="39"/>
  <c r="F76" i="39" s="1"/>
  <c r="F78" i="39" s="1"/>
  <c r="F123" i="39" s="1"/>
  <c r="G32" i="39" s="1"/>
  <c r="F84" i="39"/>
  <c r="F85" i="37"/>
  <c r="F117" i="37" s="1"/>
  <c r="F76" i="37"/>
  <c r="F78" i="37" s="1"/>
  <c r="F123" i="37" s="1"/>
  <c r="G32" i="37" s="1"/>
  <c r="F49" i="37"/>
  <c r="F117" i="36"/>
  <c r="F49" i="36"/>
  <c r="F30" i="35"/>
  <c r="E127" i="35"/>
  <c r="E49" i="16"/>
  <c r="E54" i="16" s="1"/>
  <c r="F50" i="16"/>
  <c r="F60" i="16" s="1"/>
  <c r="F50" i="40" l="1"/>
  <c r="F76" i="40" s="1"/>
  <c r="F78" i="40" s="1"/>
  <c r="F123" i="40" s="1"/>
  <c r="G32" i="40" s="1"/>
  <c r="F84" i="40"/>
  <c r="F49" i="39"/>
  <c r="F48" i="39" s="1"/>
  <c r="F60" i="39" s="1"/>
  <c r="F85" i="39"/>
  <c r="F117" i="39" s="1"/>
  <c r="F86" i="37"/>
  <c r="F124" i="37" s="1"/>
  <c r="G33" i="37" s="1"/>
  <c r="F48" i="37"/>
  <c r="F60" i="37" s="1"/>
  <c r="F68" i="37"/>
  <c r="F70" i="37" s="1"/>
  <c r="F122" i="37" s="1"/>
  <c r="G31" i="37" s="1"/>
  <c r="F86" i="36"/>
  <c r="F124" i="36" s="1"/>
  <c r="G33" i="36" s="1"/>
  <c r="F48" i="36"/>
  <c r="F60" i="36" s="1"/>
  <c r="F62" i="36" s="1"/>
  <c r="F121" i="36" s="1"/>
  <c r="F68" i="36"/>
  <c r="F70" i="36" s="1"/>
  <c r="F122" i="36" s="1"/>
  <c r="G31" i="36" s="1"/>
  <c r="E129" i="35"/>
  <c r="E130" i="35"/>
  <c r="F38" i="35" s="1"/>
  <c r="F29" i="35"/>
  <c r="E57" i="16"/>
  <c r="F24" i="16" s="1"/>
  <c r="F25" i="16"/>
  <c r="F85" i="40" l="1"/>
  <c r="F117" i="40" s="1"/>
  <c r="F49" i="40"/>
  <c r="F86" i="39"/>
  <c r="F124" i="39" s="1"/>
  <c r="G33" i="39" s="1"/>
  <c r="F68" i="39"/>
  <c r="F70" i="39" s="1"/>
  <c r="F122" i="39" s="1"/>
  <c r="G31" i="39" s="1"/>
  <c r="G46" i="39" s="1"/>
  <c r="G77" i="39" s="1"/>
  <c r="G116" i="39" s="1"/>
  <c r="F61" i="39"/>
  <c r="F114" i="39" s="1"/>
  <c r="G69" i="37"/>
  <c r="G115" i="37" s="1"/>
  <c r="G134" i="37" s="1"/>
  <c r="G46" i="37"/>
  <c r="G77" i="37" s="1"/>
  <c r="G116" i="37" s="1"/>
  <c r="F61" i="37"/>
  <c r="F114" i="37" s="1"/>
  <c r="F127" i="36"/>
  <c r="G30" i="36"/>
  <c r="G46" i="36"/>
  <c r="F37" i="35"/>
  <c r="F39" i="35" s="1"/>
  <c r="E131" i="35"/>
  <c r="F27" i="16"/>
  <c r="F29" i="16"/>
  <c r="F31" i="16" s="1"/>
  <c r="F30" i="16"/>
  <c r="F86" i="40" l="1"/>
  <c r="F124" i="40" s="1"/>
  <c r="G33" i="40" s="1"/>
  <c r="F48" i="40"/>
  <c r="F60" i="40" s="1"/>
  <c r="F68" i="40"/>
  <c r="F70" i="40" s="1"/>
  <c r="F122" i="40" s="1"/>
  <c r="G31" i="40" s="1"/>
  <c r="F62" i="39"/>
  <c r="F121" i="39" s="1"/>
  <c r="F127" i="39" s="1"/>
  <c r="G69" i="39"/>
  <c r="G115" i="39" s="1"/>
  <c r="G134" i="39" s="1"/>
  <c r="F62" i="37"/>
  <c r="F121" i="37" s="1"/>
  <c r="F129" i="36"/>
  <c r="F130" i="36"/>
  <c r="G38" i="36" s="1"/>
  <c r="G29" i="36"/>
  <c r="F40" i="35"/>
  <c r="F41" i="35"/>
  <c r="F44" i="35"/>
  <c r="F52" i="35" s="1"/>
  <c r="F43" i="35"/>
  <c r="F42" i="35"/>
  <c r="F32" i="16"/>
  <c r="F45" i="16" s="1"/>
  <c r="F34" i="16"/>
  <c r="F47" i="16" s="1"/>
  <c r="F56" i="16" s="1"/>
  <c r="F33" i="16"/>
  <c r="F46" i="16" s="1"/>
  <c r="F55" i="16" s="1"/>
  <c r="G26" i="16" s="1"/>
  <c r="G69" i="40" l="1"/>
  <c r="G115" i="40" s="1"/>
  <c r="G134" i="40" s="1"/>
  <c r="G46" i="40"/>
  <c r="G77" i="40" s="1"/>
  <c r="G116" i="40" s="1"/>
  <c r="F61" i="40"/>
  <c r="F114" i="40" s="1"/>
  <c r="G30" i="39"/>
  <c r="F129" i="39"/>
  <c r="G29" i="39"/>
  <c r="F130" i="39"/>
  <c r="G38" i="39" s="1"/>
  <c r="F127" i="37"/>
  <c r="G30" i="37"/>
  <c r="F131" i="36"/>
  <c r="G37" i="36"/>
  <c r="G39" i="36" s="1"/>
  <c r="F51" i="35"/>
  <c r="F92" i="35"/>
  <c r="F94" i="35" s="1"/>
  <c r="F125" i="35" s="1"/>
  <c r="G34" i="35" s="1"/>
  <c r="G50" i="16"/>
  <c r="F49" i="16"/>
  <c r="F54" i="16" s="1"/>
  <c r="F62" i="40" l="1"/>
  <c r="F121" i="40" s="1"/>
  <c r="F127" i="40" s="1"/>
  <c r="F131" i="39"/>
  <c r="G37" i="39"/>
  <c r="G39" i="39" s="1"/>
  <c r="F129" i="37"/>
  <c r="F131" i="37" s="1"/>
  <c r="G29" i="37"/>
  <c r="F130" i="37"/>
  <c r="G38" i="37" s="1"/>
  <c r="G43" i="36"/>
  <c r="G40" i="36"/>
  <c r="G44" i="36"/>
  <c r="G52" i="36" s="1"/>
  <c r="G42" i="36"/>
  <c r="G41" i="36"/>
  <c r="F84" i="35"/>
  <c r="F50" i="35"/>
  <c r="F57" i="16"/>
  <c r="G24" i="16" s="1"/>
  <c r="G25" i="16"/>
  <c r="H50" i="16"/>
  <c r="G60" i="16"/>
  <c r="G30" i="40" l="1"/>
  <c r="F129" i="40"/>
  <c r="G29" i="40"/>
  <c r="F130" i="40"/>
  <c r="G38" i="40" s="1"/>
  <c r="G40" i="39"/>
  <c r="G43" i="39"/>
  <c r="G42" i="39"/>
  <c r="G44" i="39"/>
  <c r="G52" i="39" s="1"/>
  <c r="G41" i="39"/>
  <c r="G37" i="37"/>
  <c r="G39" i="37" s="1"/>
  <c r="G51" i="36"/>
  <c r="G92" i="36"/>
  <c r="G94" i="36" s="1"/>
  <c r="G125" i="36" s="1"/>
  <c r="F76" i="35"/>
  <c r="F78" i="35" s="1"/>
  <c r="F123" i="35" s="1"/>
  <c r="G32" i="35" s="1"/>
  <c r="F49" i="35"/>
  <c r="F85" i="35"/>
  <c r="F117" i="35" s="1"/>
  <c r="I50" i="16"/>
  <c r="H60" i="16"/>
  <c r="G27" i="16"/>
  <c r="G29" i="16"/>
  <c r="G31" i="16" s="1"/>
  <c r="G30" i="16"/>
  <c r="F131" i="40" l="1"/>
  <c r="G37" i="40"/>
  <c r="G39" i="40" s="1"/>
  <c r="G45" i="40" s="1"/>
  <c r="G100" i="40" s="1"/>
  <c r="G102" i="40" s="1"/>
  <c r="G126" i="40" s="1"/>
  <c r="H35" i="40" s="1"/>
  <c r="G51" i="39"/>
  <c r="G92" i="39"/>
  <c r="G94" i="39" s="1"/>
  <c r="G125" i="39" s="1"/>
  <c r="H34" i="39" s="1"/>
  <c r="G40" i="37"/>
  <c r="G41" i="37"/>
  <c r="G44" i="37"/>
  <c r="G52" i="37" s="1"/>
  <c r="G42" i="37"/>
  <c r="G43" i="37"/>
  <c r="G50" i="36"/>
  <c r="G76" i="36" s="1"/>
  <c r="G78" i="36" s="1"/>
  <c r="G123" i="36" s="1"/>
  <c r="G84" i="36"/>
  <c r="G85" i="36" s="1"/>
  <c r="F86" i="35"/>
  <c r="F124" i="35" s="1"/>
  <c r="G33" i="35" s="1"/>
  <c r="F48" i="35"/>
  <c r="F60" i="35" s="1"/>
  <c r="F68" i="35"/>
  <c r="F70" i="35" s="1"/>
  <c r="F122" i="35" s="1"/>
  <c r="G31" i="35" s="1"/>
  <c r="G33" i="16"/>
  <c r="G46" i="16" s="1"/>
  <c r="G55" i="16" s="1"/>
  <c r="H26" i="16" s="1"/>
  <c r="G32" i="16"/>
  <c r="G45" i="16" s="1"/>
  <c r="G34" i="16"/>
  <c r="G47" i="16" s="1"/>
  <c r="G56" i="16" s="1"/>
  <c r="J50" i="16"/>
  <c r="I60" i="16"/>
  <c r="G43" i="40" l="1"/>
  <c r="G40" i="40"/>
  <c r="G44" i="40"/>
  <c r="G52" i="40" s="1"/>
  <c r="G41" i="40"/>
  <c r="G42" i="40"/>
  <c r="G50" i="39"/>
  <c r="G84" i="39"/>
  <c r="G51" i="37"/>
  <c r="G92" i="37"/>
  <c r="G94" i="37" s="1"/>
  <c r="G125" i="37" s="1"/>
  <c r="H34" i="37" s="1"/>
  <c r="G117" i="36"/>
  <c r="G49" i="36"/>
  <c r="G46" i="35"/>
  <c r="G77" i="35" s="1"/>
  <c r="G116" i="35" s="1"/>
  <c r="G69" i="35"/>
  <c r="G115" i="35" s="1"/>
  <c r="G134" i="35" s="1"/>
  <c r="F61" i="35"/>
  <c r="F114" i="35" s="1"/>
  <c r="K50" i="16"/>
  <c r="J60" i="16"/>
  <c r="G49" i="16"/>
  <c r="G54" i="16" s="1"/>
  <c r="G51" i="40" l="1"/>
  <c r="G92" i="40"/>
  <c r="G94" i="40" s="1"/>
  <c r="G125" i="40" s="1"/>
  <c r="H34" i="40" s="1"/>
  <c r="G85" i="39"/>
  <c r="G117" i="39" s="1"/>
  <c r="G76" i="39"/>
  <c r="G78" i="39" s="1"/>
  <c r="G123" i="39" s="1"/>
  <c r="H32" i="39" s="1"/>
  <c r="G49" i="39"/>
  <c r="G50" i="37"/>
  <c r="G76" i="37" s="1"/>
  <c r="G78" i="37" s="1"/>
  <c r="G123" i="37" s="1"/>
  <c r="H32" i="37" s="1"/>
  <c r="G84" i="37"/>
  <c r="G86" i="36"/>
  <c r="G124" i="36" s="1"/>
  <c r="G48" i="36"/>
  <c r="G60" i="36" s="1"/>
  <c r="G62" i="36" s="1"/>
  <c r="G121" i="36" s="1"/>
  <c r="G68" i="36"/>
  <c r="G70" i="36" s="1"/>
  <c r="G122" i="36" s="1"/>
  <c r="F62" i="35"/>
  <c r="F121" i="35" s="1"/>
  <c r="G57" i="16"/>
  <c r="H24" i="16" s="1"/>
  <c r="H25" i="16"/>
  <c r="L50" i="16"/>
  <c r="L60" i="16" s="1"/>
  <c r="K60" i="16"/>
  <c r="G50" i="40" l="1"/>
  <c r="G84" i="40"/>
  <c r="G48" i="39"/>
  <c r="G60" i="39" s="1"/>
  <c r="G68" i="39"/>
  <c r="G70" i="39" s="1"/>
  <c r="G122" i="39" s="1"/>
  <c r="H31" i="39" s="1"/>
  <c r="G86" i="39"/>
  <c r="G124" i="39" s="1"/>
  <c r="H33" i="39" s="1"/>
  <c r="G49" i="37"/>
  <c r="G48" i="37" s="1"/>
  <c r="G60" i="37" s="1"/>
  <c r="G85" i="37"/>
  <c r="G117" i="37" s="1"/>
  <c r="G127" i="36"/>
  <c r="G129" i="36" s="1"/>
  <c r="G131" i="36" s="1"/>
  <c r="F127" i="35"/>
  <c r="G30" i="35"/>
  <c r="H27" i="16"/>
  <c r="H29" i="16"/>
  <c r="H30" i="16"/>
  <c r="G85" i="40" l="1"/>
  <c r="G117" i="40" s="1"/>
  <c r="G76" i="40"/>
  <c r="G78" i="40" s="1"/>
  <c r="G123" i="40" s="1"/>
  <c r="H32" i="40" s="1"/>
  <c r="G49" i="40"/>
  <c r="H69" i="39"/>
  <c r="H115" i="39" s="1"/>
  <c r="H134" i="39" s="1"/>
  <c r="H46" i="39"/>
  <c r="H77" i="39" s="1"/>
  <c r="H116" i="39" s="1"/>
  <c r="G61" i="39"/>
  <c r="G114" i="39" s="1"/>
  <c r="G86" i="37"/>
  <c r="G124" i="37" s="1"/>
  <c r="H33" i="37" s="1"/>
  <c r="G68" i="37"/>
  <c r="G70" i="37" s="1"/>
  <c r="G122" i="37" s="1"/>
  <c r="H31" i="37" s="1"/>
  <c r="H69" i="37" s="1"/>
  <c r="H115" i="37" s="1"/>
  <c r="H134" i="37" s="1"/>
  <c r="G61" i="37"/>
  <c r="G114" i="37" s="1"/>
  <c r="G130" i="36"/>
  <c r="F130" i="35"/>
  <c r="G38" i="35" s="1"/>
  <c r="F129" i="35"/>
  <c r="G29" i="35"/>
  <c r="H31" i="16"/>
  <c r="H34" i="16" s="1"/>
  <c r="H47" i="16" s="1"/>
  <c r="H56" i="16" s="1"/>
  <c r="G86" i="40" l="1"/>
  <c r="G124" i="40" s="1"/>
  <c r="H33" i="40" s="1"/>
  <c r="G48" i="40"/>
  <c r="G60" i="40" s="1"/>
  <c r="G68" i="40"/>
  <c r="G70" i="40" s="1"/>
  <c r="G122" i="40" s="1"/>
  <c r="H31" i="40" s="1"/>
  <c r="G62" i="39"/>
  <c r="G121" i="39" s="1"/>
  <c r="G127" i="39" s="1"/>
  <c r="G62" i="37"/>
  <c r="G121" i="37" s="1"/>
  <c r="G127" i="37" s="1"/>
  <c r="H46" i="37"/>
  <c r="H77" i="37" s="1"/>
  <c r="H116" i="37" s="1"/>
  <c r="F131" i="35"/>
  <c r="G37" i="35"/>
  <c r="G39" i="35" s="1"/>
  <c r="H33" i="16"/>
  <c r="H46" i="16" s="1"/>
  <c r="H55" i="16" s="1"/>
  <c r="I26" i="16" s="1"/>
  <c r="H32" i="16"/>
  <c r="H45" i="16" s="1"/>
  <c r="H54" i="16" s="1"/>
  <c r="H69" i="40" l="1"/>
  <c r="H115" i="40" s="1"/>
  <c r="H134" i="40" s="1"/>
  <c r="H46" i="40"/>
  <c r="H77" i="40" s="1"/>
  <c r="H116" i="40" s="1"/>
  <c r="G61" i="40"/>
  <c r="G114" i="40" s="1"/>
  <c r="H30" i="39"/>
  <c r="G129" i="39"/>
  <c r="G130" i="39"/>
  <c r="H38" i="39" s="1"/>
  <c r="H29" i="39"/>
  <c r="H29" i="37"/>
  <c r="G129" i="37"/>
  <c r="H37" i="37" s="1"/>
  <c r="H30" i="37"/>
  <c r="G130" i="37"/>
  <c r="H38" i="37" s="1"/>
  <c r="G41" i="35"/>
  <c r="G40" i="35"/>
  <c r="G44" i="35"/>
  <c r="G52" i="35" s="1"/>
  <c r="G43" i="35"/>
  <c r="G42" i="35"/>
  <c r="H57" i="16"/>
  <c r="I24" i="16" s="1"/>
  <c r="I27" i="16" s="1"/>
  <c r="I25" i="16"/>
  <c r="G62" i="40" l="1"/>
  <c r="G121" i="40" s="1"/>
  <c r="G127" i="40" s="1"/>
  <c r="G131" i="37"/>
  <c r="G131" i="39"/>
  <c r="H37" i="39"/>
  <c r="H39" i="39" s="1"/>
  <c r="H39" i="37"/>
  <c r="H41" i="37" s="1"/>
  <c r="G51" i="35"/>
  <c r="G92" i="35"/>
  <c r="G94" i="35" s="1"/>
  <c r="G125" i="35" s="1"/>
  <c r="I30" i="16"/>
  <c r="I29" i="16"/>
  <c r="I31" i="16" s="1"/>
  <c r="I34" i="16" s="1"/>
  <c r="I47" i="16" s="1"/>
  <c r="I56" i="16" s="1"/>
  <c r="H30" i="40" l="1"/>
  <c r="G129" i="40"/>
  <c r="G130" i="40"/>
  <c r="H38" i="40" s="1"/>
  <c r="H29" i="40"/>
  <c r="H40" i="39"/>
  <c r="H42" i="39"/>
  <c r="H41" i="39"/>
  <c r="H43" i="39"/>
  <c r="H44" i="39"/>
  <c r="H52" i="39" s="1"/>
  <c r="H42" i="37"/>
  <c r="H44" i="37"/>
  <c r="H52" i="37" s="1"/>
  <c r="H51" i="37" s="1"/>
  <c r="H43" i="37"/>
  <c r="H40" i="37"/>
  <c r="G84" i="35"/>
  <c r="G50" i="35"/>
  <c r="I32" i="16"/>
  <c r="I45" i="16" s="1"/>
  <c r="I54" i="16" s="1"/>
  <c r="J25" i="16" s="1"/>
  <c r="I33" i="16"/>
  <c r="I46" i="16" s="1"/>
  <c r="I55" i="16" s="1"/>
  <c r="J26" i="16" s="1"/>
  <c r="G131" i="40" l="1"/>
  <c r="H37" i="40"/>
  <c r="H39" i="40" s="1"/>
  <c r="H45" i="40" s="1"/>
  <c r="H100" i="40" s="1"/>
  <c r="H51" i="39"/>
  <c r="H92" i="39"/>
  <c r="H94" i="39" s="1"/>
  <c r="H125" i="39" s="1"/>
  <c r="I34" i="39" s="1"/>
  <c r="H92" i="37"/>
  <c r="H94" i="37" s="1"/>
  <c r="H125" i="37" s="1"/>
  <c r="I34" i="37" s="1"/>
  <c r="H50" i="37"/>
  <c r="H84" i="37"/>
  <c r="G76" i="35"/>
  <c r="G78" i="35" s="1"/>
  <c r="G123" i="35" s="1"/>
  <c r="G49" i="35"/>
  <c r="G85" i="35"/>
  <c r="G117" i="35" s="1"/>
  <c r="I57" i="16"/>
  <c r="J24" i="16" s="1"/>
  <c r="J27" i="16" s="1"/>
  <c r="H101" i="40" l="1"/>
  <c r="H119" i="40" s="1"/>
  <c r="H41" i="40"/>
  <c r="H42" i="40"/>
  <c r="H44" i="40"/>
  <c r="H52" i="40" s="1"/>
  <c r="H40" i="40"/>
  <c r="H43" i="40"/>
  <c r="H50" i="39"/>
  <c r="H76" i="39" s="1"/>
  <c r="H78" i="39" s="1"/>
  <c r="H123" i="39" s="1"/>
  <c r="I32" i="39" s="1"/>
  <c r="H84" i="39"/>
  <c r="H85" i="37"/>
  <c r="H117" i="37" s="1"/>
  <c r="H76" i="37"/>
  <c r="H78" i="37" s="1"/>
  <c r="H123" i="37" s="1"/>
  <c r="I32" i="37" s="1"/>
  <c r="H49" i="37"/>
  <c r="G86" i="35"/>
  <c r="G124" i="35" s="1"/>
  <c r="G48" i="35"/>
  <c r="G60" i="35" s="1"/>
  <c r="G68" i="35"/>
  <c r="G70" i="35" s="1"/>
  <c r="G122" i="35" s="1"/>
  <c r="J30" i="16"/>
  <c r="J29" i="16"/>
  <c r="J31" i="16" s="1"/>
  <c r="J34" i="16" s="1"/>
  <c r="J47" i="16" s="1"/>
  <c r="J56" i="16" s="1"/>
  <c r="H102" i="40" l="1"/>
  <c r="H126" i="40" s="1"/>
  <c r="I35" i="40" s="1"/>
  <c r="H51" i="40"/>
  <c r="H92" i="40"/>
  <c r="H94" i="40" s="1"/>
  <c r="H125" i="40" s="1"/>
  <c r="I34" i="40" s="1"/>
  <c r="H49" i="39"/>
  <c r="H48" i="39" s="1"/>
  <c r="H60" i="39" s="1"/>
  <c r="H85" i="39"/>
  <c r="H117" i="39" s="1"/>
  <c r="H86" i="37"/>
  <c r="H124" i="37" s="1"/>
  <c r="I33" i="37" s="1"/>
  <c r="H48" i="37"/>
  <c r="H60" i="37" s="1"/>
  <c r="H68" i="37"/>
  <c r="H70" i="37" s="1"/>
  <c r="H122" i="37" s="1"/>
  <c r="I31" i="37" s="1"/>
  <c r="I69" i="37" s="1"/>
  <c r="I115" i="37" s="1"/>
  <c r="I134" i="37" s="1"/>
  <c r="G61" i="35"/>
  <c r="G114" i="35" s="1"/>
  <c r="J32" i="16"/>
  <c r="J45" i="16" s="1"/>
  <c r="J54" i="16" s="1"/>
  <c r="K25" i="16" s="1"/>
  <c r="J33" i="16"/>
  <c r="J46" i="16" s="1"/>
  <c r="J55" i="16" s="1"/>
  <c r="K26" i="16" s="1"/>
  <c r="H86" i="39" l="1"/>
  <c r="H124" i="39" s="1"/>
  <c r="I33" i="39" s="1"/>
  <c r="H50" i="40"/>
  <c r="H76" i="40" s="1"/>
  <c r="H78" i="40" s="1"/>
  <c r="H123" i="40" s="1"/>
  <c r="I32" i="40" s="1"/>
  <c r="H84" i="40"/>
  <c r="H68" i="39"/>
  <c r="H70" i="39" s="1"/>
  <c r="H122" i="39" s="1"/>
  <c r="I31" i="39" s="1"/>
  <c r="I69" i="39" s="1"/>
  <c r="I115" i="39" s="1"/>
  <c r="I134" i="39" s="1"/>
  <c r="H61" i="39"/>
  <c r="H114" i="39" s="1"/>
  <c r="H61" i="37"/>
  <c r="H114" i="37" s="1"/>
  <c r="I46" i="37"/>
  <c r="I77" i="37" s="1"/>
  <c r="I116" i="37" s="1"/>
  <c r="G62" i="35"/>
  <c r="G121" i="35" s="1"/>
  <c r="G127" i="35" s="1"/>
  <c r="G129" i="35" s="1"/>
  <c r="G131" i="35" s="1"/>
  <c r="J57" i="16"/>
  <c r="K24" i="16" s="1"/>
  <c r="K27" i="16" s="1"/>
  <c r="H49" i="40" l="1"/>
  <c r="H48" i="40" s="1"/>
  <c r="H60" i="40" s="1"/>
  <c r="H85" i="40"/>
  <c r="H117" i="40" s="1"/>
  <c r="H62" i="39"/>
  <c r="H121" i="39" s="1"/>
  <c r="I30" i="39" s="1"/>
  <c r="I46" i="39"/>
  <c r="I77" i="39" s="1"/>
  <c r="I116" i="39" s="1"/>
  <c r="H62" i="37"/>
  <c r="H121" i="37" s="1"/>
  <c r="H127" i="37" s="1"/>
  <c r="I29" i="37" s="1"/>
  <c r="G130" i="35"/>
  <c r="K29" i="16"/>
  <c r="K30" i="16"/>
  <c r="H86" i="40" l="1"/>
  <c r="H124" i="40" s="1"/>
  <c r="I33" i="40" s="1"/>
  <c r="H68" i="40"/>
  <c r="H70" i="40" s="1"/>
  <c r="H122" i="40" s="1"/>
  <c r="I31" i="40" s="1"/>
  <c r="I69" i="40" s="1"/>
  <c r="I115" i="40" s="1"/>
  <c r="I134" i="40" s="1"/>
  <c r="H61" i="40"/>
  <c r="H114" i="40" s="1"/>
  <c r="H127" i="39"/>
  <c r="I29" i="39" s="1"/>
  <c r="I30" i="37"/>
  <c r="H129" i="37"/>
  <c r="H130" i="37"/>
  <c r="I38" i="37" s="1"/>
  <c r="K31" i="16"/>
  <c r="K32" i="16" s="1"/>
  <c r="K45" i="16" s="1"/>
  <c r="K54" i="16" s="1"/>
  <c r="L25" i="16" s="1"/>
  <c r="I46" i="40" l="1"/>
  <c r="I77" i="40" s="1"/>
  <c r="I116" i="40" s="1"/>
  <c r="H62" i="40"/>
  <c r="H121" i="40" s="1"/>
  <c r="H130" i="39"/>
  <c r="I38" i="39" s="1"/>
  <c r="H129" i="39"/>
  <c r="H131" i="39" s="1"/>
  <c r="H131" i="37"/>
  <c r="I37" i="37"/>
  <c r="I39" i="37" s="1"/>
  <c r="I42" i="37" s="1"/>
  <c r="K33" i="16"/>
  <c r="K46" i="16" s="1"/>
  <c r="K55" i="16" s="1"/>
  <c r="L26" i="16" s="1"/>
  <c r="K34" i="16"/>
  <c r="K47" i="16" s="1"/>
  <c r="K56" i="16" s="1"/>
  <c r="I37" i="39" l="1"/>
  <c r="I39" i="39" s="1"/>
  <c r="I44" i="39" s="1"/>
  <c r="I52" i="39" s="1"/>
  <c r="I30" i="40"/>
  <c r="H127" i="40"/>
  <c r="I40" i="37"/>
  <c r="I41" i="37"/>
  <c r="I44" i="37"/>
  <c r="I52" i="37" s="1"/>
  <c r="I51" i="37" s="1"/>
  <c r="I50" i="37" s="1"/>
  <c r="I43" i="37"/>
  <c r="K57" i="16"/>
  <c r="L24" i="16" s="1"/>
  <c r="L30" i="16" s="1"/>
  <c r="I29" i="40" l="1"/>
  <c r="H129" i="40"/>
  <c r="H130" i="40"/>
  <c r="I38" i="40" s="1"/>
  <c r="I40" i="39"/>
  <c r="I41" i="39"/>
  <c r="I42" i="39"/>
  <c r="I43" i="39"/>
  <c r="I51" i="39"/>
  <c r="I92" i="39"/>
  <c r="I94" i="39" s="1"/>
  <c r="I125" i="39" s="1"/>
  <c r="J34" i="39" s="1"/>
  <c r="I92" i="37"/>
  <c r="I94" i="37" s="1"/>
  <c r="I125" i="37" s="1"/>
  <c r="J34" i="37" s="1"/>
  <c r="I84" i="37"/>
  <c r="I85" i="37" s="1"/>
  <c r="I117" i="37" s="1"/>
  <c r="I76" i="37"/>
  <c r="I78" i="37" s="1"/>
  <c r="I123" i="37" s="1"/>
  <c r="J32" i="37" s="1"/>
  <c r="I49" i="37"/>
  <c r="L27" i="16"/>
  <c r="L29" i="16"/>
  <c r="L31" i="16" s="1"/>
  <c r="L32" i="16" s="1"/>
  <c r="L45" i="16" s="1"/>
  <c r="L54" i="16" s="1"/>
  <c r="I37" i="40" l="1"/>
  <c r="I39" i="40" s="1"/>
  <c r="I45" i="40" s="1"/>
  <c r="I100" i="40" s="1"/>
  <c r="I102" i="40" s="1"/>
  <c r="I126" i="40" s="1"/>
  <c r="J35" i="40" s="1"/>
  <c r="H131" i="40"/>
  <c r="I50" i="39"/>
  <c r="I76" i="39" s="1"/>
  <c r="I78" i="39" s="1"/>
  <c r="I123" i="39" s="1"/>
  <c r="J32" i="39" s="1"/>
  <c r="I84" i="39"/>
  <c r="I86" i="37"/>
  <c r="I124" i="37" s="1"/>
  <c r="J33" i="37" s="1"/>
  <c r="I48" i="37"/>
  <c r="I60" i="37" s="1"/>
  <c r="I68" i="37"/>
  <c r="I70" i="37" s="1"/>
  <c r="I122" i="37" s="1"/>
  <c r="J31" i="37" s="1"/>
  <c r="J69" i="37" s="1"/>
  <c r="J115" i="37" s="1"/>
  <c r="J134" i="37" s="1"/>
  <c r="L33" i="16"/>
  <c r="L46" i="16" s="1"/>
  <c r="L55" i="16" s="1"/>
  <c r="L34" i="16"/>
  <c r="L47" i="16" s="1"/>
  <c r="L56" i="16" s="1"/>
  <c r="I40" i="40" l="1"/>
  <c r="I44" i="40"/>
  <c r="I52" i="40" s="1"/>
  <c r="I41" i="40"/>
  <c r="I43" i="40"/>
  <c r="I42" i="40"/>
  <c r="I49" i="39"/>
  <c r="I85" i="39"/>
  <c r="I117" i="39" s="1"/>
  <c r="I61" i="37"/>
  <c r="I114" i="37" s="1"/>
  <c r="J46" i="37"/>
  <c r="J77" i="37" s="1"/>
  <c r="J116" i="37" s="1"/>
  <c r="L57" i="16"/>
  <c r="I86" i="39" l="1"/>
  <c r="I124" i="39" s="1"/>
  <c r="J33" i="39" s="1"/>
  <c r="I51" i="40"/>
  <c r="I92" i="40"/>
  <c r="I94" i="40" s="1"/>
  <c r="I125" i="40" s="1"/>
  <c r="J34" i="40" s="1"/>
  <c r="I48" i="39"/>
  <c r="I60" i="39" s="1"/>
  <c r="I68" i="39"/>
  <c r="I70" i="39" s="1"/>
  <c r="I122" i="39" s="1"/>
  <c r="J31" i="39" s="1"/>
  <c r="I62" i="37"/>
  <c r="I121" i="37" s="1"/>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I50" i="40" l="1"/>
  <c r="I84" i="40"/>
  <c r="J69" i="39"/>
  <c r="J115" i="39" s="1"/>
  <c r="J134" i="39" s="1"/>
  <c r="J46" i="39"/>
  <c r="J77" i="39" s="1"/>
  <c r="J116" i="39" s="1"/>
  <c r="I61" i="39"/>
  <c r="I114" i="39" s="1"/>
  <c r="I127" i="37"/>
  <c r="J30" i="3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I85" i="40" l="1"/>
  <c r="I117" i="40" s="1"/>
  <c r="I76" i="40"/>
  <c r="I78" i="40" s="1"/>
  <c r="I123" i="40" s="1"/>
  <c r="J32" i="40" s="1"/>
  <c r="I49" i="40"/>
  <c r="I62" i="39"/>
  <c r="I121" i="39" s="1"/>
  <c r="J30" i="39" s="1"/>
  <c r="J29" i="37"/>
  <c r="I129" i="37"/>
  <c r="I130" i="37"/>
  <c r="J38" i="37" s="1"/>
  <c r="V11" i="7"/>
  <c r="W11" i="7"/>
  <c r="V6" i="7"/>
  <c r="W6" i="7"/>
  <c r="I86" i="40" l="1"/>
  <c r="I124" i="40" s="1"/>
  <c r="J33" i="40" s="1"/>
  <c r="I48" i="40"/>
  <c r="I60" i="40" s="1"/>
  <c r="I68" i="40"/>
  <c r="I70" i="40" s="1"/>
  <c r="I122" i="40" s="1"/>
  <c r="J31" i="40" s="1"/>
  <c r="I127" i="39"/>
  <c r="I129" i="39" s="1"/>
  <c r="I131" i="37"/>
  <c r="J37" i="37"/>
  <c r="V8" i="7"/>
  <c r="W8" i="7"/>
  <c r="J69" i="40" l="1"/>
  <c r="J115" i="40" s="1"/>
  <c r="J134" i="40" s="1"/>
  <c r="J46" i="40"/>
  <c r="J77" i="40" s="1"/>
  <c r="J116" i="40" s="1"/>
  <c r="I61" i="40"/>
  <c r="I114" i="40" s="1"/>
  <c r="J29" i="39"/>
  <c r="I130" i="39"/>
  <c r="J38" i="39" s="1"/>
  <c r="I131" i="39"/>
  <c r="J37" i="39"/>
  <c r="J39" i="37"/>
  <c r="J41" i="37"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I62" i="40" l="1"/>
  <c r="I121" i="40" s="1"/>
  <c r="I127" i="40" s="1"/>
  <c r="J39" i="39"/>
  <c r="J44" i="39" s="1"/>
  <c r="J52" i="39" s="1"/>
  <c r="J44" i="37"/>
  <c r="J52" i="37" s="1"/>
  <c r="J51" i="37" s="1"/>
  <c r="J42" i="37"/>
  <c r="J40" i="37"/>
  <c r="J43" i="37"/>
  <c r="V10" i="7"/>
  <c r="W10" i="7"/>
  <c r="K13" i="2"/>
  <c r="L13" i="2" s="1"/>
  <c r="K8" i="2"/>
  <c r="J30" i="40" l="1"/>
  <c r="J42" i="39"/>
  <c r="J41" i="39"/>
  <c r="J43" i="39"/>
  <c r="J40" i="39"/>
  <c r="I129" i="40"/>
  <c r="J29" i="40"/>
  <c r="I130" i="40"/>
  <c r="J38" i="40" s="1"/>
  <c r="J51" i="39"/>
  <c r="J92" i="39"/>
  <c r="J94" i="39" s="1"/>
  <c r="J125" i="39" s="1"/>
  <c r="K34" i="39" s="1"/>
  <c r="J92" i="37"/>
  <c r="J94" i="37" s="1"/>
  <c r="J125" i="37" s="1"/>
  <c r="K34" i="37" s="1"/>
  <c r="J50" i="37"/>
  <c r="J84" i="37"/>
  <c r="N13" i="2"/>
  <c r="O13" i="2"/>
  <c r="M13" i="2"/>
  <c r="I131" i="40" l="1"/>
  <c r="J37" i="40"/>
  <c r="J39" i="40" s="1"/>
  <c r="J45" i="40" s="1"/>
  <c r="J100" i="40" s="1"/>
  <c r="J102" i="40" s="1"/>
  <c r="J126" i="40" s="1"/>
  <c r="K35" i="40" s="1"/>
  <c r="J50" i="39"/>
  <c r="J84" i="39"/>
  <c r="J85" i="37"/>
  <c r="J117" i="37" s="1"/>
  <c r="J76" i="37"/>
  <c r="J78" i="37" s="1"/>
  <c r="J123" i="37" s="1"/>
  <c r="K32" i="37" s="1"/>
  <c r="J49" i="37"/>
  <c r="P13" i="2"/>
  <c r="J43" i="40" l="1"/>
  <c r="J41" i="40"/>
  <c r="J40" i="40"/>
  <c r="J44" i="40"/>
  <c r="J52" i="40" s="1"/>
  <c r="J42" i="40"/>
  <c r="J85" i="39"/>
  <c r="J117" i="39" s="1"/>
  <c r="J76" i="39"/>
  <c r="J78" i="39" s="1"/>
  <c r="J123" i="39" s="1"/>
  <c r="K32" i="39" s="1"/>
  <c r="J49" i="39"/>
  <c r="J86" i="37"/>
  <c r="J124" i="37" s="1"/>
  <c r="K33" i="37" s="1"/>
  <c r="J48" i="37"/>
  <c r="J60" i="37" s="1"/>
  <c r="J68" i="37"/>
  <c r="J70" i="37" s="1"/>
  <c r="J122" i="37" s="1"/>
  <c r="K31" i="37" s="1"/>
  <c r="J51" i="40" l="1"/>
  <c r="J92" i="40"/>
  <c r="J94" i="40" s="1"/>
  <c r="J125" i="40" s="1"/>
  <c r="K34" i="40" s="1"/>
  <c r="J86" i="39"/>
  <c r="J124" i="39" s="1"/>
  <c r="K33" i="39" s="1"/>
  <c r="J48" i="39"/>
  <c r="J60" i="39" s="1"/>
  <c r="J68" i="39"/>
  <c r="J70" i="39" s="1"/>
  <c r="J122" i="39" s="1"/>
  <c r="K31" i="39" s="1"/>
  <c r="K46" i="37"/>
  <c r="K77" i="37" s="1"/>
  <c r="K116" i="37" s="1"/>
  <c r="K69" i="37"/>
  <c r="K115" i="37" s="1"/>
  <c r="K134" i="37" s="1"/>
  <c r="J61" i="37"/>
  <c r="J114" i="37" s="1"/>
  <c r="J50" i="40" l="1"/>
  <c r="J76" i="40" s="1"/>
  <c r="J78" i="40" s="1"/>
  <c r="J123" i="40" s="1"/>
  <c r="K32" i="40" s="1"/>
  <c r="J84" i="40"/>
  <c r="K69" i="39"/>
  <c r="K115" i="39" s="1"/>
  <c r="K134" i="39" s="1"/>
  <c r="K46" i="39"/>
  <c r="K77" i="39" s="1"/>
  <c r="K116" i="39" s="1"/>
  <c r="J61" i="39"/>
  <c r="J114" i="39" s="1"/>
  <c r="J62" i="37"/>
  <c r="J121" i="37" s="1"/>
  <c r="J49" i="40" l="1"/>
  <c r="J48" i="40" s="1"/>
  <c r="J60" i="40" s="1"/>
  <c r="J85" i="40"/>
  <c r="J117" i="40" s="1"/>
  <c r="J62" i="39"/>
  <c r="J121" i="39" s="1"/>
  <c r="J127" i="39" s="1"/>
  <c r="K30" i="37"/>
  <c r="J127" i="37"/>
  <c r="J86" i="40" l="1"/>
  <c r="J124" i="40" s="1"/>
  <c r="K33" i="40" s="1"/>
  <c r="J68" i="40"/>
  <c r="J70" i="40" s="1"/>
  <c r="J122" i="40" s="1"/>
  <c r="K31" i="40" s="1"/>
  <c r="K69" i="40" s="1"/>
  <c r="K115" i="40" s="1"/>
  <c r="K134" i="40" s="1"/>
  <c r="K30" i="39"/>
  <c r="J61" i="40"/>
  <c r="J114" i="40" s="1"/>
  <c r="J130" i="39"/>
  <c r="K38" i="39" s="1"/>
  <c r="J129" i="39"/>
  <c r="K29" i="39"/>
  <c r="K29" i="37"/>
  <c r="J130" i="37"/>
  <c r="K38" i="37" s="1"/>
  <c r="J129" i="37"/>
  <c r="J62" i="40" l="1"/>
  <c r="J121" i="40" s="1"/>
  <c r="K30" i="40" s="1"/>
  <c r="K46" i="40"/>
  <c r="K77" i="40" s="1"/>
  <c r="K116" i="40" s="1"/>
  <c r="J131" i="39"/>
  <c r="K37" i="39"/>
  <c r="K39" i="39" s="1"/>
  <c r="J131" i="37"/>
  <c r="K37" i="37"/>
  <c r="K39" i="37" s="1"/>
  <c r="J127" i="40" l="1"/>
  <c r="J129" i="40" s="1"/>
  <c r="K44" i="39"/>
  <c r="K52" i="39" s="1"/>
  <c r="K41" i="39"/>
  <c r="K43" i="39"/>
  <c r="K40" i="39"/>
  <c r="K42" i="39"/>
  <c r="K43" i="37"/>
  <c r="K42" i="37"/>
  <c r="K40" i="37"/>
  <c r="K44" i="37"/>
  <c r="K52" i="37" s="1"/>
  <c r="K41" i="37"/>
  <c r="J130" i="40" l="1"/>
  <c r="K38" i="40" s="1"/>
  <c r="K29" i="40"/>
  <c r="J131" i="40"/>
  <c r="K37" i="40"/>
  <c r="K51" i="39"/>
  <c r="K92" i="39"/>
  <c r="K94" i="39" s="1"/>
  <c r="K125" i="39" s="1"/>
  <c r="L34" i="39" s="1"/>
  <c r="K51" i="37"/>
  <c r="K92" i="37"/>
  <c r="K94" i="37" s="1"/>
  <c r="K125" i="37" s="1"/>
  <c r="L34" i="37" s="1"/>
  <c r="K39" i="40" l="1"/>
  <c r="K45" i="40" s="1"/>
  <c r="K100" i="40" s="1"/>
  <c r="K102" i="40" s="1"/>
  <c r="K126" i="40" s="1"/>
  <c r="L35" i="40" s="1"/>
  <c r="K50" i="39"/>
  <c r="K76" i="39" s="1"/>
  <c r="K78" i="39" s="1"/>
  <c r="K123" i="39" s="1"/>
  <c r="L32" i="39" s="1"/>
  <c r="K84" i="39"/>
  <c r="K84" i="37"/>
  <c r="K50" i="37"/>
  <c r="K42" i="40" l="1"/>
  <c r="K41" i="40"/>
  <c r="K44" i="40"/>
  <c r="K52" i="40" s="1"/>
  <c r="K51" i="40" s="1"/>
  <c r="K43" i="40"/>
  <c r="K40" i="40"/>
  <c r="K49" i="39"/>
  <c r="K48" i="39" s="1"/>
  <c r="K60" i="39" s="1"/>
  <c r="K85" i="39"/>
  <c r="K117" i="39" s="1"/>
  <c r="K85" i="37"/>
  <c r="K117" i="37" s="1"/>
  <c r="K76" i="37"/>
  <c r="K78" i="37" s="1"/>
  <c r="K123" i="37" s="1"/>
  <c r="L32" i="37" s="1"/>
  <c r="K49" i="37"/>
  <c r="K92" i="40" l="1"/>
  <c r="K94" i="40" s="1"/>
  <c r="K125" i="40" s="1"/>
  <c r="L34" i="40" s="1"/>
  <c r="K50" i="40"/>
  <c r="K76" i="40" s="1"/>
  <c r="K78" i="40" s="1"/>
  <c r="K123" i="40" s="1"/>
  <c r="L32" i="40" s="1"/>
  <c r="K84" i="40"/>
  <c r="K68" i="39"/>
  <c r="K70" i="39" s="1"/>
  <c r="K122" i="39" s="1"/>
  <c r="L31" i="39" s="1"/>
  <c r="L69" i="39" s="1"/>
  <c r="L115" i="39" s="1"/>
  <c r="L134" i="39" s="1"/>
  <c r="K86" i="39"/>
  <c r="K124" i="39" s="1"/>
  <c r="L33" i="39" s="1"/>
  <c r="K61" i="39"/>
  <c r="K114" i="39" s="1"/>
  <c r="K86" i="37"/>
  <c r="K124" i="37" s="1"/>
  <c r="L33" i="37" s="1"/>
  <c r="K48" i="37"/>
  <c r="K60" i="37" s="1"/>
  <c r="K68" i="37"/>
  <c r="K70" i="37" s="1"/>
  <c r="K122" i="37" s="1"/>
  <c r="L31" i="37" s="1"/>
  <c r="K49" i="40" l="1"/>
  <c r="K85" i="40"/>
  <c r="K117" i="40" s="1"/>
  <c r="K62" i="39"/>
  <c r="K121" i="39" s="1"/>
  <c r="K127" i="39" s="1"/>
  <c r="L46" i="39"/>
  <c r="L77" i="39" s="1"/>
  <c r="L116" i="39" s="1"/>
  <c r="L46" i="37"/>
  <c r="L77" i="37" s="1"/>
  <c r="L116" i="37" s="1"/>
  <c r="L69" i="37"/>
  <c r="L115" i="37" s="1"/>
  <c r="L134" i="37" s="1"/>
  <c r="K61" i="37"/>
  <c r="K114" i="37" s="1"/>
  <c r="K86" i="40" l="1"/>
  <c r="K124" i="40" s="1"/>
  <c r="L33" i="40" s="1"/>
  <c r="L30" i="39"/>
  <c r="K48" i="40"/>
  <c r="K60" i="40" s="1"/>
  <c r="K68" i="40"/>
  <c r="K70" i="40" s="1"/>
  <c r="K122" i="40" s="1"/>
  <c r="L31" i="40" s="1"/>
  <c r="K129" i="39"/>
  <c r="L29" i="39"/>
  <c r="K130" i="39"/>
  <c r="L38" i="39" s="1"/>
  <c r="K62" i="37"/>
  <c r="K121" i="37" s="1"/>
  <c r="L30" i="37" s="1"/>
  <c r="C91" i="33"/>
  <c r="K61" i="40" l="1"/>
  <c r="K114" i="40" s="1"/>
  <c r="L69" i="40"/>
  <c r="L115" i="40" s="1"/>
  <c r="L134" i="40" s="1"/>
  <c r="L46" i="40"/>
  <c r="L77" i="40" s="1"/>
  <c r="L116" i="40" s="1"/>
  <c r="K131" i="39"/>
  <c r="L37" i="39"/>
  <c r="L39" i="39" s="1"/>
  <c r="K127" i="37"/>
  <c r="K129" i="37" s="1"/>
  <c r="C59" i="33"/>
  <c r="C75" i="33"/>
  <c r="C67" i="33"/>
  <c r="C127" i="33"/>
  <c r="C83" i="33"/>
  <c r="K62" i="40" l="1"/>
  <c r="K121" i="40" s="1"/>
  <c r="L30" i="40" s="1"/>
  <c r="L42" i="39"/>
  <c r="L44" i="39"/>
  <c r="L52" i="39" s="1"/>
  <c r="L40" i="39"/>
  <c r="L41" i="39"/>
  <c r="L43" i="39"/>
  <c r="K130" i="37"/>
  <c r="L38" i="37" s="1"/>
  <c r="L29" i="37"/>
  <c r="K131" i="37"/>
  <c r="L37" i="37"/>
  <c r="C130" i="33"/>
  <c r="D38" i="33" s="1"/>
  <c r="C129" i="33"/>
  <c r="D29" i="33"/>
  <c r="K127" i="40" l="1"/>
  <c r="L29" i="40" s="1"/>
  <c r="L51" i="39"/>
  <c r="L92" i="39"/>
  <c r="L94" i="39" s="1"/>
  <c r="L125" i="39" s="1"/>
  <c r="L39" i="37"/>
  <c r="L43" i="37" s="1"/>
  <c r="C131" i="33"/>
  <c r="D37" i="33"/>
  <c r="K129" i="40" l="1"/>
  <c r="L37" i="40" s="1"/>
  <c r="K130" i="40"/>
  <c r="L38" i="40" s="1"/>
  <c r="L42" i="37"/>
  <c r="L41" i="37"/>
  <c r="L40" i="37"/>
  <c r="L44" i="37"/>
  <c r="L52" i="37" s="1"/>
  <c r="L51" i="37" s="1"/>
  <c r="L50" i="39"/>
  <c r="L84" i="39"/>
  <c r="D39" i="33"/>
  <c r="L39" i="40" l="1"/>
  <c r="L45" i="40" s="1"/>
  <c r="L100" i="40" s="1"/>
  <c r="L102" i="40" s="1"/>
  <c r="L126" i="40" s="1"/>
  <c r="K131" i="40"/>
  <c r="L85" i="39"/>
  <c r="L117" i="39" s="1"/>
  <c r="L76" i="39"/>
  <c r="L78" i="39" s="1"/>
  <c r="L123" i="39" s="1"/>
  <c r="L49" i="39"/>
  <c r="L92" i="37"/>
  <c r="L94" i="37" s="1"/>
  <c r="L125" i="37" s="1"/>
  <c r="L84" i="37"/>
  <c r="L50" i="37"/>
  <c r="D42" i="33"/>
  <c r="D43" i="33"/>
  <c r="D44" i="33"/>
  <c r="D40" i="33"/>
  <c r="D41" i="33"/>
  <c r="L40" i="40" l="1"/>
  <c r="L42" i="40"/>
  <c r="L41" i="40"/>
  <c r="L44" i="40"/>
  <c r="L52" i="40" s="1"/>
  <c r="L51" i="40" s="1"/>
  <c r="L43" i="40"/>
  <c r="L86" i="39"/>
  <c r="L124" i="39" s="1"/>
  <c r="L48" i="39"/>
  <c r="L60" i="39" s="1"/>
  <c r="L68" i="39"/>
  <c r="L70" i="39" s="1"/>
  <c r="L122" i="39" s="1"/>
  <c r="L85" i="37"/>
  <c r="L117" i="37" s="1"/>
  <c r="L76" i="37"/>
  <c r="L78" i="37" s="1"/>
  <c r="L123" i="37" s="1"/>
  <c r="L49" i="37"/>
  <c r="D52" i="33"/>
  <c r="D92" i="33" s="1"/>
  <c r="L92" i="40" l="1"/>
  <c r="L94" i="40" s="1"/>
  <c r="L125" i="40" s="1"/>
  <c r="L50" i="40"/>
  <c r="L76" i="40" s="1"/>
  <c r="L78" i="40" s="1"/>
  <c r="L123" i="40" s="1"/>
  <c r="L84" i="40"/>
  <c r="L61" i="39"/>
  <c r="L114" i="39" s="1"/>
  <c r="L86" i="37"/>
  <c r="L124" i="37" s="1"/>
  <c r="L68" i="37"/>
  <c r="L70" i="37" s="1"/>
  <c r="L122" i="37" s="1"/>
  <c r="L48" i="37"/>
  <c r="L60" i="37" s="1"/>
  <c r="D51" i="33"/>
  <c r="D94" i="33"/>
  <c r="D125" i="33" s="1"/>
  <c r="E34" i="33" s="1"/>
  <c r="L49" i="40" l="1"/>
  <c r="L48" i="40" s="1"/>
  <c r="L60" i="40" s="1"/>
  <c r="L85" i="40"/>
  <c r="L117" i="40" s="1"/>
  <c r="L62" i="39"/>
  <c r="L121" i="39" s="1"/>
  <c r="L127" i="39" s="1"/>
  <c r="L129" i="39" s="1"/>
  <c r="L131" i="39" s="1"/>
  <c r="L61" i="37"/>
  <c r="L114" i="37" s="1"/>
  <c r="D50" i="33"/>
  <c r="D84" i="33"/>
  <c r="L86" i="40" l="1"/>
  <c r="L124" i="40" s="1"/>
  <c r="L68" i="40"/>
  <c r="L70" i="40" s="1"/>
  <c r="L122" i="40" s="1"/>
  <c r="L61" i="40"/>
  <c r="L114" i="40" s="1"/>
  <c r="L130" i="39"/>
  <c r="L62" i="37"/>
  <c r="L121" i="37" s="1"/>
  <c r="L127" i="37" s="1"/>
  <c r="D85" i="33"/>
  <c r="D117" i="33" s="1"/>
  <c r="D49" i="33"/>
  <c r="D76" i="33"/>
  <c r="L62" i="40" l="1"/>
  <c r="L121" i="40" s="1"/>
  <c r="L127" i="40" s="1"/>
  <c r="L129" i="40" s="1"/>
  <c r="L131" i="40" s="1"/>
  <c r="L129" i="37"/>
  <c r="L131" i="37" s="1"/>
  <c r="L130" i="37"/>
  <c r="D86" i="33"/>
  <c r="D124" i="33" s="1"/>
  <c r="E33" i="33" s="1"/>
  <c r="D116" i="33"/>
  <c r="D48" i="33"/>
  <c r="D68" i="33"/>
  <c r="D70" i="33" s="1"/>
  <c r="D122" i="33" s="1"/>
  <c r="L130" i="40" l="1"/>
  <c r="D78" i="33"/>
  <c r="D123" i="33" s="1"/>
  <c r="E32" i="33" s="1"/>
  <c r="E31" i="33"/>
  <c r="D60" i="33"/>
  <c r="E46" i="33" l="1"/>
  <c r="D62" i="33"/>
  <c r="D121" i="33" s="1"/>
  <c r="E30" i="33" s="1"/>
  <c r="D127" i="33" l="1"/>
  <c r="E29" i="33" l="1"/>
  <c r="D129" i="33"/>
  <c r="D130" i="33"/>
  <c r="E38" i="33" s="1"/>
  <c r="D131" i="33" l="1"/>
  <c r="E37" i="33"/>
  <c r="E39" i="33" s="1"/>
  <c r="E40" i="33" s="1"/>
  <c r="E43" i="33" l="1"/>
  <c r="E41" i="33"/>
  <c r="E44" i="33"/>
  <c r="E52" i="33" s="1"/>
  <c r="E92" i="33" s="1"/>
  <c r="E94" i="33" s="1"/>
  <c r="E125" i="33" s="1"/>
  <c r="F34" i="33" s="1"/>
  <c r="E42" i="33"/>
  <c r="E51" i="33" l="1"/>
  <c r="E50" i="33" s="1"/>
  <c r="E84" i="33" l="1"/>
  <c r="E49" i="33"/>
  <c r="E76" i="33"/>
  <c r="E85" i="33" l="1"/>
  <c r="E117" i="33" s="1"/>
  <c r="E116" i="33"/>
  <c r="E48" i="33"/>
  <c r="E68" i="33"/>
  <c r="E70" i="33" s="1"/>
  <c r="E122" i="33" s="1"/>
  <c r="E86" i="33" l="1"/>
  <c r="E124" i="33" s="1"/>
  <c r="F33" i="33" s="1"/>
  <c r="E78" i="33"/>
  <c r="E123" i="33" s="1"/>
  <c r="F32" i="33" s="1"/>
  <c r="F31" i="33"/>
  <c r="E60" i="33"/>
  <c r="E62" i="33" s="1"/>
  <c r="E121" i="33" s="1"/>
  <c r="F30" i="33" s="1"/>
  <c r="F46" i="33" l="1"/>
  <c r="E127" i="33"/>
  <c r="F29" i="33" l="1"/>
  <c r="E129" i="33"/>
  <c r="E130" i="33"/>
  <c r="F38" i="33" s="1"/>
  <c r="E131" i="33" l="1"/>
  <c r="F37" i="33"/>
  <c r="F39" i="33" s="1"/>
  <c r="F40" i="33" s="1"/>
  <c r="F41" i="33" l="1"/>
  <c r="F44" i="33"/>
  <c r="F52" i="33" s="1"/>
  <c r="F92" i="33" s="1"/>
  <c r="F42" i="33"/>
  <c r="F43" i="33"/>
  <c r="F51" i="33" l="1"/>
  <c r="F94" i="33"/>
  <c r="F125" i="33" s="1"/>
  <c r="G34" i="33" s="1"/>
  <c r="F50" i="33" l="1"/>
  <c r="F76" i="33" s="1"/>
  <c r="F84" i="33"/>
  <c r="F85" i="33" l="1"/>
  <c r="F117" i="33" s="1"/>
  <c r="F49" i="33"/>
  <c r="F86" i="33" l="1"/>
  <c r="F124" i="33" s="1"/>
  <c r="G33" i="33" s="1"/>
  <c r="F116" i="33"/>
  <c r="F48" i="33"/>
  <c r="F68" i="33"/>
  <c r="F70" i="33" s="1"/>
  <c r="F122" i="33" s="1"/>
  <c r="F78" i="33" l="1"/>
  <c r="F123" i="33" s="1"/>
  <c r="G32" i="33" s="1"/>
  <c r="G31" i="33"/>
  <c r="F60" i="33"/>
  <c r="F62" i="33" s="1"/>
  <c r="F121" i="33" s="1"/>
  <c r="G30" i="33" s="1"/>
  <c r="G46" i="33" l="1"/>
  <c r="F127" i="33"/>
  <c r="G29" i="33" l="1"/>
  <c r="F129" i="33"/>
  <c r="F130" i="33"/>
  <c r="G38" i="33" s="1"/>
  <c r="F131" i="33" l="1"/>
  <c r="G37" i="33"/>
  <c r="G39" i="33" s="1"/>
  <c r="G42" i="33" s="1"/>
  <c r="G40" i="33" l="1"/>
  <c r="G44" i="33"/>
  <c r="G52" i="33" s="1"/>
  <c r="G92" i="33" s="1"/>
  <c r="G43" i="33"/>
  <c r="G41" i="33"/>
  <c r="G51" i="33" l="1"/>
  <c r="G94" i="33"/>
  <c r="G125" i="33" s="1"/>
  <c r="G50" i="33" l="1"/>
  <c r="G84" i="33"/>
  <c r="G85" i="33" l="1"/>
  <c r="G117" i="33" s="1"/>
  <c r="G49" i="33"/>
  <c r="G76" i="33"/>
  <c r="G86" i="33" l="1"/>
  <c r="G124" i="33" s="1"/>
  <c r="G116" i="33"/>
  <c r="G48" i="33"/>
  <c r="G68" i="33"/>
  <c r="G70" i="33" s="1"/>
  <c r="G122" i="33" s="1"/>
  <c r="G78" i="33" l="1"/>
  <c r="G123" i="33" s="1"/>
  <c r="G60" i="33"/>
  <c r="G62" i="33" s="1"/>
  <c r="G121" i="33" s="1"/>
  <c r="G127" i="33" l="1"/>
  <c r="G129" i="33" l="1"/>
  <c r="G131" i="33" s="1"/>
  <c r="G130" i="33"/>
</calcChain>
</file>

<file path=xl/sharedStrings.xml><?xml version="1.0" encoding="utf-8"?>
<sst xmlns="http://schemas.openxmlformats.org/spreadsheetml/2006/main" count="891" uniqueCount="271">
  <si>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</si>
  <si>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</si>
  <si>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</si>
  <si>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</si>
  <si>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</si>
  <si>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</si>
  <si>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</si>
  <si>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</si>
  <si>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</si>
  <si>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</si>
  <si>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</si>
  <si>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</si>
  <si>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</si>
  <si>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</si>
  <si>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</si>
  <si>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</si>
  <si>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</si>
  <si>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</si>
  <si>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</si>
  <si>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</si>
  <si>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</si>
  <si>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</si>
  <si>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</si>
  <si>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</si>
  <si>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</si>
  <si>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</si>
  <si>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</si>
  <si>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</si>
  <si>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</si>
  <si>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</si>
  <si>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</si>
  <si>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</si>
  <si>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</si>
  <si>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</si>
  <si>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</si>
  <si>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</si>
  <si>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</si>
  <si>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</si>
  <si>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Overview</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</si>
  <si>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</si>
  <si>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</si>
  <si>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</si>
  <si>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</si>
  <si>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</si>
  <si>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</si>
  <si>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</si>
  <si>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</si>
  <si>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</si>
  <si>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</si>
  <si>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</si>
  <si>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</si>
  <si>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</si>
  <si>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</si>
  <si>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</si>
  <si>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</si>
  <si>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</si>
  <si>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</si>
  <si>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</si>
  <si>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</si>
  <si>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</si>
  <si>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</si>
  <si>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</si>
  <si>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</si>
  <si>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</si>
  <si>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</si>
  <si>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</si>
  <si>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</si>
  <si>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</si>
  <si>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</si>
  <si>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</si>
  <si>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</si>
  <si>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</si>
  <si>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</si>
  <si>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</si>
  <si>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</si>
  <si>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</si>
  <si>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</si>
  <si>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</si>
  <si>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</si>
  <si>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</si>
  <si>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</si>
  <si>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</si>
  <si>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</si>
  <si>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</si>
  <si>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</si>
  <si>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</si>
  <si>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</si>
  <si>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</si>
  <si>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</si>
  <si>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</si>
  <si>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</si>
  <si>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</si>
  <si>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</si>
  <si>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Copy the Master worksheet to be a new worksheet. Rename the worksheet.</t>
  </si>
  <si>
    <t>Description of Worksheets</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</si>
  <si>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</si>
  <si>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</si>
  <si>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</si>
  <si>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</si>
  <si>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</si>
  <si>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</si>
  <si>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</si>
  <si>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</si>
  <si>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</si>
  <si>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</si>
  <si>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</si>
  <si>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</si>
  <si>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</si>
  <si>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</si>
  <si>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</si>
  <si>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</si>
  <si>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</si>
  <si>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</si>
  <si>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</si>
  <si>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</si>
  <si>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</si>
  <si>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</si>
  <si>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</si>
  <si>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</si>
  <si>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</si>
  <si>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</si>
  <si>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</si>
  <si>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</si>
  <si>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</si>
  <si>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</si>
  <si>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</si>
  <si>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</si>
  <si>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</si>
  <si>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</si>
  <si>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</si>
  <si>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</si>
  <si>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</si>
  <si>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</si>
  <si>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</si>
  <si>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</si>
  <si>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</si>
  <si>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</si>
  <si>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</si>
  <si>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</si>
  <si>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</si>
  <si>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</si>
  <si>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</si>
  <si>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11.0-Trade</t>
  </si>
  <si>
    <t>11.0-LawOfRiver</t>
  </si>
  <si>
    <t xml:space="preserve">   Starting storage (million acre feet)</t>
  </si>
  <si>
    <t>11.0-Plots</t>
  </si>
  <si>
    <t>Powell Release - to store physically</t>
  </si>
  <si>
    <t>Move this Excel workbook into Google Docs so that all players can access syncronously.</t>
  </si>
  <si>
    <t>A completed role play with Lee Ferry natural flow of 11.0 maf every year for 5 years and all political decisions follow the existing Law of the River operations (DCP, Equalization, Curtailment)</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</si>
  <si>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</si>
  <si>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</si>
  <si>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</si>
  <si>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MX Cutback Minute 319</t>
  </si>
  <si>
    <t>Total Cutback (af/year)</t>
  </si>
  <si>
    <t xml:space="preserve">    Net transactions (should be zero)</t>
  </si>
  <si>
    <t>U.S. Treaty Comittment to Mexico</t>
  </si>
  <si>
    <t>Remain</t>
  </si>
  <si>
    <t>Mohave &amp; Havasu Evap &amp; ET</t>
  </si>
  <si>
    <t>Colorado River Delta</t>
  </si>
  <si>
    <t>Sales (+) and Purchases (-) [in maf]</t>
  </si>
  <si>
    <t>Total ($ Mill)</t>
  </si>
  <si>
    <t>Define the Roles (water users), the person playing, and each user's strategy in Cells A5 to C11 (Up to 6 players):</t>
  </si>
  <si>
    <t>Law of River operations</t>
  </si>
  <si>
    <t>Regular 0.6 maf per year operation</t>
  </si>
  <si>
    <t>Law of River operations + sell a small amount to Delta</t>
  </si>
  <si>
    <t>David R.</t>
  </si>
  <si>
    <t>11.0 maf every year natural flow to Lake Powell</t>
  </si>
  <si>
    <t>Blank emplate. Duplicate this worksheet before using. See directions above for use.</t>
  </si>
  <si>
    <t>A completed role play with Lee Ferry natural flow of 11.0 maf every year for 5 years allowing trades between users. Upper Basin sales to Lower Basin in Years 1 through 3 earn the Upper Basin $0.46 Billion and get the Upper Basin on a path of conservation and softer landing for this severe event.</t>
  </si>
  <si>
    <t>Millennium-Plots</t>
  </si>
  <si>
    <t>Shared, Reserve</t>
  </si>
  <si>
    <t>Versions</t>
  </si>
  <si>
    <t>Date Implimented</t>
  </si>
  <si>
    <t>Changes</t>
  </si>
  <si>
    <t>Suggested By</t>
  </si>
  <si>
    <t>Implemented By</t>
  </si>
  <si>
    <t>Date Suggested</t>
  </si>
  <si>
    <t>Jennifer Pitt</t>
  </si>
  <si>
    <t>Add version control worksheet. List versions</t>
  </si>
  <si>
    <t>David Tarboton, Homa Salahebadi</t>
  </si>
  <si>
    <t>Chris Harris</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</si>
  <si>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</si>
  <si>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</si>
  <si>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</si>
  <si>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</si>
  <si>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</si>
  <si>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</si>
  <si>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</si>
  <si>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</si>
  <si>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</si>
  <si>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</si>
  <si>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</si>
  <si>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</si>
  <si>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</si>
  <si>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</si>
  <si>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</si>
  <si>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</si>
  <si>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</si>
  <si>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</si>
  <si>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Lower Basin Drought Contingency Plan Helper</t>
  </si>
  <si>
    <t>11.6 maf initial, inflow is evap</t>
  </si>
  <si>
    <t>Political decision - Player chooses</t>
  </si>
  <si>
    <t>Combined Natural Inflow</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</si>
  <si>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</si>
  <si>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</si>
  <si>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</si>
  <si>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</si>
  <si>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</si>
  <si>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</si>
  <si>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</si>
  <si>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</si>
  <si>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</si>
  <si>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Law of River operations + purchase some from Upper Basin and Mexico to delay shortage onset</t>
  </si>
  <si>
    <t>Law of River operations + sell some to Lower Basin to build conservation ethic. Buy some from Mexico in depth of drought</t>
  </si>
  <si>
    <t>Law of River operations + sell some water to Lower and Upper basin during drought</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</si>
  <si>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</si>
  <si>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</si>
  <si>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</si>
  <si>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</si>
  <si>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</si>
  <si>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</si>
  <si>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</si>
  <si>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</si>
  <si>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This workbook contains a pilot flex water accounting tool to encourage more water conservation in a combined Lake Powell-Lake Mead system. The tool gives each party more flexibility than current Colorado River operations to make individual water consumption, conservation, and reservoir storage decisions within the party's available water independent of other parties. Each party's available water is their account balance plus share of inflow, minus share of reservoir evaporation, plus water purchases, and minus water sales.</t>
  </si>
  <si>
    <t>Within the flex accounting, a "shared, reserve" account is added. Parties may only withdraw water from the shared, reserve account when all parties agree. This governance assumes that the parties will not all agree on a withdraw. Thus, the water will stay parked in the account as a buffer pool, check, and balance so the parties do not collectively through their individual consumption decisions draw down the combined reservoir storage to zero (dead pools).</t>
  </si>
  <si>
    <t>When the workbook is moved into a Google sheet, role players representing the Upper Basin, Lower Basin, Mexico, and other parties can synchronously access and collaboratively use the tool. Players make their year-to-year water consumption and conservation decsions while they track other players' choices and monitor combined and individual reservoir storage.</t>
  </si>
  <si>
    <t xml:space="preserve">Players can explore water conservation and consumptive use strategies for different scenarios of natural flow and different political decisions such as include more parties or stakeholders, split existing reservoir storage among users, split future inflows among users, and split the combined reservoir storage among reservoirs. </t>
  </si>
  <si>
    <r>
      <rPr>
        <b/>
        <sz val="11"/>
        <color theme="1"/>
        <rFont val="Calibri"/>
        <family val="2"/>
        <scheme val="minor"/>
      </rPr>
      <t>Can flex accounting encourage more water conservation in the Colorado River basin?</t>
    </r>
    <r>
      <rPr>
        <sz val="11"/>
        <color theme="1"/>
        <rFont val="Calibri"/>
        <family val="2"/>
        <scheme val="minor"/>
      </rPr>
      <t xml:space="preserve"> Follow the directions below to download and try out by yourself or with others.</t>
    </r>
  </si>
  <si>
    <t>Directions to Use:</t>
  </si>
  <si>
    <t>Give each player access to the Google Sheet.</t>
  </si>
  <si>
    <t>On the new worksheet, name each role (party) and assign to a player (Rows 4-11). There can be up to 6 player. Leave a cell in Column A empty to exclude the party.</t>
  </si>
  <si>
    <t>Choose a Hydrologic Scenario in Row 18. A facilitator may or may not reveal the hydrologic scenario to the players. See HydrologicScenarios worksheet for some potential hydrologies.</t>
  </si>
  <si>
    <t>Enter reservoir evaporation rates, storating storages, and protect elevations for Lake Powell and Lake Mead in Rows 21-23.</t>
  </si>
  <si>
    <t>Split the starting storage among users (Rows 30 to 35) and split future combined natural flow among users (Rows 48 to 53). Use Cells B48 to 52 for fomulas. Splits of future combined natural flow must consider variable flow.</t>
  </si>
  <si>
    <t xml:space="preserve">Player Dashboards (Rows 55 to 102). Each player may sell or purchase water from other users with compensation. The net of all sales and purchases must equal 0 (e.g., Row 59). Each player enters an account withdraw within their available water independent of other players (e.g., Rows 61, 69, 77, ...). </t>
  </si>
  <si>
    <t>In Year 1, the Facilitator enters the natural inflow to Lake Powell in Cell C27 and Grand Canyon tributary inflow in Cell C28.</t>
  </si>
  <si>
    <t>Observe all sales and purchases, account withdrawals, end-of-year balances, and combined storage  in Rows 105 to 127).</t>
  </si>
  <si>
    <t>Players decide the percentage of combined storage to leave in Lake Powell (Row 128).</t>
  </si>
  <si>
    <t>The tool calculates the physical storage in Lake Powell and Lake Mead and Powll release to achieve the storages (Rows 129 to 131).</t>
  </si>
  <si>
    <t>Continue to Year 2 in Column D. Facilitator enters next natural inflow to Lake Powell in Cell D27 and Grand Canyon tributary flow in Cell D28.</t>
  </si>
  <si>
    <t>Repeat Steps #7-#14 for as many years  (columns D, E, F, …) as desired. Stop when you no longer gain new insights about the system.</t>
  </si>
  <si>
    <t>Role play again (steps #3-15) for different hydrologic scenarios or different political decisions regarding parties to include, split of existing storage, split of natural flow, or split of physical storage among reservoirs.</t>
  </si>
  <si>
    <t>Pilot flex accounting to encourage more water conservation in a combined Lake Powell-Lake Mead system</t>
  </si>
  <si>
    <t>3.3.5</t>
  </si>
  <si>
    <t>Share feedback on the pilot flex accounting and role play -- things you like, things to improve -- with David Rosenberg at david.rosenberg@usu.edu.</t>
  </si>
  <si>
    <t>Combined Storage</t>
  </si>
  <si>
    <t>David E. Rosenberg (2021). "Pilot flex accounting to encourage more water conservation in a combined Lake Powell-Lake Mead system." Utah State University, Logan, UT. https://github.com/dzeke/ColoradoRiverFutures/tree/master/PilotFlexAccounting.</t>
  </si>
  <si>
    <t>Author Contact Information</t>
  </si>
  <si>
    <t>David E. Rosenberg</t>
  </si>
  <si>
    <t>Utah State University</t>
  </si>
  <si>
    <t>david.rosenberg@usu.edu, 435-797-8689</t>
  </si>
  <si>
    <t>Most Recent Version</t>
  </si>
  <si>
    <t>Please visit https://github.com/dzeke/ColoradoRiverFutures/tree/master/PilotFlexAccounting to download the most recent version of this workbook.</t>
  </si>
  <si>
    <t>http://rosenberg.usu.edu</t>
  </si>
  <si>
    <t>Millennium drought Lake Powell natural inflow of 12.4 maf each year for Years 1-6. Then recover to 14.4 maf each year for Years 7-10.</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</si>
  <si>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</si>
  <si>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</si>
  <si>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</si>
  <si>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</si>
  <si>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</si>
  <si>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</si>
  <si>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11.0-Trade and 11.0-LawOfRiver operations. Also a plot of combined storage.</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</si>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</sst>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0."/>
    <numFmt numFmtId="169" formatCode="_(&quot;$&quot;* #,##0_);_(&quot;$&quot;* \(#,##0\);_(&quot;$&quot;* &quot;-&quot;??_);_(@_)"/>
    <numFmt numFmtId="170" formatCode="0.000"/>
    <numFmt numFmtId="171" formatCode="0.0000"/>
  </numFmts>
  <fonts count="8"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59999389629810485"/>
        <bgColor indexed="64"/>
      </patternFill>
    </fill>
    <fill>
      <patternFill patternType="solid">
        <fgColor theme="8" tint="0.59999389629810485"/>
        <bgColor indexed="64"/>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8">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cellStyleXfs>
  <cellXfs count="118">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Font="1" applyAlignment="1">
      <alignment horizontal="left" wrapText="1"/>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8" fontId="0" fillId="6" borderId="5" xfId="0" applyNumberFormat="1" applyFill="1" applyBorder="1" applyAlignment="1">
      <alignment vertical="top"/>
    </xf>
    <xf numFmtId="164" fontId="0" fillId="0" borderId="0" xfId="0" applyNumberFormat="1" applyAlignment="1">
      <alignment horizontal="center"/>
    </xf>
    <xf numFmtId="2" fontId="0" fillId="0" borderId="0" xfId="0" applyNumberFormat="1" applyAlignment="1">
      <alignment horizontal="center"/>
    </xf>
    <xf numFmtId="169" fontId="5" fillId="5" borderId="1" xfId="4" applyNumberFormat="1" applyFont="1" applyFill="1" applyBorder="1" applyAlignment="1">
      <alignment horizontal="center"/>
    </xf>
    <xf numFmtId="0" fontId="0" fillId="0" borderId="0" xfId="0" applyFont="1"/>
    <xf numFmtId="169" fontId="4" fillId="3" borderId="1" xfId="4" applyNumberFormat="1" applyFont="1" applyFill="1" applyBorder="1"/>
    <xf numFmtId="169"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3" fillId="2" borderId="10" xfId="2" applyNumberFormat="1" applyBorder="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0" fontId="0" fillId="0" borderId="9" xfId="0" applyFill="1" applyBorder="1" applyAlignment="1">
      <alignment horizontal="left"/>
    </xf>
    <xf numFmtId="166" fontId="0" fillId="0" borderId="9" xfId="1" applyNumberFormat="1" applyFont="1" applyBorder="1"/>
    <xf numFmtId="0" fontId="4" fillId="3" borderId="1" xfId="3" applyAlignment="1">
      <alignment horizontal="center"/>
    </xf>
    <xf numFmtId="164" fontId="5" fillId="5" borderId="0" xfId="6" applyNumberFormat="1" applyAlignment="1">
      <alignment horizontal="center"/>
    </xf>
    <xf numFmtId="0" fontId="5" fillId="5" borderId="0" xfId="6" applyAlignment="1">
      <alignment horizontal="center"/>
    </xf>
    <xf numFmtId="0" fontId="1" fillId="7" borderId="9" xfId="0" applyFont="1" applyFill="1" applyBorder="1"/>
    <xf numFmtId="0" fontId="1" fillId="7" borderId="9" xfId="0" applyFont="1" applyFill="1" applyBorder="1" applyAlignment="1">
      <alignment horizontal="center"/>
    </xf>
    <xf numFmtId="2" fontId="4" fillId="3" borderId="1" xfId="3" applyNumberFormat="1" applyAlignment="1">
      <alignment horizontal="center"/>
    </xf>
    <xf numFmtId="170" fontId="4" fillId="3" borderId="1" xfId="3" applyNumberFormat="1" applyAlignment="1">
      <alignment horizontal="center"/>
    </xf>
    <xf numFmtId="0" fontId="1" fillId="0" borderId="9" xfId="0" applyFont="1" applyBorder="1" applyAlignment="1">
      <alignment horizontal="center"/>
    </xf>
    <xf numFmtId="171" fontId="0" fillId="0" borderId="0" xfId="0" applyNumberFormat="1" applyAlignment="1">
      <alignment horizontal="center"/>
    </xf>
    <xf numFmtId="170" fontId="5" fillId="5" borderId="0" xfId="5" applyNumberFormat="1" applyFont="1" applyFill="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2" fontId="5" fillId="5" borderId="0" xfId="6" applyNumberFormat="1" applyAlignment="1">
      <alignment horizontal="center"/>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167" fontId="4" fillId="3" borderId="1" xfId="4" applyNumberFormat="1" applyFont="1" applyFill="1" applyBorder="1" applyAlignment="1">
      <alignment horizontal="center"/>
    </xf>
    <xf numFmtId="167" fontId="5" fillId="5" borderId="1" xfId="6" applyNumberFormat="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0" fontId="1" fillId="6" borderId="0" xfId="0" applyFont="1" applyFill="1"/>
    <xf numFmtId="0" fontId="0" fillId="6" borderId="0" xfId="0" applyFill="1"/>
    <xf numFmtId="0" fontId="1" fillId="6" borderId="0" xfId="0" applyFont="1" applyFill="1" applyAlignment="1">
      <alignment horizontal="center"/>
    </xf>
    <xf numFmtId="0" fontId="1" fillId="8" borderId="0" xfId="0" applyFont="1" applyFill="1"/>
    <xf numFmtId="0" fontId="0" fillId="8" borderId="0" xfId="0" applyFill="1"/>
    <xf numFmtId="164" fontId="0" fillId="0" borderId="0" xfId="1" applyNumberFormat="1" applyFont="1" applyAlignment="1">
      <alignment horizontal="center"/>
    </xf>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9" fontId="5" fillId="5" borderId="1" xfId="6" applyNumberFormat="1" applyBorder="1" applyAlignment="1">
      <alignment horizontal="center"/>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168" fontId="0" fillId="6" borderId="14" xfId="0" applyNumberFormat="1" applyFill="1" applyBorder="1" applyAlignment="1">
      <alignment vertical="top"/>
    </xf>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0" fontId="7" fillId="0" borderId="0" xfId="7"/>
    <xf numFmtId="0" fontId="0" fillId="0" borderId="0" xfId="0" applyFont="1" applyAlignment="1">
      <alignment horizontal="left" vertical="top" wrapText="1"/>
    </xf>
    <xf numFmtId="0" fontId="0" fillId="0" borderId="0" xfId="0" applyAlignment="1">
      <alignment horizontal="left"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1" fillId="6" borderId="4" xfId="0" applyFont="1" applyFill="1" applyBorder="1" applyAlignment="1">
      <alignment horizontal="left"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0" fillId="6" borderId="0" xfId="0" applyFont="1" applyFill="1" applyBorder="1" applyAlignment="1">
      <alignment vertical="top" wrapText="1"/>
    </xf>
    <xf numFmtId="0" fontId="0" fillId="6" borderId="6" xfId="0" applyFont="1" applyFill="1" applyBorder="1" applyAlignment="1">
      <alignment vertical="top" wrapText="1"/>
    </xf>
    <xf numFmtId="0" fontId="0" fillId="6" borderId="7" xfId="0" applyFont="1" applyFill="1" applyBorder="1" applyAlignment="1">
      <alignment horizontal="left" vertical="top" wrapText="1"/>
    </xf>
    <xf numFmtId="0" fontId="0" fillId="6" borderId="8" xfId="0" applyFont="1" applyFill="1" applyBorder="1" applyAlignment="1">
      <alignment horizontal="left" vertical="top" wrapText="1"/>
    </xf>
    <xf numFmtId="0" fontId="5" fillId="5" borderId="9" xfId="6" applyBorder="1" applyAlignment="1">
      <alignment horizontal="left"/>
    </xf>
    <xf numFmtId="0" fontId="5" fillId="5" borderId="9" xfId="6" applyBorder="1" applyAlignment="1">
      <alignment horizontal="center"/>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3" fillId="2" borderId="9" xfId="2" applyBorder="1" applyAlignment="1">
      <alignment horizontal="center"/>
    </xf>
    <xf numFmtId="0" fontId="6" fillId="0" borderId="0" xfId="0" applyFont="1" applyAlignment="1">
      <alignment horizontal="center"/>
    </xf>
    <xf numFmtId="0" fontId="5" fillId="5" borderId="9" xfId="6" applyBorder="1" applyAlignment="1"/>
    <xf numFmtId="0" fontId="3" fillId="2" borderId="1" xfId="2" applyAlignment="1">
      <alignment horizontal="center"/>
    </xf>
  </cellXfs>
  <cellStyles count="8">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26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5C5"/>
      <color rgb="FFC20202"/>
      <color rgb="FF9C0006"/>
      <color rgb="FFFFCDCD"/>
      <color rgb="FFFFD3D3"/>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'11.0-Trade'!$C$26:$G$26</c:f>
              <c:strCache>
                <c:ptCount val="5"/>
                <c:pt idx="0">
                  <c:v>Year 1</c:v>
                </c:pt>
                <c:pt idx="1">
                  <c:v>Year 2</c:v>
                </c:pt>
                <c:pt idx="2">
                  <c:v>Year 3</c:v>
                </c:pt>
                <c:pt idx="3">
                  <c:v>Year 4</c:v>
                </c:pt>
                <c:pt idx="4">
                  <c:v>Year 5</c:v>
                </c:pt>
              </c:strCache>
            </c:strRef>
          </c:cat>
          <c:val>
            <c:numRef>
              <c:f>'11.0-Trade'!$C$114:$G$114</c:f>
              <c:numCache>
                <c:formatCode>0.0</c:formatCode>
                <c:ptCount val="5"/>
                <c:pt idx="0">
                  <c:v>3.7</c:v>
                </c:pt>
                <c:pt idx="1">
                  <c:v>3.3</c:v>
                </c:pt>
                <c:pt idx="2">
                  <c:v>3</c:v>
                </c:pt>
                <c:pt idx="3">
                  <c:v>2.8</c:v>
                </c:pt>
                <c:pt idx="4">
                  <c:v>2.7</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'11.0-Trade'!$C$26:$G$26</c:f>
              <c:strCache>
                <c:ptCount val="5"/>
                <c:pt idx="0">
                  <c:v>Year 1</c:v>
                </c:pt>
                <c:pt idx="1">
                  <c:v>Year 2</c:v>
                </c:pt>
                <c:pt idx="2">
                  <c:v>Year 3</c:v>
                </c:pt>
                <c:pt idx="3">
                  <c:v>Year 4</c:v>
                </c:pt>
                <c:pt idx="4">
                  <c:v>Year 5</c:v>
                </c:pt>
              </c:strCache>
            </c:strRef>
          </c:cat>
          <c:val>
            <c:numRef>
              <c:f>'11.0-LawOfRiver'!$C$114:$G$114</c:f>
              <c:numCache>
                <c:formatCode>0.0</c:formatCode>
                <c:ptCount val="5"/>
                <c:pt idx="0">
                  <c:v>4.2</c:v>
                </c:pt>
                <c:pt idx="1">
                  <c:v>4.2</c:v>
                </c:pt>
                <c:pt idx="2">
                  <c:v>3.632844677545803</c:v>
                </c:pt>
                <c:pt idx="3">
                  <c:v>2.4499788135977756</c:v>
                </c:pt>
                <c:pt idx="4">
                  <c:v>2.4465366514127904</c:v>
                </c:pt>
              </c:numCache>
            </c:numRef>
          </c:val>
          <c:smooth val="0"/>
          <c:extLst>
            <c:ext xmlns:c16="http://schemas.microsoft.com/office/drawing/2014/chart" uri="{C3380CC4-5D6E-409C-BE32-E72D297353CC}">
              <c16:uniqueId val="{00000000-CC4C-4AEA-B975-7C4A7FB55A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1605249628050469"/>
          <c:h val="0.238073934520502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'MillenniumRecover-LawOfRiver'!$C$29:$L$29</c:f>
              <c:numCache>
                <c:formatCode>0.0</c:formatCode>
                <c:ptCount val="10"/>
                <c:pt idx="0">
                  <c:v>21.1</c:v>
                </c:pt>
                <c:pt idx="1">
                  <c:v>20.152768986666693</c:v>
                </c:pt>
                <c:pt idx="2">
                  <c:v>19.234339173332788</c:v>
                </c:pt>
                <c:pt idx="3">
                  <c:v>18.430346086000029</c:v>
                </c:pt>
                <c:pt idx="4">
                  <c:v>17.65041019366727</c:v>
                </c:pt>
                <c:pt idx="5">
                  <c:v>16.895203496333366</c:v>
                </c:pt>
                <c:pt idx="6">
                  <c:v>16.163344474501208</c:v>
                </c:pt>
                <c:pt idx="7">
                  <c:v>17.455307171068448</c:v>
                </c:pt>
                <c:pt idx="8">
                  <c:v>18.706133512735089</c:v>
                </c:pt>
                <c:pt idx="9">
                  <c:v>19.917611542401758</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'MillenniumRecover-Trade'!$C$29:$L$29</c:f>
              <c:numCache>
                <c:formatCode>0.0</c:formatCode>
                <c:ptCount val="10"/>
                <c:pt idx="0">
                  <c:v>21.1</c:v>
                </c:pt>
                <c:pt idx="1">
                  <c:v>20.152768986666693</c:v>
                </c:pt>
                <c:pt idx="2">
                  <c:v>19.234339173332788</c:v>
                </c:pt>
                <c:pt idx="3">
                  <c:v>18.430346086000029</c:v>
                </c:pt>
                <c:pt idx="4">
                  <c:v>17.65041019366727</c:v>
                </c:pt>
                <c:pt idx="5">
                  <c:v>16.895203496333366</c:v>
                </c:pt>
                <c:pt idx="6">
                  <c:v>16.163344474501208</c:v>
                </c:pt>
                <c:pt idx="7">
                  <c:v>17.455307171068448</c:v>
                </c:pt>
                <c:pt idx="8">
                  <c:v>18.706133512735089</c:v>
                </c:pt>
                <c:pt idx="9">
                  <c:v>19.917611542401758</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'11.0-Trade'!$C$26:$G$26</c:f>
              <c:strCache>
                <c:ptCount val="5"/>
                <c:pt idx="0">
                  <c:v>Year 1</c:v>
                </c:pt>
                <c:pt idx="1">
                  <c:v>Year 2</c:v>
                </c:pt>
                <c:pt idx="2">
                  <c:v>Year 3</c:v>
                </c:pt>
                <c:pt idx="3">
                  <c:v>Year 4</c:v>
                </c:pt>
                <c:pt idx="4">
                  <c:v>Year 5</c:v>
                </c:pt>
              </c:strCache>
            </c:strRef>
          </c:cat>
          <c:val>
            <c:numRef>
              <c:f>'11.0-Trade'!$C$30:$G$30</c:f>
              <c:numCache>
                <c:formatCode>0.0</c:formatCode>
                <c:ptCount val="5"/>
                <c:pt idx="0">
                  <c:v>5.0734237499999999</c:v>
                </c:pt>
                <c:pt idx="1">
                  <c:v>3.1178582945981317</c:v>
                </c:pt>
                <c:pt idx="2">
                  <c:v>1.7427998573977552</c:v>
                </c:pt>
                <c:pt idx="3">
                  <c:v>0.7256345247277376</c:v>
                </c:pt>
                <c:pt idx="4">
                  <c:v>0.45385150759843285</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'11.0-Trade'!$C$26:$G$26</c:f>
              <c:strCache>
                <c:ptCount val="5"/>
                <c:pt idx="0">
                  <c:v>Year 1</c:v>
                </c:pt>
                <c:pt idx="1">
                  <c:v>Year 2</c:v>
                </c:pt>
                <c:pt idx="2">
                  <c:v>Year 3</c:v>
                </c:pt>
                <c:pt idx="3">
                  <c:v>Year 4</c:v>
                </c:pt>
                <c:pt idx="4">
                  <c:v>Year 5</c:v>
                </c:pt>
              </c:strCache>
            </c:strRef>
          </c:cat>
          <c:val>
            <c:numRef>
              <c:f>'11.0-LawOfRiver'!$C$30:$G$30</c:f>
              <c:numCache>
                <c:formatCode>0.0</c:formatCode>
                <c:ptCount val="5"/>
                <c:pt idx="0">
                  <c:v>5.0734237499999999</c:v>
                </c:pt>
                <c:pt idx="1">
                  <c:v>3.1178582945981317</c:v>
                </c:pt>
                <c:pt idx="2">
                  <c:v>1.2360940760985697</c:v>
                </c:pt>
                <c:pt idx="3">
                  <c:v>0</c:v>
                </c:pt>
                <c:pt idx="4">
                  <c:v>0</c:v>
                </c:pt>
              </c:numCache>
            </c:numRef>
          </c:val>
          <c:smooth val="0"/>
          <c:extLst>
            <c:ext xmlns:c16="http://schemas.microsoft.com/office/drawing/2014/chart" uri="{C3380CC4-5D6E-409C-BE32-E72D297353CC}">
              <c16:uniqueId val="{00000001-A243-4D6A-9A25-2CBF47155B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'11.0-Trade'!$C$26:$G$26</c:f>
              <c:strCache>
                <c:ptCount val="5"/>
                <c:pt idx="0">
                  <c:v>Year 1</c:v>
                </c:pt>
                <c:pt idx="1">
                  <c:v>Year 2</c:v>
                </c:pt>
                <c:pt idx="2">
                  <c:v>Year 3</c:v>
                </c:pt>
                <c:pt idx="3">
                  <c:v>Year 4</c:v>
                </c:pt>
                <c:pt idx="4">
                  <c:v>Year 5</c:v>
                </c:pt>
              </c:strCache>
            </c:strRef>
          </c:cat>
          <c:val>
            <c:numRef>
              <c:f>'11.0-Trade'!$C$115:$G$115</c:f>
              <c:numCache>
                <c:formatCode>0.0</c:formatCode>
                <c:ptCount val="5"/>
                <c:pt idx="0">
                  <c:v>6.9</c:v>
                </c:pt>
                <c:pt idx="1">
                  <c:v>6.9</c:v>
                </c:pt>
                <c:pt idx="2">
                  <c:v>6.9</c:v>
                </c:pt>
                <c:pt idx="3">
                  <c:v>6.9</c:v>
                </c:pt>
                <c:pt idx="4">
                  <c:v>6.9</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prstDash val="dash"/>
              <a:round/>
            </a:ln>
            <a:effectLst/>
          </c:spPr>
          <c:marker>
            <c:symbol val="triangle"/>
            <c:size val="8"/>
            <c:spPr>
              <a:solidFill>
                <a:schemeClr val="accent2"/>
              </a:solidFill>
              <a:ln w="9525">
                <a:solidFill>
                  <a:schemeClr val="accent2"/>
                </a:solidFill>
                <a:prstDash val="dash"/>
              </a:ln>
              <a:effectLst/>
            </c:spPr>
          </c:marker>
          <c:cat>
            <c:strRef>
              <c:f>'11.0-Trade'!$C$26:$G$26</c:f>
              <c:strCache>
                <c:ptCount val="5"/>
                <c:pt idx="0">
                  <c:v>Year 1</c:v>
                </c:pt>
                <c:pt idx="1">
                  <c:v>Year 2</c:v>
                </c:pt>
                <c:pt idx="2">
                  <c:v>Year 3</c:v>
                </c:pt>
                <c:pt idx="3">
                  <c:v>Year 4</c:v>
                </c:pt>
                <c:pt idx="4">
                  <c:v>Year 5</c:v>
                </c:pt>
              </c:strCache>
            </c:strRef>
          </c:cat>
          <c:val>
            <c:numRef>
              <c:f>'11.0-LawOfRiver'!$C$115:$G$115</c:f>
              <c:numCache>
                <c:formatCode>0.0</c:formatCode>
                <c:ptCount val="5"/>
                <c:pt idx="0">
                  <c:v>6.867</c:v>
                </c:pt>
                <c:pt idx="1">
                  <c:v>6.867</c:v>
                </c:pt>
                <c:pt idx="2">
                  <c:v>6.7830000000000004</c:v>
                </c:pt>
                <c:pt idx="3">
                  <c:v>6.7830000000000004</c:v>
                </c:pt>
                <c:pt idx="4">
                  <c:v>6.7830000000000004</c:v>
                </c:pt>
              </c:numCache>
            </c:numRef>
          </c:val>
          <c:smooth val="0"/>
          <c:extLst>
            <c:ext xmlns:c16="http://schemas.microsoft.com/office/drawing/2014/chart" uri="{C3380CC4-5D6E-409C-BE32-E72D297353CC}">
              <c16:uniqueId val="{00000001-B987-46E0-BA8D-5A8EF0E19845}"/>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'11.0-Trade'!$C$26:$G$26</c:f>
              <c:strCache>
                <c:ptCount val="5"/>
                <c:pt idx="0">
                  <c:v>Year 1</c:v>
                </c:pt>
                <c:pt idx="1">
                  <c:v>Year 2</c:v>
                </c:pt>
                <c:pt idx="2">
                  <c:v>Year 3</c:v>
                </c:pt>
                <c:pt idx="3">
                  <c:v>Year 4</c:v>
                </c:pt>
                <c:pt idx="4">
                  <c:v>Year 5</c:v>
                </c:pt>
              </c:strCache>
            </c:strRef>
          </c:cat>
          <c:val>
            <c:numRef>
              <c:f>'11.0-LawOfRiver'!$C$31:$G$31</c:f>
              <c:numCache>
                <c:formatCode>0.0</c:formatCode>
                <c:ptCount val="5"/>
                <c:pt idx="0">
                  <c:v>4.2614069999999993</c:v>
                </c:pt>
                <c:pt idx="1">
                  <c:v>3.8781684655908366</c:v>
                </c:pt>
                <c:pt idx="2">
                  <c:v>3.49079800648044</c:v>
                </c:pt>
                <c:pt idx="3">
                  <c:v>3.1839578856013135</c:v>
                </c:pt>
                <c:pt idx="4">
                  <c:v>2.8735680193285829</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'11.0-Trade'!$C$26:$G$26</c:f>
              <c:strCache>
                <c:ptCount val="5"/>
                <c:pt idx="0">
                  <c:v>Year 1</c:v>
                </c:pt>
                <c:pt idx="1">
                  <c:v>Year 2</c:v>
                </c:pt>
                <c:pt idx="2">
                  <c:v>Year 3</c:v>
                </c:pt>
                <c:pt idx="3">
                  <c:v>Year 4</c:v>
                </c:pt>
                <c:pt idx="4">
                  <c:v>Year 5</c:v>
                </c:pt>
              </c:strCache>
            </c:strRef>
          </c:cat>
          <c:val>
            <c:numRef>
              <c:f>'11.0-Trade'!$C$31:$G$31</c:f>
              <c:numCache>
                <c:formatCode>0.0</c:formatCode>
                <c:ptCount val="5"/>
                <c:pt idx="0">
                  <c:v>4.2614069999999993</c:v>
                </c:pt>
                <c:pt idx="1">
                  <c:v>4.3451684655908362</c:v>
                </c:pt>
                <c:pt idx="2">
                  <c:v>4.3087142792871891</c:v>
                </c:pt>
                <c:pt idx="3">
                  <c:v>4.2594820063998675</c:v>
                </c:pt>
                <c:pt idx="4">
                  <c:v>3.9020352507175264</c:v>
                </c:pt>
              </c:numCache>
            </c:numRef>
          </c:val>
          <c:smooth val="0"/>
          <c:extLst>
            <c:ext xmlns:c16="http://schemas.microsoft.com/office/drawing/2014/chart" uri="{C3380CC4-5D6E-409C-BE32-E72D297353CC}">
              <c16:uniqueId val="{00000001-D877-4E0B-8DD9-991F585A264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'11.0-Trade'!$C$26:$G$26</c:f>
              <c:strCache>
                <c:ptCount val="5"/>
                <c:pt idx="0">
                  <c:v>Year 1</c:v>
                </c:pt>
                <c:pt idx="1">
                  <c:v>Year 2</c:v>
                </c:pt>
                <c:pt idx="2">
                  <c:v>Year 3</c:v>
                </c:pt>
                <c:pt idx="3">
                  <c:v>Year 4</c:v>
                </c:pt>
                <c:pt idx="4">
                  <c:v>Year 5</c:v>
                </c:pt>
              </c:strCache>
            </c:strRef>
          </c:cat>
          <c:val>
            <c:numRef>
              <c:f>'11.0-Trade'!$C$29:$G$29</c:f>
              <c:numCache>
                <c:formatCode>0.0</c:formatCode>
                <c:ptCount val="5"/>
                <c:pt idx="0">
                  <c:v>21.1</c:v>
                </c:pt>
                <c:pt idx="1">
                  <c:v>19.419925837338837</c:v>
                </c:pt>
                <c:pt idx="2">
                  <c:v>18.148451044337666</c:v>
                </c:pt>
                <c:pt idx="3">
                  <c:v>17.214355043838843</c:v>
                </c:pt>
                <c:pt idx="4">
                  <c:v>16.509935277339437</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'11.0-Trade'!$C$26:$G$26</c:f>
              <c:strCache>
                <c:ptCount val="5"/>
                <c:pt idx="0">
                  <c:v>Year 1</c:v>
                </c:pt>
                <c:pt idx="1">
                  <c:v>Year 2</c:v>
                </c:pt>
                <c:pt idx="2">
                  <c:v>Year 3</c:v>
                </c:pt>
                <c:pt idx="3">
                  <c:v>Year 4</c:v>
                </c:pt>
                <c:pt idx="4">
                  <c:v>Year 5</c:v>
                </c:pt>
              </c:strCache>
            </c:strRef>
          </c:cat>
          <c:val>
            <c:numRef>
              <c:f>'11.0-LawOfRiver'!$C$29:$G$29</c:f>
              <c:numCache>
                <c:formatCode>0.0</c:formatCode>
                <c:ptCount val="5"/>
                <c:pt idx="0">
                  <c:v>21.1</c:v>
                </c:pt>
                <c:pt idx="1">
                  <c:v>18.752768986666695</c:v>
                </c:pt>
                <c:pt idx="2">
                  <c:v>16.475227016332759</c:v>
                </c:pt>
                <c:pt idx="3">
                  <c:v>14.923886960353624</c:v>
                </c:pt>
                <c:pt idx="4">
                  <c:v>14.605210133423089</c:v>
                </c:pt>
              </c:numCache>
            </c:numRef>
          </c:val>
          <c:smooth val="0"/>
          <c:extLst>
            <c:ext xmlns:c16="http://schemas.microsoft.com/office/drawing/2014/chart" uri="{C3380CC4-5D6E-409C-BE32-E72D297353CC}">
              <c16:uniqueId val="{00000001-146F-4E67-AE68-DB79AAE4A897}"/>
            </c:ext>
          </c:extLst>
        </c:ser>
        <c:ser>
          <c:idx val="2"/>
          <c:order val="2"/>
          <c:tx>
            <c:strRef>
              <c:f>'11.0-Trade'!$A$10</c:f>
              <c:strCache>
                <c:ptCount val="1"/>
                <c:pt idx="0">
                  <c:v>Shared, Reserve</c:v>
                </c:pt>
              </c:strCache>
            </c:strRef>
          </c:tx>
          <c:spPr>
            <a:ln w="28575" cap="rnd">
              <a:solidFill>
                <a:schemeClr val="tx1"/>
              </a:solidFill>
              <a:prstDash val="lgDash"/>
              <a:round/>
            </a:ln>
            <a:effectLst/>
          </c:spPr>
          <c:marker>
            <c:symbol val="none"/>
          </c:marker>
          <c:val>
            <c:numRef>
              <c:f>'11.0-Trade'!$C$125:$G$125</c:f>
              <c:numCache>
                <c:formatCode>0.0</c:formatCode>
                <c:ptCount val="5"/>
                <c:pt idx="0">
                  <c:v>11.59116925</c:v>
                </c:pt>
                <c:pt idx="1">
                  <c:v>11.59116925</c:v>
                </c:pt>
                <c:pt idx="2">
                  <c:v>11.59116925</c:v>
                </c:pt>
                <c:pt idx="3">
                  <c:v>11.59116925</c:v>
                </c:pt>
                <c:pt idx="4">
                  <c:v>11.59116925</c:v>
                </c:pt>
              </c:numCache>
            </c:numRef>
          </c:val>
          <c:smooth val="0"/>
          <c:extLst>
            <c:ext xmlns:c16="http://schemas.microsoft.com/office/drawing/2014/chart" uri="{C3380CC4-5D6E-409C-BE32-E72D297353CC}">
              <c16:uniqueId val="{00000002-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285456229735992"/>
          <c:y val="0.61896751918204751"/>
          <c:w val="0.26802084298286244"/>
          <c:h val="0.2169399735992906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4.517858294598132</c:v>
                </c:pt>
                <c:pt idx="2">
                  <c:v>3.9804615248167954</c:v>
                </c:pt>
                <c:pt idx="3">
                  <c:v>3.4619803252666239</c:v>
                </c:pt>
                <c:pt idx="4">
                  <c:v>2.9613442852357075</c:v>
                </c:pt>
                <c:pt idx="5">
                  <c:v>2.4787914995520604</c:v>
                </c:pt>
                <c:pt idx="6">
                  <c:v>2.0135335129838916</c:v>
                </c:pt>
                <c:pt idx="7">
                  <c:v>3.0656970909677339</c:v>
                </c:pt>
                <c:pt idx="8">
                  <c:v>4.0756297190532544</c:v>
                </c:pt>
                <c:pt idx="9">
                  <c:v>5.0465214346245526</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circ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4.517858294598132</c:v>
                </c:pt>
                <c:pt idx="2">
                  <c:v>3.9804615248167954</c:v>
                </c:pt>
                <c:pt idx="3">
                  <c:v>3.4619803252666239</c:v>
                </c:pt>
                <c:pt idx="4">
                  <c:v>2.9613442852357075</c:v>
                </c:pt>
                <c:pt idx="5">
                  <c:v>2.4787914995520604</c:v>
                </c:pt>
                <c:pt idx="6">
                  <c:v>2.0135335129838916</c:v>
                </c:pt>
                <c:pt idx="7">
                  <c:v>3.5656970909677339</c:v>
                </c:pt>
                <c:pt idx="8">
                  <c:v>5.0495104329225766</c:v>
                </c:pt>
                <c:pt idx="9">
                  <c:v>6.4708812644375699</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6.867</c:v>
                </c:pt>
                <c:pt idx="1">
                  <c:v>6.867</c:v>
                </c:pt>
                <c:pt idx="2">
                  <c:v>6.7830000000000004</c:v>
                </c:pt>
                <c:pt idx="3">
                  <c:v>6.7830000000000004</c:v>
                </c:pt>
                <c:pt idx="4">
                  <c:v>6.7830000000000004</c:v>
                </c:pt>
                <c:pt idx="5">
                  <c:v>6.7830000000000004</c:v>
                </c:pt>
                <c:pt idx="6">
                  <c:v>6.7830000000000004</c:v>
                </c:pt>
                <c:pt idx="7">
                  <c:v>6.7830000000000004</c:v>
                </c:pt>
                <c:pt idx="8">
                  <c:v>6.7830000000000004</c:v>
                </c:pt>
                <c:pt idx="9">
                  <c:v>6.7830000000000004</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6.867</c:v>
                </c:pt>
                <c:pt idx="1">
                  <c:v>6.867</c:v>
                </c:pt>
                <c:pt idx="2">
                  <c:v>6.7830000000000004</c:v>
                </c:pt>
                <c:pt idx="3">
                  <c:v>6.7830000000000004</c:v>
                </c:pt>
                <c:pt idx="4">
                  <c:v>6.7830000000000004</c:v>
                </c:pt>
                <c:pt idx="5">
                  <c:v>6.7830000000000004</c:v>
                </c:pt>
                <c:pt idx="6">
                  <c:v>6.7830000000000004</c:v>
                </c:pt>
                <c:pt idx="7">
                  <c:v>6.7830000000000004</c:v>
                </c:pt>
                <c:pt idx="8">
                  <c:v>6.7830000000000004</c:v>
                </c:pt>
                <c:pt idx="9">
                  <c:v>6.5330000000000004</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3.8781684655908366</c:v>
                </c:pt>
                <c:pt idx="2">
                  <c:v>3.5052945956104962</c:v>
                </c:pt>
                <c:pt idx="3">
                  <c:v>3.2276938498027645</c:v>
                </c:pt>
                <c:pt idx="4">
                  <c:v>2.9560401692066991</c:v>
                </c:pt>
                <c:pt idx="5">
                  <c:v>2.6907632131932493</c:v>
                </c:pt>
                <c:pt idx="6">
                  <c:v>2.4312822695811862</c:v>
                </c:pt>
                <c:pt idx="7">
                  <c:v>2.1779421199827054</c:v>
                </c:pt>
                <c:pt idx="8">
                  <c:v>1.9512498002704026</c:v>
                </c:pt>
                <c:pt idx="9">
                  <c:v>1.7471641618920755</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triang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3.8781684655908366</c:v>
                </c:pt>
                <c:pt idx="2">
                  <c:v>3.5052945956104962</c:v>
                </c:pt>
                <c:pt idx="3">
                  <c:v>3.2276938498027645</c:v>
                </c:pt>
                <c:pt idx="4">
                  <c:v>2.9560401692066991</c:v>
                </c:pt>
                <c:pt idx="5">
                  <c:v>2.6907632131932493</c:v>
                </c:pt>
                <c:pt idx="6">
                  <c:v>2.4312822695811862</c:v>
                </c:pt>
                <c:pt idx="7">
                  <c:v>2.6779421199827054</c:v>
                </c:pt>
                <c:pt idx="8">
                  <c:v>2.9251305141397248</c:v>
                </c:pt>
                <c:pt idx="9">
                  <c:v>3.171523991705091</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603250</xdr:colOff>
      <xdr:row>7</xdr:row>
      <xdr:rowOff>19050</xdr:rowOff>
    </xdr:from>
    <xdr:to>
      <xdr:col>32</xdr:col>
      <xdr:colOff>374650</xdr:colOff>
      <xdr:row>25</xdr:row>
      <xdr:rowOff>26988</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L52"/>
  <sheetViews>
    <sheetView topLeftCell="A25" zoomScale="150" zoomScaleNormal="150" workbookViewId="0">
      <selection activeCell="A41" sqref="A41"/>
    </sheetView>
  </sheetViews>
  <sheetFormatPr defaultRowHeight="14.5" x14ac:dyDescent="0.35"/>
  <cols>
    <col min="1" max="1" width="3.54296875" customWidth="1"/>
    <col min="2" max="2" width="35.81640625" customWidth="1"/>
    <col min="3" max="3" width="7.81640625" customWidth="1"/>
    <col min="4" max="4" width="7" style="2" customWidth="1"/>
    <col min="5" max="5" width="7.54296875" customWidth="1"/>
    <col min="6" max="6" width="7.26953125" customWidth="1"/>
    <col min="7" max="7" width="7.6328125" customWidth="1"/>
    <col min="8" max="8" width="7.08984375" customWidth="1"/>
    <col min="9" max="9" width="7.36328125" customWidth="1"/>
    <col min="10" max="10" width="7.7265625" customWidth="1"/>
  </cols>
  <sheetData>
    <row r="1" spans="1:12" x14ac:dyDescent="0.35">
      <c r="A1" s="1" t="s">
        <v>242</v>
      </c>
      <c r="B1" s="1"/>
      <c r="C1" s="2"/>
      <c r="D1"/>
    </row>
    <row r="2" spans="1:12" x14ac:dyDescent="0.35">
      <c r="A2" s="1"/>
      <c r="B2" s="1"/>
      <c r="C2" s="2"/>
      <c r="D2"/>
    </row>
    <row r="3" spans="1:12" x14ac:dyDescent="0.35">
      <c r="A3" s="1" t="s">
        <v>38</v>
      </c>
      <c r="B3" s="1"/>
      <c r="C3" s="2"/>
      <c r="D3"/>
    </row>
    <row r="4" spans="1:12" s="32" customFormat="1" ht="66.5" customHeight="1" x14ac:dyDescent="0.35">
      <c r="A4" s="97" t="s">
        <v>223</v>
      </c>
      <c r="B4" s="97"/>
      <c r="C4" s="97"/>
      <c r="D4" s="97"/>
      <c r="E4" s="97"/>
      <c r="F4" s="97"/>
      <c r="G4" s="97"/>
      <c r="H4" s="97"/>
      <c r="I4" s="97"/>
      <c r="J4" s="97"/>
      <c r="K4" s="97"/>
      <c r="L4" s="97"/>
    </row>
    <row r="5" spans="1:12" s="32" customFormat="1" ht="66.5" customHeight="1" x14ac:dyDescent="0.35">
      <c r="A5" s="97" t="s">
        <v>224</v>
      </c>
      <c r="B5" s="97"/>
      <c r="C5" s="97"/>
      <c r="D5" s="97"/>
      <c r="E5" s="97"/>
      <c r="F5" s="97"/>
      <c r="G5" s="97"/>
      <c r="H5" s="97"/>
      <c r="I5" s="97"/>
      <c r="J5" s="97"/>
      <c r="K5" s="97"/>
      <c r="L5" s="97"/>
    </row>
    <row r="6" spans="1:12" ht="50.5" customHeight="1" x14ac:dyDescent="0.35">
      <c r="A6" s="97" t="s">
        <v>225</v>
      </c>
      <c r="B6" s="97"/>
      <c r="C6" s="97"/>
      <c r="D6" s="97"/>
      <c r="E6" s="97"/>
      <c r="F6" s="97"/>
      <c r="G6" s="97"/>
      <c r="H6" s="97"/>
      <c r="I6" s="97"/>
      <c r="J6" s="97"/>
      <c r="K6" s="97"/>
      <c r="L6" s="97"/>
    </row>
    <row r="7" spans="1:12" ht="50.5" customHeight="1" x14ac:dyDescent="0.35">
      <c r="A7" s="97" t="s">
        <v>226</v>
      </c>
      <c r="B7" s="97"/>
      <c r="C7" s="97"/>
      <c r="D7" s="97"/>
      <c r="E7" s="97"/>
      <c r="F7" s="97"/>
      <c r="G7" s="97"/>
      <c r="H7" s="97"/>
      <c r="I7" s="97"/>
      <c r="J7" s="97"/>
      <c r="K7" s="97"/>
      <c r="L7" s="97"/>
    </row>
    <row r="8" spans="1:12" ht="34" customHeight="1" x14ac:dyDescent="0.35">
      <c r="A8" s="97" t="s">
        <v>227</v>
      </c>
      <c r="B8" s="97"/>
      <c r="C8" s="97"/>
      <c r="D8" s="97"/>
      <c r="E8" s="97"/>
      <c r="F8" s="97"/>
      <c r="G8" s="97"/>
      <c r="H8" s="97"/>
      <c r="I8" s="97"/>
      <c r="J8" s="97"/>
      <c r="K8" s="97"/>
      <c r="L8" s="97"/>
    </row>
    <row r="9" spans="1:12" ht="13.5" customHeight="1" x14ac:dyDescent="0.35">
      <c r="B9" s="15"/>
      <c r="C9" s="15"/>
      <c r="D9" s="15"/>
      <c r="E9" s="15"/>
      <c r="F9" s="15"/>
      <c r="G9" s="15"/>
      <c r="H9" s="15"/>
      <c r="I9" s="15"/>
      <c r="J9" s="15"/>
      <c r="K9" s="15"/>
      <c r="L9" s="15"/>
    </row>
    <row r="10" spans="1:12" ht="16.5" customHeight="1" x14ac:dyDescent="0.35">
      <c r="A10" s="99" t="s">
        <v>228</v>
      </c>
      <c r="B10" s="100"/>
      <c r="C10" s="100"/>
      <c r="D10" s="100"/>
      <c r="E10" s="100"/>
      <c r="F10" s="100"/>
      <c r="G10" s="100"/>
      <c r="H10" s="100"/>
      <c r="I10" s="100"/>
      <c r="J10" s="100"/>
      <c r="K10" s="100"/>
      <c r="L10" s="101"/>
    </row>
    <row r="11" spans="1:12" ht="16.5" customHeight="1" x14ac:dyDescent="0.35">
      <c r="A11" s="28">
        <v>1</v>
      </c>
      <c r="B11" s="102" t="s">
        <v>147</v>
      </c>
      <c r="C11" s="102"/>
      <c r="D11" s="102"/>
      <c r="E11" s="102"/>
      <c r="F11" s="102"/>
      <c r="G11" s="102"/>
      <c r="H11" s="102"/>
      <c r="I11" s="102"/>
      <c r="J11" s="102"/>
      <c r="K11" s="102"/>
      <c r="L11" s="103"/>
    </row>
    <row r="12" spans="1:12" ht="16.5" customHeight="1" x14ac:dyDescent="0.35">
      <c r="A12" s="28">
        <v>2</v>
      </c>
      <c r="B12" s="90" t="s">
        <v>229</v>
      </c>
      <c r="C12" s="90"/>
      <c r="D12" s="90"/>
      <c r="E12" s="90"/>
      <c r="F12" s="90"/>
      <c r="G12" s="90"/>
      <c r="H12" s="90"/>
      <c r="I12" s="90"/>
      <c r="J12" s="90"/>
      <c r="K12" s="90"/>
      <c r="L12" s="91"/>
    </row>
    <row r="13" spans="1:12" ht="16.5" customHeight="1" x14ac:dyDescent="0.35">
      <c r="A13" s="28">
        <v>3</v>
      </c>
      <c r="B13" s="102" t="s">
        <v>93</v>
      </c>
      <c r="C13" s="102"/>
      <c r="D13" s="102"/>
      <c r="E13" s="102"/>
      <c r="F13" s="102"/>
      <c r="G13" s="102"/>
      <c r="H13" s="102"/>
      <c r="I13" s="102"/>
      <c r="J13" s="102"/>
      <c r="K13" s="102"/>
      <c r="L13" s="103"/>
    </row>
    <row r="14" spans="1:12" ht="31" customHeight="1" x14ac:dyDescent="0.35">
      <c r="A14" s="28">
        <v>4</v>
      </c>
      <c r="B14" s="102" t="s">
        <v>230</v>
      </c>
      <c r="C14" s="102"/>
      <c r="D14" s="102"/>
      <c r="E14" s="102"/>
      <c r="F14" s="102"/>
      <c r="G14" s="102"/>
      <c r="H14" s="102"/>
      <c r="I14" s="102"/>
      <c r="J14" s="102"/>
      <c r="K14" s="102"/>
      <c r="L14" s="103"/>
    </row>
    <row r="15" spans="1:12" ht="32.5" customHeight="1" x14ac:dyDescent="0.35">
      <c r="A15" s="28">
        <v>5</v>
      </c>
      <c r="B15" s="102" t="s">
        <v>231</v>
      </c>
      <c r="C15" s="102"/>
      <c r="D15" s="102"/>
      <c r="E15" s="102"/>
      <c r="F15" s="102"/>
      <c r="G15" s="102"/>
      <c r="H15" s="102"/>
      <c r="I15" s="102"/>
      <c r="J15" s="102"/>
      <c r="K15" s="102"/>
      <c r="L15" s="103"/>
    </row>
    <row r="16" spans="1:12" ht="16.5" customHeight="1" x14ac:dyDescent="0.35">
      <c r="A16" s="28">
        <v>6</v>
      </c>
      <c r="B16" s="102" t="s">
        <v>232</v>
      </c>
      <c r="C16" s="102"/>
      <c r="D16" s="102"/>
      <c r="E16" s="102"/>
      <c r="F16" s="102"/>
      <c r="G16" s="102"/>
      <c r="H16" s="102"/>
      <c r="I16" s="102"/>
      <c r="J16" s="102"/>
      <c r="K16" s="102"/>
      <c r="L16" s="103"/>
    </row>
    <row r="17" spans="1:12" ht="16.5" customHeight="1" x14ac:dyDescent="0.35">
      <c r="A17" s="28">
        <v>7</v>
      </c>
      <c r="B17" s="102" t="s">
        <v>235</v>
      </c>
      <c r="C17" s="102"/>
      <c r="D17" s="102"/>
      <c r="E17" s="102"/>
      <c r="F17" s="102"/>
      <c r="G17" s="102"/>
      <c r="H17" s="102"/>
      <c r="I17" s="102"/>
      <c r="J17" s="102"/>
      <c r="K17" s="102"/>
      <c r="L17" s="103"/>
    </row>
    <row r="18" spans="1:12" ht="32" customHeight="1" x14ac:dyDescent="0.35">
      <c r="A18" s="28">
        <v>8</v>
      </c>
      <c r="B18" s="102" t="s">
        <v>233</v>
      </c>
      <c r="C18" s="102"/>
      <c r="D18" s="102"/>
      <c r="E18" s="102"/>
      <c r="F18" s="102"/>
      <c r="G18" s="102"/>
      <c r="H18" s="102"/>
      <c r="I18" s="102"/>
      <c r="J18" s="102"/>
      <c r="K18" s="102"/>
      <c r="L18" s="103"/>
    </row>
    <row r="19" spans="1:12" ht="45" customHeight="1" x14ac:dyDescent="0.35">
      <c r="A19" s="28">
        <v>10</v>
      </c>
      <c r="B19" s="102" t="s">
        <v>234</v>
      </c>
      <c r="C19" s="102"/>
      <c r="D19" s="102"/>
      <c r="E19" s="102"/>
      <c r="F19" s="102"/>
      <c r="G19" s="102"/>
      <c r="H19" s="102"/>
      <c r="I19" s="102"/>
      <c r="J19" s="102"/>
      <c r="K19" s="102"/>
      <c r="L19" s="103"/>
    </row>
    <row r="20" spans="1:12" ht="16.5" customHeight="1" x14ac:dyDescent="0.35">
      <c r="A20" s="28">
        <v>11</v>
      </c>
      <c r="B20" s="102" t="s">
        <v>236</v>
      </c>
      <c r="C20" s="102"/>
      <c r="D20" s="102"/>
      <c r="E20" s="102"/>
      <c r="F20" s="102"/>
      <c r="G20" s="102"/>
      <c r="H20" s="102"/>
      <c r="I20" s="102"/>
      <c r="J20" s="102"/>
      <c r="K20" s="102"/>
      <c r="L20" s="103"/>
    </row>
    <row r="21" spans="1:12" ht="16.5" customHeight="1" x14ac:dyDescent="0.35">
      <c r="A21" s="28">
        <v>12</v>
      </c>
      <c r="B21" s="102" t="s">
        <v>237</v>
      </c>
      <c r="C21" s="102"/>
      <c r="D21" s="102"/>
      <c r="E21" s="102"/>
      <c r="F21" s="102"/>
      <c r="G21" s="102"/>
      <c r="H21" s="102"/>
      <c r="I21" s="102"/>
      <c r="J21" s="102"/>
      <c r="K21" s="102"/>
      <c r="L21" s="103"/>
    </row>
    <row r="22" spans="1:12" ht="16.5" customHeight="1" x14ac:dyDescent="0.35">
      <c r="A22" s="28">
        <v>13</v>
      </c>
      <c r="B22" s="102" t="s">
        <v>238</v>
      </c>
      <c r="C22" s="102"/>
      <c r="D22" s="102"/>
      <c r="E22" s="102"/>
      <c r="F22" s="102"/>
      <c r="G22" s="102"/>
      <c r="H22" s="102"/>
      <c r="I22" s="102"/>
      <c r="J22" s="102"/>
      <c r="K22" s="102"/>
      <c r="L22" s="103"/>
    </row>
    <row r="23" spans="1:12" ht="32" customHeight="1" x14ac:dyDescent="0.35">
      <c r="A23" s="28">
        <v>14</v>
      </c>
      <c r="B23" s="102" t="s">
        <v>239</v>
      </c>
      <c r="C23" s="102"/>
      <c r="D23" s="102"/>
      <c r="E23" s="102"/>
      <c r="F23" s="102"/>
      <c r="G23" s="102"/>
      <c r="H23" s="102"/>
      <c r="I23" s="102"/>
      <c r="J23" s="102"/>
      <c r="K23" s="102"/>
      <c r="L23" s="103"/>
    </row>
    <row r="24" spans="1:12" ht="16.5" customHeight="1" x14ac:dyDescent="0.35">
      <c r="A24" s="28">
        <v>15</v>
      </c>
      <c r="B24" s="104" t="s">
        <v>240</v>
      </c>
      <c r="C24" s="104"/>
      <c r="D24" s="104"/>
      <c r="E24" s="104"/>
      <c r="F24" s="104"/>
      <c r="G24" s="104"/>
      <c r="H24" s="104"/>
      <c r="I24" s="104"/>
      <c r="J24" s="104"/>
      <c r="K24" s="104"/>
      <c r="L24" s="105"/>
    </row>
    <row r="25" spans="1:12" ht="16.5" customHeight="1" x14ac:dyDescent="0.35">
      <c r="A25" s="28">
        <v>16</v>
      </c>
      <c r="B25" s="102" t="s">
        <v>241</v>
      </c>
      <c r="C25" s="102"/>
      <c r="D25" s="102"/>
      <c r="E25" s="102"/>
      <c r="F25" s="102"/>
      <c r="G25" s="102"/>
      <c r="H25" s="102"/>
      <c r="I25" s="102"/>
      <c r="J25" s="102"/>
      <c r="K25" s="102"/>
      <c r="L25" s="103"/>
    </row>
    <row r="26" spans="1:12" ht="32" customHeight="1" x14ac:dyDescent="0.35">
      <c r="A26" s="92">
        <v>17</v>
      </c>
      <c r="B26" s="106" t="s">
        <v>244</v>
      </c>
      <c r="C26" s="106"/>
      <c r="D26" s="106"/>
      <c r="E26" s="106"/>
      <c r="F26" s="106"/>
      <c r="G26" s="106"/>
      <c r="H26" s="106"/>
      <c r="I26" s="106"/>
      <c r="J26" s="106"/>
      <c r="K26" s="106"/>
      <c r="L26" s="107"/>
    </row>
    <row r="27" spans="1:12" ht="16.5" customHeight="1" x14ac:dyDescent="0.35">
      <c r="B27" s="26"/>
      <c r="C27" s="26"/>
      <c r="D27" s="26"/>
      <c r="E27" s="26"/>
      <c r="F27" s="26"/>
      <c r="G27" s="26"/>
      <c r="H27" s="26"/>
      <c r="I27" s="26"/>
      <c r="J27" s="26"/>
      <c r="K27" s="26"/>
      <c r="L27" s="26"/>
    </row>
    <row r="28" spans="1:12" x14ac:dyDescent="0.35">
      <c r="A28" s="1" t="s">
        <v>94</v>
      </c>
    </row>
    <row r="29" spans="1:12" x14ac:dyDescent="0.35">
      <c r="B29" s="2" t="s">
        <v>95</v>
      </c>
      <c r="C29" t="s">
        <v>167</v>
      </c>
    </row>
    <row r="30" spans="1:12" x14ac:dyDescent="0.35">
      <c r="B30" s="2" t="s">
        <v>171</v>
      </c>
      <c r="C30" t="s">
        <v>222</v>
      </c>
    </row>
    <row r="31" spans="1:12" x14ac:dyDescent="0.35">
      <c r="B31" s="2" t="s">
        <v>142</v>
      </c>
      <c r="C31" t="s">
        <v>168</v>
      </c>
    </row>
    <row r="32" spans="1:12" x14ac:dyDescent="0.35">
      <c r="B32" s="2" t="s">
        <v>143</v>
      </c>
      <c r="C32" t="s">
        <v>148</v>
      </c>
    </row>
    <row r="33" spans="1:3" x14ac:dyDescent="0.35">
      <c r="B33" s="2" t="s">
        <v>145</v>
      </c>
      <c r="C33" t="s">
        <v>261</v>
      </c>
    </row>
    <row r="34" spans="1:3" x14ac:dyDescent="0.35">
      <c r="B34" s="2" t="s">
        <v>258</v>
      </c>
      <c r="C34" t="s">
        <v>260</v>
      </c>
    </row>
    <row r="35" spans="1:3" x14ac:dyDescent="0.35">
      <c r="B35" s="2" t="s">
        <v>259</v>
      </c>
      <c r="C35" t="s">
        <v>149</v>
      </c>
    </row>
    <row r="36" spans="1:3" x14ac:dyDescent="0.35">
      <c r="B36" s="2" t="s">
        <v>169</v>
      </c>
      <c r="C36" t="s">
        <v>262</v>
      </c>
    </row>
    <row r="37" spans="1:3" x14ac:dyDescent="0.35">
      <c r="B37" s="2" t="s">
        <v>263</v>
      </c>
      <c r="C37" t="s">
        <v>264</v>
      </c>
    </row>
    <row r="38" spans="1:3" x14ac:dyDescent="0.35">
      <c r="B38" s="2" t="s">
        <v>96</v>
      </c>
      <c r="C38" t="s">
        <v>97</v>
      </c>
    </row>
    <row r="39" spans="1:3" x14ac:dyDescent="0.35">
      <c r="B39" s="2" t="s">
        <v>98</v>
      </c>
      <c r="C39" t="s">
        <v>99</v>
      </c>
    </row>
    <row r="40" spans="1:3" x14ac:dyDescent="0.35">
      <c r="B40" s="2" t="s">
        <v>150</v>
      </c>
      <c r="C40" t="s">
        <v>151</v>
      </c>
    </row>
    <row r="42" spans="1:3" x14ac:dyDescent="0.35">
      <c r="A42" s="1" t="s">
        <v>247</v>
      </c>
    </row>
    <row r="43" spans="1:3" x14ac:dyDescent="0.35">
      <c r="A43" t="s">
        <v>248</v>
      </c>
    </row>
    <row r="44" spans="1:3" x14ac:dyDescent="0.35">
      <c r="A44" t="s">
        <v>249</v>
      </c>
    </row>
    <row r="45" spans="1:3" x14ac:dyDescent="0.35">
      <c r="A45" s="96" t="s">
        <v>250</v>
      </c>
    </row>
    <row r="46" spans="1:3" x14ac:dyDescent="0.35">
      <c r="A46" s="96" t="s">
        <v>253</v>
      </c>
    </row>
    <row r="47" spans="1:3" x14ac:dyDescent="0.35">
      <c r="A47" s="96"/>
    </row>
    <row r="48" spans="1:3" x14ac:dyDescent="0.35">
      <c r="A48" s="1" t="s">
        <v>251</v>
      </c>
    </row>
    <row r="49" spans="1:12" x14ac:dyDescent="0.35">
      <c r="A49" t="s">
        <v>252</v>
      </c>
    </row>
    <row r="51" spans="1:12" x14ac:dyDescent="0.35">
      <c r="A51" s="1" t="s">
        <v>50</v>
      </c>
    </row>
    <row r="52" spans="1:12" ht="30.5" customHeight="1" x14ac:dyDescent="0.35">
      <c r="A52" s="98" t="s">
        <v>246</v>
      </c>
      <c r="B52" s="98"/>
      <c r="C52" s="98"/>
      <c r="D52" s="98"/>
      <c r="E52" s="98"/>
      <c r="F52" s="98"/>
      <c r="G52" s="98"/>
      <c r="H52" s="98"/>
      <c r="I52" s="98"/>
      <c r="J52" s="98"/>
      <c r="K52" s="98"/>
      <c r="L52" s="98"/>
    </row>
  </sheetData>
  <mergeCells count="22">
    <mergeCell ref="B22:L22"/>
    <mergeCell ref="B14:L14"/>
    <mergeCell ref="B16:L16"/>
    <mergeCell ref="B17:L17"/>
    <mergeCell ref="B18:L18"/>
    <mergeCell ref="B21:L21"/>
    <mergeCell ref="A4:L4"/>
    <mergeCell ref="A5:L5"/>
    <mergeCell ref="A8:L8"/>
    <mergeCell ref="A7:L7"/>
    <mergeCell ref="A52:L52"/>
    <mergeCell ref="A10:L10"/>
    <mergeCell ref="B15:L15"/>
    <mergeCell ref="B11:L11"/>
    <mergeCell ref="B13:L13"/>
    <mergeCell ref="B19:L19"/>
    <mergeCell ref="B20:L20"/>
    <mergeCell ref="B23:L23"/>
    <mergeCell ref="B24:L24"/>
    <mergeCell ref="B26:L26"/>
    <mergeCell ref="A6:L6"/>
    <mergeCell ref="B25:L25"/>
  </mergeCells>
  <hyperlinks>
    <hyperlink ref="A45" r:id="rId1" xr:uid="{6B934EC2-E381-41EE-938C-08FAF5E51BBE}"/>
    <hyperlink ref="A46" r:id="rId2" xr:uid="{785DB934-D308-4A7B-B51A-B3D1C1CB613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24A81-E83C-49D4-AA4B-76A9D9F38F5D}">
  <dimension ref="A1:Z136"/>
  <sheetViews>
    <sheetView zoomScale="150" zoomScaleNormal="150" workbookViewId="0">
      <selection activeCell="K101" sqref="K101"/>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10" t="s">
        <v>161</v>
      </c>
      <c r="B3" s="110"/>
      <c r="C3" s="110"/>
      <c r="D3" s="110"/>
      <c r="E3" s="110"/>
      <c r="F3" s="110"/>
      <c r="G3" s="110"/>
      <c r="H3" s="94"/>
      <c r="I3" s="94"/>
      <c r="J3" s="94"/>
      <c r="K3" s="94"/>
    </row>
    <row r="4" spans="1:11" x14ac:dyDescent="0.35">
      <c r="A4" s="60" t="s">
        <v>39</v>
      </c>
      <c r="B4" s="60" t="s">
        <v>43</v>
      </c>
      <c r="C4" s="111" t="s">
        <v>44</v>
      </c>
      <c r="D4" s="112"/>
      <c r="E4" s="112"/>
      <c r="F4" s="112"/>
      <c r="G4" s="113"/>
    </row>
    <row r="5" spans="1:11" x14ac:dyDescent="0.35">
      <c r="A5" s="95" t="s">
        <v>52</v>
      </c>
      <c r="B5" s="95"/>
      <c r="C5" s="114"/>
      <c r="D5" s="114"/>
      <c r="E5" s="114"/>
      <c r="F5" s="114"/>
      <c r="G5" s="114"/>
    </row>
    <row r="6" spans="1:11" x14ac:dyDescent="0.35">
      <c r="A6" s="93" t="s">
        <v>40</v>
      </c>
      <c r="B6" s="93" t="s">
        <v>165</v>
      </c>
      <c r="C6" s="116" t="s">
        <v>164</v>
      </c>
      <c r="D6" s="116"/>
      <c r="E6" s="116"/>
      <c r="F6" s="116"/>
      <c r="G6" s="116"/>
    </row>
    <row r="7" spans="1:11" x14ac:dyDescent="0.35">
      <c r="A7" s="93" t="s">
        <v>41</v>
      </c>
      <c r="B7" s="93" t="s">
        <v>165</v>
      </c>
      <c r="C7" s="116" t="s">
        <v>162</v>
      </c>
      <c r="D7" s="116"/>
      <c r="E7" s="116"/>
      <c r="F7" s="116"/>
      <c r="G7" s="116"/>
    </row>
    <row r="8" spans="1:11" x14ac:dyDescent="0.35">
      <c r="A8" s="93" t="s">
        <v>42</v>
      </c>
      <c r="B8" s="93" t="s">
        <v>165</v>
      </c>
      <c r="C8" s="116" t="s">
        <v>164</v>
      </c>
      <c r="D8" s="116"/>
      <c r="E8" s="116"/>
      <c r="F8" s="116"/>
      <c r="G8" s="116"/>
    </row>
    <row r="9" spans="1:11" x14ac:dyDescent="0.35">
      <c r="A9" s="93" t="s">
        <v>157</v>
      </c>
      <c r="B9" s="93" t="s">
        <v>165</v>
      </c>
      <c r="C9" s="116" t="s">
        <v>163</v>
      </c>
      <c r="D9" s="116"/>
      <c r="E9" s="116"/>
      <c r="F9" s="116"/>
      <c r="G9" s="116"/>
    </row>
    <row r="10" spans="1:11" x14ac:dyDescent="0.35">
      <c r="A10" s="93" t="s">
        <v>170</v>
      </c>
      <c r="B10" s="93" t="s">
        <v>165</v>
      </c>
      <c r="C10" s="109" t="s">
        <v>200</v>
      </c>
      <c r="D10" s="109"/>
      <c r="E10" s="109"/>
      <c r="F10" s="109"/>
      <c r="G10" s="109"/>
    </row>
    <row r="11" spans="1:11" x14ac:dyDescent="0.35">
      <c r="A11" s="93" t="s">
        <v>158</v>
      </c>
      <c r="B11" s="93" t="s">
        <v>165</v>
      </c>
      <c r="C11" s="109" t="s">
        <v>257</v>
      </c>
      <c r="D11" s="109"/>
      <c r="E11" s="109"/>
      <c r="F11" s="109"/>
      <c r="G11" s="109"/>
    </row>
    <row r="12" spans="1:11" x14ac:dyDescent="0.35">
      <c r="A12" s="16"/>
      <c r="B12" s="2"/>
      <c r="C12"/>
    </row>
    <row r="13" spans="1:11" x14ac:dyDescent="0.35">
      <c r="A13" s="19" t="s">
        <v>46</v>
      </c>
      <c r="B13" s="2"/>
      <c r="C13"/>
    </row>
    <row r="14" spans="1:11" x14ac:dyDescent="0.35">
      <c r="A14" s="20" t="s">
        <v>220</v>
      </c>
    </row>
    <row r="15" spans="1:11" x14ac:dyDescent="0.35">
      <c r="A15" s="22" t="s">
        <v>201</v>
      </c>
      <c r="B15" s="19"/>
    </row>
    <row r="16" spans="1:11" x14ac:dyDescent="0.35">
      <c r="A16" s="21" t="s">
        <v>47</v>
      </c>
    </row>
    <row r="18" spans="1:14" x14ac:dyDescent="0.35">
      <c r="A18" s="1" t="s">
        <v>54</v>
      </c>
      <c r="D18" s="20" t="s">
        <v>254</v>
      </c>
    </row>
    <row r="20" spans="1:14" x14ac:dyDescent="0.35">
      <c r="A20" s="1" t="s">
        <v>32</v>
      </c>
      <c r="B20" s="1" t="s">
        <v>111</v>
      </c>
      <c r="C20" s="13" t="s">
        <v>112</v>
      </c>
    </row>
    <row r="21" spans="1:14" x14ac:dyDescent="0.35">
      <c r="A21" t="s">
        <v>110</v>
      </c>
      <c r="B21" s="12">
        <v>5.73</v>
      </c>
      <c r="C21" s="12">
        <v>6</v>
      </c>
      <c r="D21" s="23" t="s">
        <v>113</v>
      </c>
    </row>
    <row r="22" spans="1:14" x14ac:dyDescent="0.35">
      <c r="A22" t="s">
        <v>144</v>
      </c>
      <c r="B22" s="12">
        <v>11</v>
      </c>
      <c r="C22" s="12">
        <v>10.1</v>
      </c>
      <c r="D22" s="11" t="s">
        <v>34</v>
      </c>
    </row>
    <row r="23" spans="1:14" x14ac:dyDescent="0.35">
      <c r="A23" t="s">
        <v>208</v>
      </c>
      <c r="B23" s="71">
        <v>3525</v>
      </c>
      <c r="C23" s="71">
        <v>1020</v>
      </c>
      <c r="D23" s="11"/>
    </row>
    <row r="24" spans="1:14" x14ac:dyDescent="0.35">
      <c r="A24" t="s">
        <v>190</v>
      </c>
      <c r="B24" s="12">
        <f>VLOOKUP(B23,'Powell-Elevation-Area'!$A$5:$B$689,2)/1000000</f>
        <v>5.9265762500000001</v>
      </c>
      <c r="C24" s="12">
        <f>VLOOKUP(C23,'Mead-Elevation-Area'!$A$5:$B$689,2)/1000000</f>
        <v>5.664593</v>
      </c>
      <c r="D24" s="11"/>
      <c r="E24" s="46"/>
    </row>
    <row r="26" spans="1:14" s="1" customFormat="1" x14ac:dyDescent="0.35">
      <c r="A26" s="56" t="s">
        <v>35</v>
      </c>
      <c r="B26" s="56" t="s">
        <v>49</v>
      </c>
      <c r="C26" s="57" t="s">
        <v>5</v>
      </c>
      <c r="D26" s="57" t="s">
        <v>6</v>
      </c>
      <c r="E26" s="57" t="s">
        <v>7</v>
      </c>
      <c r="F26" s="57" t="s">
        <v>8</v>
      </c>
      <c r="G26" s="57" t="s">
        <v>9</v>
      </c>
      <c r="H26" s="57" t="s">
        <v>10</v>
      </c>
      <c r="I26" s="57" t="s">
        <v>11</v>
      </c>
      <c r="J26" s="57" t="s">
        <v>12</v>
      </c>
      <c r="K26" s="57" t="s">
        <v>36</v>
      </c>
      <c r="L26" s="57" t="s">
        <v>37</v>
      </c>
      <c r="M26" s="57" t="s">
        <v>108</v>
      </c>
      <c r="N26" s="57" t="s">
        <v>187</v>
      </c>
    </row>
    <row r="27" spans="1:14" x14ac:dyDescent="0.35">
      <c r="A27" s="1" t="s">
        <v>45</v>
      </c>
      <c r="B27" s="1"/>
      <c r="C27" s="45">
        <v>12.4</v>
      </c>
      <c r="D27" s="45">
        <f>C27</f>
        <v>12.4</v>
      </c>
      <c r="E27" s="45">
        <f t="shared" ref="E27:H27" si="0">D27</f>
        <v>12.4</v>
      </c>
      <c r="F27" s="45">
        <f t="shared" si="0"/>
        <v>12.4</v>
      </c>
      <c r="G27" s="45">
        <f t="shared" si="0"/>
        <v>12.4</v>
      </c>
      <c r="H27" s="45">
        <f t="shared" si="0"/>
        <v>12.4</v>
      </c>
      <c r="I27" s="45">
        <v>14.4</v>
      </c>
      <c r="J27" s="45">
        <f>I27</f>
        <v>14.4</v>
      </c>
      <c r="K27" s="45">
        <f t="shared" ref="K27:L27" si="1">J27</f>
        <v>14.4</v>
      </c>
      <c r="L27" s="45">
        <f t="shared" si="1"/>
        <v>14.4</v>
      </c>
    </row>
    <row r="28" spans="1:14" x14ac:dyDescent="0.35">
      <c r="A28" s="1" t="s">
        <v>122</v>
      </c>
      <c r="B28" s="1"/>
      <c r="C28" s="12">
        <f>IF(C$27&lt;&gt;"",0.8,"")</f>
        <v>0.8</v>
      </c>
      <c r="D28" s="12">
        <f t="shared" ref="D28:L28" si="2">IF(D$27&lt;&gt;"",0.8,"")</f>
        <v>0.8</v>
      </c>
      <c r="E28" s="12">
        <f t="shared" si="2"/>
        <v>0.8</v>
      </c>
      <c r="F28" s="12">
        <f t="shared" si="2"/>
        <v>0.8</v>
      </c>
      <c r="G28" s="12">
        <f t="shared" si="2"/>
        <v>0.8</v>
      </c>
      <c r="H28" s="12">
        <f t="shared" si="2"/>
        <v>0.8</v>
      </c>
      <c r="I28" s="12">
        <f t="shared" si="2"/>
        <v>0.8</v>
      </c>
      <c r="J28" s="12">
        <f t="shared" si="2"/>
        <v>0.8</v>
      </c>
      <c r="K28" s="12">
        <f t="shared" si="2"/>
        <v>0.8</v>
      </c>
      <c r="L28" s="12">
        <f t="shared" si="2"/>
        <v>0.8</v>
      </c>
    </row>
    <row r="29" spans="1:14" x14ac:dyDescent="0.35">
      <c r="A29" s="1" t="s">
        <v>125</v>
      </c>
      <c r="B29" s="14">
        <f>SUM(B30:B35)-SUM(B22:C22)</f>
        <v>0</v>
      </c>
      <c r="C29" s="14">
        <f>IF(C$27&lt;&gt;"",SUM(B22:C22),"")</f>
        <v>21.1</v>
      </c>
      <c r="D29" s="14">
        <f ca="1">IF(D$27&lt;&gt;"",C127,"")</f>
        <v>20.15276898666669</v>
      </c>
      <c r="E29" s="14">
        <f t="shared" ref="E29:L29" ca="1" si="3">IF(E$27&lt;&gt;"",D127,"")</f>
        <v>19.234339173332785</v>
      </c>
      <c r="F29" s="14">
        <f t="shared" ca="1" si="3"/>
        <v>18.369970998203737</v>
      </c>
      <c r="G29" s="14">
        <f t="shared" ca="1" si="3"/>
        <v>17.592508625369231</v>
      </c>
      <c r="H29" s="14">
        <f t="shared" ca="1" si="3"/>
        <v>16.838387928034727</v>
      </c>
      <c r="I29" s="14">
        <f t="shared" ca="1" si="3"/>
        <v>16.048751632965416</v>
      </c>
      <c r="J29" s="14">
        <f t="shared" ca="1" si="3"/>
        <v>17.343057319632681</v>
      </c>
      <c r="K29" s="14">
        <f t="shared" ca="1" si="3"/>
        <v>18.596357180798776</v>
      </c>
      <c r="L29" s="14">
        <f t="shared" ca="1" si="3"/>
        <v>19.731630249464871</v>
      </c>
    </row>
    <row r="30" spans="1:14" x14ac:dyDescent="0.35">
      <c r="A30" t="str">
        <f t="shared" ref="A30:A35" si="4">IF(A6="","","    "&amp;A6&amp;" Balance")</f>
        <v xml:space="preserve">    Upper Basin Balance</v>
      </c>
      <c r="B30" s="54">
        <f>B22-B24</f>
        <v>5.0734237499999999</v>
      </c>
      <c r="C30" s="14">
        <f>IF(OR(C$27="",$A30=""),"",B30)</f>
        <v>5.0734237499999999</v>
      </c>
      <c r="D30" s="14">
        <f ca="1">IF(OR(D$27="",$A30=""),"",C121)</f>
        <v>4.5023027390425758</v>
      </c>
      <c r="E30" s="14">
        <f t="shared" ref="E30:L30" ca="1" si="5">IF(OR(E$27="",$A30=""),"",D121)</f>
        <v>3.9501169668020291</v>
      </c>
      <c r="F30" s="14">
        <f t="shared" ca="1" si="5"/>
        <v>3.4176052374703314</v>
      </c>
      <c r="G30" s="14">
        <f t="shared" ca="1" si="5"/>
        <v>2.9033750669234708</v>
      </c>
      <c r="H30" s="14">
        <f t="shared" ca="1" si="5"/>
        <v>2.4073294162272401</v>
      </c>
      <c r="I30" s="14">
        <f t="shared" ca="1" si="5"/>
        <v>1.9300390338060831</v>
      </c>
      <c r="J30" s="14">
        <f t="shared" ca="1" si="5"/>
        <v>3.4693011126127766</v>
      </c>
      <c r="K30" s="14">
        <f t="shared" ca="1" si="5"/>
        <v>4.9407833705312454</v>
      </c>
      <c r="L30" s="14">
        <f t="shared" ca="1" si="5"/>
        <v>6.3510956213591045</v>
      </c>
      <c r="N30" t="s">
        <v>192</v>
      </c>
    </row>
    <row r="31" spans="1:14" x14ac:dyDescent="0.35">
      <c r="A31" t="str">
        <f t="shared" si="4"/>
        <v xml:space="preserve">    Lower Basin Balance</v>
      </c>
      <c r="B31" s="54">
        <f>C22-C24-B32</f>
        <v>4.2614069999999993</v>
      </c>
      <c r="C31" s="14">
        <f t="shared" ref="C31:C35" si="6">IF(OR(C$27="",$A31=""),"",B31)</f>
        <v>4.2614069999999993</v>
      </c>
      <c r="D31" s="14">
        <f t="shared" ref="D31:L35" ca="1" si="7">IF(OR(D$27="",$A31=""),"",C122)</f>
        <v>3.8781684655908366</v>
      </c>
      <c r="E31" s="14">
        <f t="shared" ca="1" si="7"/>
        <v>3.5052945956104962</v>
      </c>
      <c r="F31" s="14">
        <f t="shared" ca="1" si="7"/>
        <v>3.2276938498027645</v>
      </c>
      <c r="G31" s="14">
        <f t="shared" ca="1" si="7"/>
        <v>2.9557384232900743</v>
      </c>
      <c r="H31" s="14">
        <f t="shared" ca="1" si="7"/>
        <v>2.6895195494131832</v>
      </c>
      <c r="I31" s="14">
        <f t="shared" ca="1" si="7"/>
        <v>2.4298350538824502</v>
      </c>
      <c r="J31" s="14">
        <f t="shared" ca="1" si="7"/>
        <v>2.1746098769582511</v>
      </c>
      <c r="K31" s="14">
        <f t="shared" ca="1" si="7"/>
        <v>1.9465336007062346</v>
      </c>
      <c r="L31" s="14">
        <f t="shared" ca="1" si="7"/>
        <v>1.721943812850486</v>
      </c>
      <c r="N31" t="s">
        <v>189</v>
      </c>
    </row>
    <row r="32" spans="1:14" x14ac:dyDescent="0.35">
      <c r="A32" t="str">
        <f t="shared" si="4"/>
        <v xml:space="preserve">    Mexico Balance</v>
      </c>
      <c r="B32" s="70">
        <v>0.17399999999999999</v>
      </c>
      <c r="C32" s="58">
        <f t="shared" si="6"/>
        <v>0.17399999999999999</v>
      </c>
      <c r="D32" s="58">
        <f t="shared" ca="1" si="7"/>
        <v>0.16557297647772518</v>
      </c>
      <c r="E32" s="58">
        <f t="shared" ca="1" si="7"/>
        <v>0.15741380290549611</v>
      </c>
      <c r="F32" s="58">
        <f t="shared" ca="1" si="7"/>
        <v>0.13350266093064156</v>
      </c>
      <c r="G32" s="58">
        <f t="shared" ca="1" si="7"/>
        <v>0.12667032960013214</v>
      </c>
      <c r="H32" s="14">
        <f t="shared" ca="1" si="7"/>
        <v>0.12006923818990534</v>
      </c>
      <c r="I32" s="14">
        <f t="shared" ca="1" si="7"/>
        <v>9.7708295276883073E-2</v>
      </c>
      <c r="J32" s="14">
        <f t="shared" ca="1" si="7"/>
        <v>9.2421524506100861E-2</v>
      </c>
      <c r="K32" s="14">
        <f t="shared" ca="1" si="7"/>
        <v>8.7575489291510156E-2</v>
      </c>
      <c r="L32" s="14">
        <f t="shared" ca="1" si="7"/>
        <v>6.7113945716609891E-2</v>
      </c>
      <c r="N32" t="s">
        <v>188</v>
      </c>
    </row>
    <row r="33" spans="1:14" x14ac:dyDescent="0.35">
      <c r="A33" t="str">
        <f t="shared" si="4"/>
        <v xml:space="preserve">    Mohave &amp; Havasu Evap &amp; ET Balance</v>
      </c>
      <c r="B33" s="55">
        <v>0</v>
      </c>
      <c r="C33" s="14">
        <f t="shared" si="6"/>
        <v>0</v>
      </c>
      <c r="D33" s="14">
        <f t="shared" ca="1" si="7"/>
        <v>0</v>
      </c>
      <c r="E33" s="14">
        <f t="shared" ca="1" si="7"/>
        <v>0</v>
      </c>
      <c r="F33" s="14">
        <f t="shared" ca="1" si="7"/>
        <v>0</v>
      </c>
      <c r="G33" s="14">
        <f t="shared" ca="1" si="7"/>
        <v>0</v>
      </c>
      <c r="H33" s="14">
        <f t="shared" ca="1" si="7"/>
        <v>0</v>
      </c>
      <c r="I33" s="14">
        <f t="shared" ca="1" si="7"/>
        <v>0</v>
      </c>
      <c r="J33" s="14">
        <f t="shared" ca="1" si="7"/>
        <v>0</v>
      </c>
      <c r="K33" s="14">
        <f t="shared" ca="1" si="7"/>
        <v>0</v>
      </c>
      <c r="L33" s="14">
        <f t="shared" ca="1" si="7"/>
        <v>0</v>
      </c>
    </row>
    <row r="34" spans="1:14" x14ac:dyDescent="0.35">
      <c r="A34" t="str">
        <f t="shared" si="4"/>
        <v xml:space="preserve">    Shared, Reserve Balance</v>
      </c>
      <c r="B34" s="54">
        <f>SUM(B24:C24)</f>
        <v>11.59116925</v>
      </c>
      <c r="C34" s="14">
        <f t="shared" si="6"/>
        <v>11.59116925</v>
      </c>
      <c r="D34" s="14">
        <f t="shared" ca="1" si="7"/>
        <v>11.59116925</v>
      </c>
      <c r="E34" s="14">
        <f t="shared" ca="1" si="7"/>
        <v>11.59116925</v>
      </c>
      <c r="F34" s="14">
        <f t="shared" ca="1" si="7"/>
        <v>11.59116925</v>
      </c>
      <c r="G34" s="14">
        <f t="shared" ca="1" si="7"/>
        <v>11.59116925</v>
      </c>
      <c r="H34" s="14">
        <f t="shared" ca="1" si="7"/>
        <v>11.59116925</v>
      </c>
      <c r="I34" s="14">
        <f t="shared" ca="1" si="7"/>
        <v>11.59116925</v>
      </c>
      <c r="J34" s="14">
        <f t="shared" ca="1" si="7"/>
        <v>11.59116925</v>
      </c>
      <c r="K34" s="14">
        <f t="shared" ca="1" si="7"/>
        <v>11.59116925</v>
      </c>
      <c r="L34" s="14">
        <f t="shared" ca="1" si="7"/>
        <v>11.59116925</v>
      </c>
      <c r="N34" t="s">
        <v>191</v>
      </c>
    </row>
    <row r="35" spans="1:14" x14ac:dyDescent="0.35">
      <c r="A35" t="str">
        <f t="shared" si="4"/>
        <v xml:space="preserve">    Colorado River Delta Balance</v>
      </c>
      <c r="B35" s="55">
        <v>0</v>
      </c>
      <c r="C35" s="14">
        <f t="shared" si="6"/>
        <v>0</v>
      </c>
      <c r="D35" s="14">
        <f t="shared" ca="1" si="7"/>
        <v>1.5555555555555553E-2</v>
      </c>
      <c r="E35" s="14">
        <f t="shared" ca="1" si="7"/>
        <v>3.0344558014765079E-2</v>
      </c>
      <c r="F35" s="14">
        <f t="shared" ca="1" si="7"/>
        <v>0</v>
      </c>
      <c r="G35" s="14">
        <f t="shared" ca="1" si="7"/>
        <v>1.5555555555555553E-2</v>
      </c>
      <c r="H35" s="14">
        <f t="shared" ca="1" si="7"/>
        <v>3.0300474204400352E-2</v>
      </c>
      <c r="I35" s="14">
        <f t="shared" ca="1" si="7"/>
        <v>0</v>
      </c>
      <c r="J35" s="14">
        <f t="shared" ca="1" si="7"/>
        <v>1.5555555555555553E-2</v>
      </c>
      <c r="K35" s="14">
        <f t="shared" ca="1" si="7"/>
        <v>3.0295470269785567E-2</v>
      </c>
      <c r="L35" s="14">
        <f t="shared" ca="1" si="7"/>
        <v>3.076195386707975E-4</v>
      </c>
    </row>
    <row r="36" spans="1:14" x14ac:dyDescent="0.35">
      <c r="A36" s="1" t="s">
        <v>218</v>
      </c>
      <c r="C36"/>
    </row>
    <row r="37" spans="1:14" x14ac:dyDescent="0.35">
      <c r="A37" t="s">
        <v>114</v>
      </c>
      <c r="C37" s="14">
        <f>IF(C$27&lt;&gt;"",B22,"")</f>
        <v>11</v>
      </c>
      <c r="D37" s="14">
        <f ca="1">IF(D$27&lt;&gt;"",C129,"")</f>
        <v>10.076384493333345</v>
      </c>
      <c r="E37" s="14">
        <f t="shared" ref="E37:L38" ca="1" si="8">IF(E$27&lt;&gt;"",D129,"")</f>
        <v>9.6171695866663924</v>
      </c>
      <c r="F37" s="14">
        <f t="shared" ca="1" si="8"/>
        <v>9.1849854991018685</v>
      </c>
      <c r="G37" s="14">
        <f t="shared" ca="1" si="8"/>
        <v>8.7962543126846153</v>
      </c>
      <c r="H37" s="14">
        <f t="shared" ca="1" si="8"/>
        <v>8.4191939640173636</v>
      </c>
      <c r="I37" s="14">
        <f t="shared" ca="1" si="8"/>
        <v>8.0243758164827081</v>
      </c>
      <c r="J37" s="14">
        <f t="shared" ca="1" si="8"/>
        <v>8.6715286598163406</v>
      </c>
      <c r="K37" s="14">
        <f t="shared" ca="1" si="8"/>
        <v>9.2981785903993881</v>
      </c>
      <c r="L37" s="14">
        <f t="shared" ca="1" si="8"/>
        <v>9.8658151247324355</v>
      </c>
    </row>
    <row r="38" spans="1:14" x14ac:dyDescent="0.35">
      <c r="A38" t="s">
        <v>115</v>
      </c>
      <c r="C38" s="14">
        <f>IF(C$27&lt;&gt;"",C22,"")</f>
        <v>10.1</v>
      </c>
      <c r="D38" s="14">
        <f ca="1">IF(D$27&lt;&gt;"",C130,"")</f>
        <v>10.076384493333345</v>
      </c>
      <c r="E38" s="14">
        <f t="shared" ca="1" si="8"/>
        <v>9.6171695866663924</v>
      </c>
      <c r="F38" s="14">
        <f t="shared" ca="1" si="8"/>
        <v>9.1849854991018685</v>
      </c>
      <c r="G38" s="14">
        <f t="shared" ca="1" si="8"/>
        <v>8.7962543126846153</v>
      </c>
      <c r="H38" s="14">
        <f t="shared" ca="1" si="8"/>
        <v>8.4191939640173636</v>
      </c>
      <c r="I38" s="14">
        <f t="shared" ca="1" si="8"/>
        <v>8.0243758164827081</v>
      </c>
      <c r="J38" s="14">
        <f t="shared" ca="1" si="8"/>
        <v>8.6715286598163406</v>
      </c>
      <c r="K38" s="14">
        <f t="shared" ca="1" si="8"/>
        <v>9.2981785903993881</v>
      </c>
      <c r="L38" s="14">
        <f t="shared" ca="1" si="8"/>
        <v>9.8658151247324355</v>
      </c>
    </row>
    <row r="39" spans="1:14" x14ac:dyDescent="0.35">
      <c r="A39" s="1" t="s">
        <v>120</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0.99309648000057305</v>
      </c>
      <c r="E39" s="14">
        <f ca="1">IF(E$27&lt;&gt;"",VLOOKUP(E37*1000000,'Powell-Elevation-Area'!$B$5:$D$689,3)*$B$21/1000000 + VLOOKUP(E38*1000000,'Mead-Elevation-Area'!$B$5:$D$676,3)*$C$21/1000000,"")</f>
        <v>0.96665975399942705</v>
      </c>
      <c r="F39" s="14">
        <f ca="1">IF(F$27&lt;&gt;"",VLOOKUP(F37*1000000,'Powell-Elevation-Area'!$B$5:$D$689,3)*$B$21/1000000 + VLOOKUP(F38*1000000,'Mead-Elevation-Area'!$B$5:$D$676,3)*$C$21/1000000,"")</f>
        <v>0.94012903950117299</v>
      </c>
      <c r="G39" s="14">
        <f ca="1">IF(G$27&lt;&gt;"",VLOOKUP(G37*1000000,'Powell-Elevation-Area'!$B$5:$D$689,3)*$B$21/1000000 + VLOOKUP(G38*1000000,'Mead-Elevation-Area'!$B$5:$D$676,3)*$C$21/1000000,"")</f>
        <v>0.916787364001173</v>
      </c>
      <c r="H39" s="14">
        <f ca="1">IF(H$27&lt;&gt;"",VLOOKUP(H37*1000000,'Powell-Elevation-Area'!$B$5:$D$689,3)*$B$21/1000000 + VLOOKUP(H38*1000000,'Mead-Elevation-Area'!$B$5:$D$676,3)*$C$21/1000000,"")</f>
        <v>0.89205216900057305</v>
      </c>
      <c r="I39" s="14">
        <f ca="1">IF(I$27&lt;&gt;"",VLOOKUP(I37*1000000,'Powell-Elevation-Area'!$B$5:$D$689,3)*$B$21/1000000 + VLOOKUP(I38*1000000,'Mead-Elevation-Area'!$B$5:$D$676,3)*$C$21/1000000,"")</f>
        <v>0.8683609799994001</v>
      </c>
      <c r="J39" s="14">
        <f ca="1">IF(J$27&lt;&gt;"",VLOOKUP(J37*1000000,'Powell-Elevation-Area'!$B$5:$D$689,3)*$B$21/1000000 + VLOOKUP(J38*1000000,'Mead-Elevation-Area'!$B$5:$D$676,3)*$C$21/1000000,"")</f>
        <v>0.90936680550057303</v>
      </c>
      <c r="K39" s="14">
        <f ca="1">IF(K$27&lt;&gt;"",VLOOKUP(K37*1000000,'Powell-Elevation-Area'!$B$5:$D$689,3)*$B$21/1000000 + VLOOKUP(K38*1000000,'Mead-Elevation-Area'!$B$5:$D$676,3)*$C$21/1000000,"")</f>
        <v>0.94739359800057299</v>
      </c>
      <c r="L39" s="14">
        <f ca="1">IF(L$27&lt;&gt;"",VLOOKUP(L37*1000000,'Powell-Elevation-Area'!$B$5:$D$689,3)*$B$21/1000000 + VLOOKUP(L38*1000000,'Mead-Elevation-Area'!$B$5:$D$676,3)*$C$21/1000000,"")</f>
        <v>0.98111087099942695</v>
      </c>
    </row>
    <row r="40" spans="1:14" x14ac:dyDescent="0.35">
      <c r="A40" t="str">
        <f t="shared" ref="A40:A45" si="9">IF(A6="","","    "&amp;A6&amp;" Share")</f>
        <v xml:space="preserve">    Upper Basin Share</v>
      </c>
      <c r="B40" s="1"/>
      <c r="C40" s="14">
        <f>IF(OR(C$27="",$A40=""),"",C$39*C30/C$29)</f>
        <v>0.24571184643515467</v>
      </c>
      <c r="D40" s="14">
        <f t="shared" ref="D40:L40" ca="1" si="10">IF(OR(D$27="",$A40=""),"",D$39*D30/D$29)</f>
        <v>0.22186633534073325</v>
      </c>
      <c r="E40" s="14">
        <f t="shared" ca="1" si="10"/>
        <v>0.19852094012628274</v>
      </c>
      <c r="F40" s="14">
        <f t="shared" ca="1" si="10"/>
        <v>0.1749044638998796</v>
      </c>
      <c r="G40" s="14">
        <f t="shared" ca="1" si="10"/>
        <v>0.15130176321034106</v>
      </c>
      <c r="H40" s="14">
        <f t="shared" ca="1" si="10"/>
        <v>0.12753378983916969</v>
      </c>
      <c r="I40" s="14">
        <f t="shared" ca="1" si="10"/>
        <v>0.1044299659663477</v>
      </c>
      <c r="J40" s="14">
        <f t="shared" ca="1" si="10"/>
        <v>0.18190952217662873</v>
      </c>
      <c r="K40" s="14">
        <f t="shared" ca="1" si="10"/>
        <v>0.2517087883847548</v>
      </c>
      <c r="L40" s="14">
        <f t="shared" ca="1" si="10"/>
        <v>0.31579392468299816</v>
      </c>
    </row>
    <row r="41" spans="1:14" x14ac:dyDescent="0.35">
      <c r="A41" t="str">
        <f t="shared" si="9"/>
        <v xml:space="preserve">    Lower Basin Share</v>
      </c>
      <c r="B41" s="1"/>
      <c r="C41" s="14">
        <f t="shared" ref="C41:L45" si="11">IF(OR(C$27="",$A41=""),"",C$39*C31/C$29)</f>
        <v>0.20638492544244763</v>
      </c>
      <c r="D41" s="14">
        <f t="shared" ca="1" si="11"/>
        <v>0.19110998863608331</v>
      </c>
      <c r="E41" s="14">
        <f t="shared" ca="1" si="11"/>
        <v>0.1761655121578706</v>
      </c>
      <c r="F41" s="14">
        <f t="shared" ca="1" si="11"/>
        <v>0.16518527542126399</v>
      </c>
      <c r="G41" s="14">
        <f t="shared" ca="1" si="11"/>
        <v>0.15403054194655638</v>
      </c>
      <c r="H41" s="14">
        <f t="shared" ca="1" si="11"/>
        <v>0.14248345850430189</v>
      </c>
      <c r="I41" s="14">
        <f t="shared" ca="1" si="11"/>
        <v>0.13147277725279297</v>
      </c>
      <c r="J41" s="14">
        <f t="shared" ca="1" si="11"/>
        <v>0.11402361190266781</v>
      </c>
      <c r="K41" s="14">
        <f t="shared" ca="1" si="11"/>
        <v>9.9166382623915514E-2</v>
      </c>
      <c r="L41" s="14">
        <f t="shared" ca="1" si="11"/>
        <v>8.5619777619927381E-2</v>
      </c>
    </row>
    <row r="42" spans="1:14" x14ac:dyDescent="0.35">
      <c r="A42" t="str">
        <f t="shared" si="9"/>
        <v xml:space="preserve">    Mexico Share</v>
      </c>
      <c r="B42" s="1"/>
      <c r="C42" s="14">
        <f t="shared" si="11"/>
        <v>8.4270235222746598E-3</v>
      </c>
      <c r="D42" s="14">
        <f t="shared" ca="1" si="11"/>
        <v>8.1591735722289747E-3</v>
      </c>
      <c r="E42" s="14">
        <f t="shared" ca="1" si="11"/>
        <v>7.9111419748544975E-3</v>
      </c>
      <c r="F42" s="14">
        <f t="shared" ca="1" si="11"/>
        <v>6.8323313305093123E-3</v>
      </c>
      <c r="G42" s="14">
        <f t="shared" ca="1" si="11"/>
        <v>6.6010914102267535E-3</v>
      </c>
      <c r="H42" s="14">
        <f t="shared" ca="1" si="11"/>
        <v>6.360942913022226E-3</v>
      </c>
      <c r="I42" s="14">
        <f t="shared" ca="1" si="11"/>
        <v>5.2867707707822172E-3</v>
      </c>
      <c r="J42" s="14">
        <f t="shared" ca="1" si="11"/>
        <v>4.8460352145907508E-3</v>
      </c>
      <c r="K42" s="14">
        <f t="shared" ca="1" si="11"/>
        <v>4.4615435749003332E-3</v>
      </c>
      <c r="L42" s="14">
        <f t="shared" ca="1" si="11"/>
        <v>3.3370897845613726E-3</v>
      </c>
    </row>
    <row r="43" spans="1:14" x14ac:dyDescent="0.35">
      <c r="A43" t="str">
        <f t="shared" si="9"/>
        <v xml:space="preserve">    Mohave &amp; Havasu Evap &amp; ET Share</v>
      </c>
      <c r="B43" s="1"/>
      <c r="C43" s="14">
        <f t="shared" si="11"/>
        <v>0</v>
      </c>
      <c r="D43" s="14">
        <f t="shared" ca="1" si="11"/>
        <v>0</v>
      </c>
      <c r="E43" s="14">
        <f t="shared" ca="1" si="11"/>
        <v>0</v>
      </c>
      <c r="F43" s="14">
        <f t="shared" ca="1" si="11"/>
        <v>0</v>
      </c>
      <c r="G43" s="14">
        <f t="shared" ca="1" si="11"/>
        <v>0</v>
      </c>
      <c r="H43" s="14">
        <f t="shared" ca="1" si="11"/>
        <v>0</v>
      </c>
      <c r="I43" s="14">
        <f t="shared" ca="1" si="11"/>
        <v>0</v>
      </c>
      <c r="J43" s="14">
        <f t="shared" ca="1" si="11"/>
        <v>0</v>
      </c>
      <c r="K43" s="14">
        <f t="shared" ca="1" si="11"/>
        <v>0</v>
      </c>
      <c r="L43" s="14">
        <f t="shared" ca="1" si="11"/>
        <v>0</v>
      </c>
    </row>
    <row r="44" spans="1:14" x14ac:dyDescent="0.35">
      <c r="A44" t="str">
        <f t="shared" si="9"/>
        <v xml:space="preserve">    Shared, Reserve Share</v>
      </c>
      <c r="B44" s="1"/>
      <c r="C44" s="14">
        <f t="shared" si="11"/>
        <v>0.56137388460009618</v>
      </c>
      <c r="D44" s="14">
        <f t="shared" ca="1" si="11"/>
        <v>0.57119442935518172</v>
      </c>
      <c r="E44" s="14">
        <f t="shared" ca="1" si="11"/>
        <v>0.58253713396638895</v>
      </c>
      <c r="F44" s="14">
        <f t="shared" ca="1" si="11"/>
        <v>0.59320696884952018</v>
      </c>
      <c r="G44" s="14">
        <f t="shared" ca="1" si="11"/>
        <v>0.60404333052733816</v>
      </c>
      <c r="H44" s="14">
        <f t="shared" ca="1" si="11"/>
        <v>0.61406874071953155</v>
      </c>
      <c r="I44" s="14">
        <f t="shared" ca="1" si="11"/>
        <v>0.62717146600947715</v>
      </c>
      <c r="J44" s="14">
        <f t="shared" ca="1" si="11"/>
        <v>0.60777199536536042</v>
      </c>
      <c r="K44" s="14">
        <f t="shared" ca="1" si="11"/>
        <v>0.59051347713033209</v>
      </c>
      <c r="L44" s="14">
        <f t="shared" ca="1" si="11"/>
        <v>0.57634478322325611</v>
      </c>
    </row>
    <row r="45" spans="1:14" x14ac:dyDescent="0.35">
      <c r="A45" t="str">
        <f t="shared" si="9"/>
        <v xml:space="preserve">    Colorado River Delta Share</v>
      </c>
      <c r="B45" s="1"/>
      <c r="C45" s="14">
        <f t="shared" si="11"/>
        <v>0</v>
      </c>
      <c r="D45" s="14">
        <f t="shared" ca="1" si="11"/>
        <v>7.6655309634602914E-4</v>
      </c>
      <c r="E45" s="14">
        <f t="shared" ca="1" si="11"/>
        <v>1.5250257740303521E-3</v>
      </c>
      <c r="F45" s="14">
        <f t="shared" ca="1" si="11"/>
        <v>0</v>
      </c>
      <c r="G45" s="14">
        <f t="shared" ca="1" si="11"/>
        <v>8.1063690671075433E-4</v>
      </c>
      <c r="H45" s="14">
        <f t="shared" ca="1" si="11"/>
        <v>1.6052370245478705E-3</v>
      </c>
      <c r="I45" s="14">
        <f t="shared" ca="1" si="11"/>
        <v>0</v>
      </c>
      <c r="J45" s="14">
        <f t="shared" ca="1" si="11"/>
        <v>8.1564084132553882E-4</v>
      </c>
      <c r="K45" s="14">
        <f t="shared" ca="1" si="11"/>
        <v>1.5434062866703179E-3</v>
      </c>
      <c r="L45" s="14">
        <f t="shared" ca="1" si="11"/>
        <v>1.5295688683905539E-5</v>
      </c>
    </row>
    <row r="46" spans="1:14" x14ac:dyDescent="0.35">
      <c r="A46" s="1" t="s">
        <v>155</v>
      </c>
      <c r="B46" s="1"/>
      <c r="C46" s="50">
        <f>IF(C$27&lt;&gt;"",1.5-0.21/9/2-IF(SUM(C31,C32,C34/2)&lt;$T$66,$V$66,IF(C$31&lt;=$T$73,VLOOKUP(SUM(C31,C32,C34/2),$T$66:$V$74,3),0)),"")</f>
        <v>1.4583333333333333</v>
      </c>
      <c r="D46" s="50">
        <f t="shared" ref="D46:L46" ca="1" si="12">IF(D$27&lt;&gt;"",1.5-0.21/9/2-IF(SUM(D31,D32,D34/2)&lt;$T$66,$V$66,IF(D$31&lt;=$T$73,VLOOKUP(SUM(D31,D32,D34/2),$T$66:$V$74,3),0)),"")</f>
        <v>1.4583333333333333</v>
      </c>
      <c r="E46" s="50">
        <f t="shared" ca="1" si="12"/>
        <v>1.4543333333333333</v>
      </c>
      <c r="F46" s="50">
        <f t="shared" ca="1" si="12"/>
        <v>1.4543333333333333</v>
      </c>
      <c r="G46" s="50">
        <f t="shared" ca="1" si="12"/>
        <v>1.4543333333333333</v>
      </c>
      <c r="H46" s="50">
        <f t="shared" ca="1" si="12"/>
        <v>1.4543333333333333</v>
      </c>
      <c r="I46" s="50">
        <f t="shared" ca="1" si="12"/>
        <v>1.4543333333333333</v>
      </c>
      <c r="J46" s="50">
        <f t="shared" ca="1" si="12"/>
        <v>1.4543333333333333</v>
      </c>
      <c r="K46" s="50">
        <f t="shared" ca="1" si="12"/>
        <v>1.4543333333333333</v>
      </c>
      <c r="L46" s="50">
        <f t="shared" ca="1" si="12"/>
        <v>1.4123333333333332</v>
      </c>
    </row>
    <row r="47" spans="1:14" x14ac:dyDescent="0.35">
      <c r="A47" s="1" t="s">
        <v>202</v>
      </c>
      <c r="B47" s="1"/>
      <c r="C47" s="53">
        <f>IF(C27="","",SUM(C27:C28))</f>
        <v>13.200000000000001</v>
      </c>
      <c r="D47" s="53">
        <f t="shared" ref="D47:L47" si="13">IF(D27="","",SUM(D27:D28))</f>
        <v>13.200000000000001</v>
      </c>
      <c r="E47" s="53">
        <f t="shared" si="13"/>
        <v>13.200000000000001</v>
      </c>
      <c r="F47" s="53">
        <f t="shared" si="13"/>
        <v>13.200000000000001</v>
      </c>
      <c r="G47" s="53">
        <f t="shared" si="13"/>
        <v>13.200000000000001</v>
      </c>
      <c r="H47" s="53">
        <f t="shared" si="13"/>
        <v>13.200000000000001</v>
      </c>
      <c r="I47" s="53">
        <f t="shared" si="13"/>
        <v>15.200000000000001</v>
      </c>
      <c r="J47" s="53">
        <f t="shared" si="13"/>
        <v>15.200000000000001</v>
      </c>
      <c r="K47" s="53">
        <f t="shared" si="13"/>
        <v>15.200000000000001</v>
      </c>
      <c r="L47" s="53">
        <f t="shared" si="13"/>
        <v>15.200000000000001</v>
      </c>
      <c r="M47" s="46"/>
      <c r="N47" s="46"/>
    </row>
    <row r="48" spans="1:14" x14ac:dyDescent="0.35">
      <c r="A48" t="str">
        <f>IF(A6="","","    To "&amp;A6)</f>
        <v xml:space="preserve">    To Upper Basin</v>
      </c>
      <c r="B48" s="24" t="s">
        <v>156</v>
      </c>
      <c r="C48" s="14">
        <f>IF(OR(C$27="",$A48=""),"",IF(C$47&gt;SUM(C49:C53),C$47-SUM(C49:C53),0))</f>
        <v>3.874590835477731</v>
      </c>
      <c r="D48" s="14">
        <f t="shared" ref="D48:L48" ca="1" si="14">IF(OR(D$27="",$A48=""),"",IF(D$47&gt;SUM(D49:D53),D$47-SUM(D49:D53),0))</f>
        <v>3.8696805631001876</v>
      </c>
      <c r="E48" s="14">
        <f t="shared" ca="1" si="14"/>
        <v>3.8660092107945854</v>
      </c>
      <c r="F48" s="14">
        <f t="shared" ca="1" si="14"/>
        <v>3.8606742933530196</v>
      </c>
      <c r="G48" s="14">
        <f t="shared" ca="1" si="14"/>
        <v>3.8552561125141107</v>
      </c>
      <c r="H48" s="14">
        <f t="shared" ca="1" si="14"/>
        <v>3.850243407418013</v>
      </c>
      <c r="I48" s="14">
        <f t="shared" ca="1" si="14"/>
        <v>5.8436920447730412</v>
      </c>
      <c r="J48" s="14">
        <f t="shared" ca="1" si="14"/>
        <v>5.8533917800950981</v>
      </c>
      <c r="K48" s="14">
        <f t="shared" ca="1" si="14"/>
        <v>5.862021039212614</v>
      </c>
      <c r="L48" s="14">
        <f t="shared" ca="1" si="14"/>
        <v>5.8901053861661516</v>
      </c>
      <c r="M48" s="29"/>
      <c r="N48" s="29"/>
    </row>
    <row r="49" spans="1:26" x14ac:dyDescent="0.35">
      <c r="A49" t="str">
        <f t="shared" ref="A49:A53" si="15">IF(A7="","","    To "&amp;A7)</f>
        <v xml:space="preserve">    To Lower Basin</v>
      </c>
      <c r="B49" s="44">
        <f>7.5</f>
        <v>7.5</v>
      </c>
      <c r="C49" s="14">
        <f>IF(OR(C$27="",$A49=""),"",C28-C52/2-C51-C50/2+MIN($B49,C27-C50/2-C52/2))</f>
        <v>6.6901463910332852</v>
      </c>
      <c r="D49" s="14">
        <f t="shared" ref="D49:G49" ca="1" si="16">IF(OR(D$27="",$A49=""),"",D28-D52/2-D51-D50/2+MIN($B49,D27-D50/2-D52/2))</f>
        <v>6.6852361186557427</v>
      </c>
      <c r="E49" s="14">
        <f t="shared" ca="1" si="16"/>
        <v>6.6815647663501387</v>
      </c>
      <c r="F49" s="14">
        <f t="shared" ca="1" si="16"/>
        <v>6.676229848908573</v>
      </c>
      <c r="G49" s="14">
        <f t="shared" ca="1" si="16"/>
        <v>6.6708116680696641</v>
      </c>
      <c r="H49" s="14">
        <f ca="1">IF(OR(H$27="",$A49=""),"",H28-H52/2-H51-H50/2+MIN($B49,H27-H50/2-H52/2))</f>
        <v>6.6657989629735681</v>
      </c>
      <c r="I49" s="14">
        <f t="shared" ref="I49:L49" ca="1" si="17">IF(OR(I$27="",$A49=""),"",I28-I52/2-I51-I50/2+MIN($B49,I27-I50/2-I52/2))</f>
        <v>6.6592476003285945</v>
      </c>
      <c r="J49" s="14">
        <f t="shared" ca="1" si="17"/>
        <v>6.6689473356506532</v>
      </c>
      <c r="K49" s="14">
        <f t="shared" ca="1" si="17"/>
        <v>6.6775765947681673</v>
      </c>
      <c r="L49" s="14">
        <f t="shared" ca="1" si="17"/>
        <v>6.705660941721705</v>
      </c>
      <c r="M49" s="29"/>
      <c r="N49" s="29"/>
    </row>
    <row r="50" spans="1:26" x14ac:dyDescent="0.35">
      <c r="A50" t="str">
        <f t="shared" si="15"/>
        <v xml:space="preserve">    To Mexico</v>
      </c>
      <c r="B50" s="44" t="s">
        <v>204</v>
      </c>
      <c r="C50" s="14">
        <f>IF(OR(C$27="",$A50=""),"",IF(C$47&gt;SUM(C51:C52,C46),C46,C$47-SUM(C51:C52)))</f>
        <v>1.4583333333333333</v>
      </c>
      <c r="D50" s="14">
        <f t="shared" ref="D50:L50" ca="1" si="18">IF(OR(D$27="",$A50=""),"",IF(D$47&gt;SUM(D51:D52,D46),D46,D$47-SUM(D51:D52)))</f>
        <v>1.4583333333333333</v>
      </c>
      <c r="E50" s="14">
        <f t="shared" ca="1" si="18"/>
        <v>1.4543333333333333</v>
      </c>
      <c r="F50" s="14">
        <f t="shared" ca="1" si="18"/>
        <v>1.4543333333333333</v>
      </c>
      <c r="G50" s="14">
        <f t="shared" ca="1" si="18"/>
        <v>1.4543333333333333</v>
      </c>
      <c r="H50" s="14">
        <f t="shared" ca="1" si="18"/>
        <v>1.4543333333333333</v>
      </c>
      <c r="I50" s="14">
        <f t="shared" ca="1" si="18"/>
        <v>1.4543333333333333</v>
      </c>
      <c r="J50" s="14">
        <f t="shared" ca="1" si="18"/>
        <v>1.4543333333333333</v>
      </c>
      <c r="K50" s="14">
        <f t="shared" ca="1" si="18"/>
        <v>1.4543333333333333</v>
      </c>
      <c r="L50" s="14">
        <f t="shared" ca="1" si="18"/>
        <v>1.4123333333333332</v>
      </c>
      <c r="M50" s="29"/>
      <c r="N50" s="29"/>
    </row>
    <row r="51" spans="1:26" x14ac:dyDescent="0.35">
      <c r="A51" t="str">
        <f t="shared" si="15"/>
        <v xml:space="preserve">    To Mohave &amp; Havasu Evap &amp; ET</v>
      </c>
      <c r="B51" s="44">
        <v>0.6</v>
      </c>
      <c r="C51" s="14">
        <f>IF(OR(C$27="",$A51=""),"",IF(C$47&gt;C52+$B$51,$B51,C$47-C52))</f>
        <v>0.6</v>
      </c>
      <c r="D51" s="14">
        <f t="shared" ref="D51:L51" ca="1" si="19">IF(OR(D$27="",$A51=""),"",IF(D$47&gt;D52+$B$51,$B51,D$47-D52))</f>
        <v>0.6</v>
      </c>
      <c r="E51" s="14">
        <f t="shared" ca="1" si="19"/>
        <v>0.6</v>
      </c>
      <c r="F51" s="14">
        <f t="shared" ca="1" si="19"/>
        <v>0.6</v>
      </c>
      <c r="G51" s="14">
        <f t="shared" ca="1" si="19"/>
        <v>0.6</v>
      </c>
      <c r="H51" s="14">
        <f t="shared" ca="1" si="19"/>
        <v>0.6</v>
      </c>
      <c r="I51" s="14">
        <f t="shared" ca="1" si="19"/>
        <v>0.6</v>
      </c>
      <c r="J51" s="14">
        <f t="shared" ca="1" si="19"/>
        <v>0.6</v>
      </c>
      <c r="K51" s="14">
        <f t="shared" ca="1" si="19"/>
        <v>0.6</v>
      </c>
      <c r="L51" s="14">
        <f t="shared" ca="1" si="19"/>
        <v>0.6</v>
      </c>
      <c r="M51" s="29"/>
      <c r="N51" s="29"/>
    </row>
    <row r="52" spans="1:26" x14ac:dyDescent="0.35">
      <c r="A52" t="str">
        <f t="shared" si="15"/>
        <v xml:space="preserve">    To Shared, Reserve</v>
      </c>
      <c r="B52" s="44" t="s">
        <v>203</v>
      </c>
      <c r="C52" s="14">
        <f>IF(OR(C$27="",$A52=""),"",IF(C$47&gt;C44,C44,C$47))</f>
        <v>0.56137388460009618</v>
      </c>
      <c r="D52" s="14">
        <f t="shared" ref="D52:L52" ca="1" si="20">IF(OR(D$27="",$A52=""),"",IF(D$47&gt;D44,D44,D$47))</f>
        <v>0.57119442935518172</v>
      </c>
      <c r="E52" s="14">
        <f t="shared" ca="1" si="20"/>
        <v>0.58253713396638895</v>
      </c>
      <c r="F52" s="14">
        <f t="shared" ca="1" si="20"/>
        <v>0.59320696884952018</v>
      </c>
      <c r="G52" s="14">
        <f t="shared" ca="1" si="20"/>
        <v>0.60404333052733816</v>
      </c>
      <c r="H52" s="14">
        <f t="shared" ca="1" si="20"/>
        <v>0.61406874071953155</v>
      </c>
      <c r="I52" s="14">
        <f t="shared" ca="1" si="20"/>
        <v>0.62717146600947715</v>
      </c>
      <c r="J52" s="14">
        <f t="shared" ca="1" si="20"/>
        <v>0.60777199536536042</v>
      </c>
      <c r="K52" s="14">
        <f t="shared" ca="1" si="20"/>
        <v>0.59051347713033209</v>
      </c>
      <c r="L52" s="14">
        <f t="shared" ca="1" si="20"/>
        <v>0.57634478322325611</v>
      </c>
      <c r="M52" s="29"/>
      <c r="N52" s="29"/>
    </row>
    <row r="53" spans="1:26" x14ac:dyDescent="0.35">
      <c r="A53" t="str">
        <f t="shared" si="15"/>
        <v xml:space="preserve">    To Colorado River Delta</v>
      </c>
      <c r="B53" s="62">
        <f>0.21/9*(2/3)</f>
        <v>1.5555555555555553E-2</v>
      </c>
      <c r="C53" s="59">
        <f t="shared" ref="C53:L53" si="21">IF(OR(C$27="",$A53=""),"",IF(C$27&gt;$B53,$B53,C$27))</f>
        <v>1.5555555555555553E-2</v>
      </c>
      <c r="D53" s="59">
        <f t="shared" si="21"/>
        <v>1.5555555555555553E-2</v>
      </c>
      <c r="E53" s="59">
        <f t="shared" si="21"/>
        <v>1.5555555555555553E-2</v>
      </c>
      <c r="F53" s="59">
        <f t="shared" si="21"/>
        <v>1.5555555555555553E-2</v>
      </c>
      <c r="G53" s="59">
        <f t="shared" si="21"/>
        <v>1.5555555555555553E-2</v>
      </c>
      <c r="H53" s="59">
        <f t="shared" si="21"/>
        <v>1.5555555555555553E-2</v>
      </c>
      <c r="I53" s="59">
        <f t="shared" si="21"/>
        <v>1.5555555555555553E-2</v>
      </c>
      <c r="J53" s="59">
        <f t="shared" si="21"/>
        <v>1.5555555555555553E-2</v>
      </c>
      <c r="K53" s="59">
        <f t="shared" si="21"/>
        <v>1.5555555555555553E-2</v>
      </c>
      <c r="L53" s="59">
        <f t="shared" si="21"/>
        <v>1.5555555555555553E-2</v>
      </c>
      <c r="M53" s="29"/>
      <c r="N53" s="29"/>
    </row>
    <row r="54" spans="1:26" x14ac:dyDescent="0.35">
      <c r="C54"/>
    </row>
    <row r="55" spans="1:26" x14ac:dyDescent="0.35">
      <c r="A55" s="83" t="s">
        <v>196</v>
      </c>
      <c r="B55" s="84"/>
      <c r="C55" s="84"/>
      <c r="D55" s="84"/>
      <c r="E55" s="84"/>
      <c r="F55" s="84"/>
      <c r="G55" s="84"/>
      <c r="H55" s="84"/>
      <c r="I55" s="84"/>
      <c r="J55" s="84"/>
      <c r="K55" s="84"/>
      <c r="L55" s="84"/>
      <c r="M55" s="84"/>
      <c r="N55" s="84"/>
    </row>
    <row r="56" spans="1:26" x14ac:dyDescent="0.35">
      <c r="A56" s="80" t="str">
        <f>IF(A$6="[Unused]","",A6)</f>
        <v>Upper Basin</v>
      </c>
      <c r="B56" s="81"/>
      <c r="C56" s="81"/>
      <c r="D56" s="81"/>
      <c r="E56" s="81"/>
      <c r="F56" s="81"/>
      <c r="G56" s="81"/>
      <c r="H56" s="81"/>
      <c r="I56" s="81"/>
      <c r="J56" s="81"/>
      <c r="K56" s="81"/>
      <c r="L56" s="81"/>
      <c r="M56" s="82" t="s">
        <v>108</v>
      </c>
      <c r="N56" s="80" t="s">
        <v>187</v>
      </c>
    </row>
    <row r="57" spans="1:26" x14ac:dyDescent="0.35">
      <c r="A57" s="32" t="str">
        <f>IF(A56="[Unused]","","   Volume of Sales(+) and Purchases(-) [maf]")</f>
        <v xml:space="preserve">   Volume of Sales(+) and Purchases(-) [maf]</v>
      </c>
      <c r="C57" s="25"/>
      <c r="D57" s="25"/>
      <c r="E57" s="25"/>
      <c r="F57" s="25"/>
      <c r="G57" s="25"/>
      <c r="H57" s="25"/>
      <c r="I57" s="25"/>
      <c r="J57" s="25"/>
      <c r="K57" s="25"/>
      <c r="L57" s="25"/>
      <c r="M57" s="79">
        <f>SUM(C57:L57)</f>
        <v>0</v>
      </c>
      <c r="N57" t="str">
        <f>IF(A57="","","Add if multiple transactions, e.g.: 0.5 + 0.25")</f>
        <v>Add if multiple transactions, e.g.: 0.5 + 0.25</v>
      </c>
    </row>
    <row r="58" spans="1:26" x14ac:dyDescent="0.35">
      <c r="A58" s="32" t="str">
        <f>IF(A57="","","   Cash Intake(+) and Payments(-) [$ Mill]")</f>
        <v xml:space="preserve">   Cash Intake(+) and Payments(-) [$ Mill]</v>
      </c>
      <c r="C58" s="77"/>
      <c r="D58" s="77"/>
      <c r="E58" s="77"/>
      <c r="F58" s="77"/>
      <c r="G58" s="77"/>
      <c r="H58" s="77"/>
      <c r="I58" s="77"/>
      <c r="J58" s="77"/>
      <c r="K58" s="77"/>
      <c r="L58" s="77"/>
      <c r="M58" s="76">
        <f>SUM(C58:L58)</f>
        <v>0</v>
      </c>
      <c r="N58" t="str">
        <f>IF(A58="","","Add if multiple transactions, e.g.: $350*0.5 + $450*0.25")</f>
        <v>Add if multiple transactions, e.g.: $350*0.5 + $450*0.25</v>
      </c>
    </row>
    <row r="59" spans="1:26" x14ac:dyDescent="0.35">
      <c r="A59" s="32" t="str">
        <f>IF(A58="","","   Volume of all players (should be zero)")</f>
        <v xml:space="preserve">   Volume of all players (should be zero)</v>
      </c>
      <c r="C59" s="79">
        <f t="shared" ref="C59:M59" ca="1" si="22">IF(OR(C$27="",$A59=""),"",C$112)</f>
        <v>0</v>
      </c>
      <c r="D59" s="79">
        <f t="shared" ca="1" si="22"/>
        <v>0</v>
      </c>
      <c r="E59" s="79">
        <f t="shared" ca="1" si="22"/>
        <v>0</v>
      </c>
      <c r="F59" s="79">
        <f t="shared" ca="1" si="22"/>
        <v>0</v>
      </c>
      <c r="G59" s="79">
        <f t="shared" ca="1" si="22"/>
        <v>0</v>
      </c>
      <c r="H59" s="79">
        <f t="shared" ca="1" si="22"/>
        <v>0</v>
      </c>
      <c r="I59" s="79">
        <f t="shared" ca="1" si="22"/>
        <v>0</v>
      </c>
      <c r="J59" s="79">
        <f t="shared" ca="1" si="22"/>
        <v>0</v>
      </c>
      <c r="K59" s="79">
        <f t="shared" ca="1" si="22"/>
        <v>0</v>
      </c>
      <c r="L59" s="79">
        <f t="shared" ca="1" si="22"/>
        <v>0</v>
      </c>
      <c r="M59" t="str">
        <f t="shared" si="22"/>
        <v/>
      </c>
      <c r="N59" t="str">
        <f>IF(A59="","","If non-zero, players need to change amount(s)")</f>
        <v>If non-zero, players need to change amount(s)</v>
      </c>
    </row>
    <row r="60" spans="1:26" x14ac:dyDescent="0.35">
      <c r="A60" s="1" t="str">
        <f>IF(A58="","","   Available Water [maf]")</f>
        <v xml:space="preserve">   Available Water [maf]</v>
      </c>
      <c r="C60" s="14">
        <f>IF(OR(C$27="",$A60=""),"",C30+C48-C40-C57)</f>
        <v>8.702302739042576</v>
      </c>
      <c r="D60" s="14">
        <f t="shared" ref="D60:L60" ca="1" si="23">IF(OR(D$27="",$A60=""),"",D30+D48-D40-D57)</f>
        <v>8.1501169668020292</v>
      </c>
      <c r="E60" s="14">
        <f t="shared" ca="1" si="23"/>
        <v>7.6176052374703316</v>
      </c>
      <c r="F60" s="14">
        <f t="shared" ca="1" si="23"/>
        <v>7.103375066923471</v>
      </c>
      <c r="G60" s="14">
        <f t="shared" ca="1" si="23"/>
        <v>6.6073294162272402</v>
      </c>
      <c r="H60" s="14">
        <f t="shared" ca="1" si="23"/>
        <v>6.1300390338060833</v>
      </c>
      <c r="I60" s="14">
        <f t="shared" ca="1" si="23"/>
        <v>7.6693011126127768</v>
      </c>
      <c r="J60" s="14">
        <f t="shared" ca="1" si="23"/>
        <v>9.1407833705312456</v>
      </c>
      <c r="K60" s="14">
        <f t="shared" ca="1" si="23"/>
        <v>10.551095621359105</v>
      </c>
      <c r="L60" s="14">
        <f t="shared" ca="1" si="23"/>
        <v>11.925407082842257</v>
      </c>
      <c r="N60" t="str">
        <f>IF(A60="","","Available water = Account Balance + Available Inflow - Evaporation + Sales - Purchases")</f>
        <v>Available water = Account Balance + Available Inflow - Evaporation + Sales - Purchases</v>
      </c>
    </row>
    <row r="61" spans="1:26" x14ac:dyDescent="0.35">
      <c r="A61" s="1" t="str">
        <f>IF(A60="","","   Account Withdraw [maf] (less than available water)")</f>
        <v xml:space="preserve">   Account Withdraw [maf] (less than available water)</v>
      </c>
      <c r="C61" s="43">
        <f>IF(C60&gt;4.2,4.2,MAX(C60,0))</f>
        <v>4.2</v>
      </c>
      <c r="D61" s="43">
        <f t="shared" ref="D61:L61" ca="1" si="24">IF(D60&gt;4.2,4.2,MAX(D60,0))</f>
        <v>4.2</v>
      </c>
      <c r="E61" s="43">
        <f t="shared" ca="1" si="24"/>
        <v>4.2</v>
      </c>
      <c r="F61" s="43">
        <f t="shared" ca="1" si="24"/>
        <v>4.2</v>
      </c>
      <c r="G61" s="43">
        <f t="shared" ca="1" si="24"/>
        <v>4.2</v>
      </c>
      <c r="H61" s="43">
        <f t="shared" ca="1" si="24"/>
        <v>4.2</v>
      </c>
      <c r="I61" s="43">
        <f t="shared" ca="1" si="24"/>
        <v>4.2</v>
      </c>
      <c r="J61" s="43">
        <f t="shared" ca="1" si="24"/>
        <v>4.2</v>
      </c>
      <c r="K61" s="43">
        <f t="shared" ca="1" si="24"/>
        <v>4.2</v>
      </c>
      <c r="L61" s="43">
        <f t="shared" ca="1" si="24"/>
        <v>4.2</v>
      </c>
      <c r="N61" t="str">
        <f>IF(A61="","","Must be less than Available water")</f>
        <v>Must be less than Available water</v>
      </c>
    </row>
    <row r="62" spans="1:26" x14ac:dyDescent="0.35">
      <c r="A62" s="32" t="str">
        <f>IF(A61="","","   End of Year Balance [maf]")</f>
        <v xml:space="preserve">   End of Year Balance [maf]</v>
      </c>
      <c r="C62" s="78">
        <f>IF(OR(C$27="",$A62=""),"",C60-C61)</f>
        <v>4.5023027390425758</v>
      </c>
      <c r="D62" s="78">
        <f t="shared" ref="D62:L62" ca="1" si="25">IF(OR(D$27="",$A62=""),"",D60-D61)</f>
        <v>3.9501169668020291</v>
      </c>
      <c r="E62" s="78">
        <f t="shared" ca="1" si="25"/>
        <v>3.4176052374703314</v>
      </c>
      <c r="F62" s="78">
        <f t="shared" ca="1" si="25"/>
        <v>2.9033750669234708</v>
      </c>
      <c r="G62" s="78">
        <f t="shared" ca="1" si="25"/>
        <v>2.4073294162272401</v>
      </c>
      <c r="H62" s="78">
        <f t="shared" ca="1" si="25"/>
        <v>1.9300390338060831</v>
      </c>
      <c r="I62" s="78">
        <f t="shared" ca="1" si="25"/>
        <v>3.4693011126127766</v>
      </c>
      <c r="J62" s="78">
        <f t="shared" ca="1" si="25"/>
        <v>4.9407833705312454</v>
      </c>
      <c r="K62" s="78">
        <f t="shared" ca="1" si="25"/>
        <v>6.3510956213591045</v>
      </c>
      <c r="L62" s="78">
        <f t="shared" ca="1" si="25"/>
        <v>7.7254070828422572</v>
      </c>
      <c r="N62" t="str">
        <f>IF(A62="","","Available water - Account Withdraw")</f>
        <v>Available water - Account Withdraw</v>
      </c>
    </row>
    <row r="63" spans="1:26" x14ac:dyDescent="0.35">
      <c r="C63"/>
      <c r="S63" s="1" t="s">
        <v>199</v>
      </c>
    </row>
    <row r="64" spans="1:26" x14ac:dyDescent="0.35">
      <c r="A64" s="80" t="str">
        <f>IF(A$7="","[Unused]",A7)</f>
        <v>Lower Basin</v>
      </c>
      <c r="B64" s="81"/>
      <c r="C64" s="81"/>
      <c r="D64" s="81"/>
      <c r="E64" s="81"/>
      <c r="F64" s="81"/>
      <c r="G64" s="81"/>
      <c r="H64" s="81"/>
      <c r="I64" s="81"/>
      <c r="J64" s="81"/>
      <c r="K64" s="81"/>
      <c r="L64" s="81"/>
      <c r="M64" s="82" t="s">
        <v>108</v>
      </c>
      <c r="N64" s="80" t="s">
        <v>187</v>
      </c>
      <c r="S64" s="37" t="s">
        <v>129</v>
      </c>
      <c r="T64" s="37" t="s">
        <v>130</v>
      </c>
      <c r="U64" s="38" t="s">
        <v>131</v>
      </c>
      <c r="V64" s="38" t="s">
        <v>132</v>
      </c>
      <c r="W64" s="37" t="s">
        <v>133</v>
      </c>
      <c r="X64" s="37" t="s">
        <v>133</v>
      </c>
      <c r="Y64" s="51" t="s">
        <v>152</v>
      </c>
      <c r="Z64" s="51" t="s">
        <v>153</v>
      </c>
    </row>
    <row r="65" spans="1:26" x14ac:dyDescent="0.35">
      <c r="A65" s="32" t="str">
        <f>IF(A64="[Unused]","","   Volume of Sales(+) and Purchases(-) [maf]")</f>
        <v xml:space="preserve">   Volume of Sales(+) and Purchases(-) [maf]</v>
      </c>
      <c r="C65" s="25"/>
      <c r="D65" s="25"/>
      <c r="E65" s="25"/>
      <c r="F65" s="25"/>
      <c r="G65" s="25"/>
      <c r="H65" s="25"/>
      <c r="I65" s="25"/>
      <c r="J65" s="25"/>
      <c r="K65" s="25">
        <v>0.02</v>
      </c>
      <c r="L65" s="25"/>
      <c r="M65" s="79">
        <f>SUM(C65:L65)</f>
        <v>0.02</v>
      </c>
      <c r="N65" t="str">
        <f>IF(A65="","",N57)</f>
        <v>Add if multiple transactions, e.g.: 0.5 + 0.25</v>
      </c>
      <c r="S65">
        <v>955</v>
      </c>
      <c r="T65" s="29">
        <v>0</v>
      </c>
      <c r="U65" s="85">
        <f>U66</f>
        <v>1.2000000000000002</v>
      </c>
      <c r="V65" s="85">
        <f t="shared" ref="V65:Z65" si="26">V66</f>
        <v>0.15</v>
      </c>
      <c r="W65" s="85">
        <f t="shared" si="26"/>
        <v>1.325</v>
      </c>
      <c r="X65" s="85">
        <f t="shared" si="26"/>
        <v>1.35</v>
      </c>
      <c r="Y65" s="85">
        <f t="shared" si="26"/>
        <v>0.125</v>
      </c>
      <c r="Z65" s="6">
        <f t="shared" si="26"/>
        <v>1350000</v>
      </c>
    </row>
    <row r="66" spans="1:26" x14ac:dyDescent="0.35">
      <c r="A66" s="32" t="str">
        <f>IF(A65="","","   Cash Intake(+) and Payments(-) [$ Mill]")</f>
        <v xml:space="preserve">   Cash Intake(+) and Payments(-) [$ Mill]</v>
      </c>
      <c r="C66" s="77"/>
      <c r="D66" s="77"/>
      <c r="E66" s="77"/>
      <c r="F66" s="77"/>
      <c r="G66" s="77"/>
      <c r="H66" s="77"/>
      <c r="I66" s="77"/>
      <c r="J66" s="77"/>
      <c r="K66" s="77">
        <f>350*K65</f>
        <v>7</v>
      </c>
      <c r="L66" s="77"/>
      <c r="M66" s="76">
        <f>SUM(C66:L66)</f>
        <v>7</v>
      </c>
      <c r="N66" t="str">
        <f t="shared" ref="N66:N70" si="27">IF(A66="","",N58)</f>
        <v>Add if multiple transactions, e.g.: $350*0.5 + $450*0.25</v>
      </c>
      <c r="S66" s="39">
        <v>1025</v>
      </c>
      <c r="T66" s="40">
        <v>5.981122</v>
      </c>
      <c r="U66" s="41">
        <f>X66-V66</f>
        <v>1.2000000000000002</v>
      </c>
      <c r="V66" s="49">
        <v>0.15</v>
      </c>
      <c r="W66" s="41">
        <v>1.325</v>
      </c>
      <c r="X66" s="41">
        <f t="shared" ref="X66:X73" si="28">Z66/1000000</f>
        <v>1.35</v>
      </c>
      <c r="Y66" s="42">
        <v>0.125</v>
      </c>
      <c r="Z66" s="52">
        <v>1350000</v>
      </c>
    </row>
    <row r="67" spans="1:26" x14ac:dyDescent="0.35">
      <c r="A67" s="32" t="str">
        <f>IF(A66="","","   Volume all players (should be zero)")</f>
        <v xml:space="preserve">   Volume all players (should be zero)</v>
      </c>
      <c r="C67" s="79">
        <f t="shared" ref="C67:M67" ca="1" si="29">IF(OR(C$27="",$A67=""),"",C$112)</f>
        <v>0</v>
      </c>
      <c r="D67" s="79">
        <f t="shared" ca="1" si="29"/>
        <v>0</v>
      </c>
      <c r="E67" s="79">
        <f t="shared" ca="1" si="29"/>
        <v>0</v>
      </c>
      <c r="F67" s="79">
        <f t="shared" ca="1" si="29"/>
        <v>0</v>
      </c>
      <c r="G67" s="79">
        <f t="shared" ca="1" si="29"/>
        <v>0</v>
      </c>
      <c r="H67" s="79">
        <f t="shared" ca="1" si="29"/>
        <v>0</v>
      </c>
      <c r="I67" s="79">
        <f t="shared" ca="1" si="29"/>
        <v>0</v>
      </c>
      <c r="J67" s="79">
        <f t="shared" ca="1" si="29"/>
        <v>0</v>
      </c>
      <c r="K67" s="79">
        <f t="shared" ca="1" si="29"/>
        <v>0</v>
      </c>
      <c r="L67" s="79">
        <f t="shared" ca="1" si="29"/>
        <v>0</v>
      </c>
      <c r="M67" t="str">
        <f t="shared" si="29"/>
        <v/>
      </c>
      <c r="N67" t="str">
        <f t="shared" si="27"/>
        <v>If non-zero, players need to change amount(s)</v>
      </c>
      <c r="S67" s="39">
        <v>1030</v>
      </c>
      <c r="T67" s="40">
        <v>6.305377</v>
      </c>
      <c r="U67" s="41">
        <f t="shared" ref="U67:U73" si="30">X67-V67</f>
        <v>1.117</v>
      </c>
      <c r="V67" s="49">
        <v>0.10100000000000001</v>
      </c>
      <c r="W67" s="41">
        <v>1.1870000000000001</v>
      </c>
      <c r="X67" s="41">
        <f t="shared" si="28"/>
        <v>1.218</v>
      </c>
      <c r="Y67" s="42">
        <v>7.0000000000000007E-2</v>
      </c>
      <c r="Z67" s="52">
        <v>1218000</v>
      </c>
    </row>
    <row r="68" spans="1:26" x14ac:dyDescent="0.35">
      <c r="A68" s="1" t="str">
        <f>IF(A66="","","   Available Water [maf]")</f>
        <v xml:space="preserve">   Available Water [maf]</v>
      </c>
      <c r="C68" s="14">
        <f t="shared" ref="C68:L68" si="31">IF(OR(C$27="",$A68=""),"",C31+C49-C41-C65)</f>
        <v>10.745168465590837</v>
      </c>
      <c r="D68" s="14">
        <f t="shared" ca="1" si="31"/>
        <v>10.372294595610496</v>
      </c>
      <c r="E68" s="14">
        <f t="shared" ca="1" si="31"/>
        <v>10.010693849802765</v>
      </c>
      <c r="F68" s="14">
        <f t="shared" ca="1" si="31"/>
        <v>9.7387384232900747</v>
      </c>
      <c r="G68" s="14">
        <f t="shared" ca="1" si="31"/>
        <v>9.4725195494131835</v>
      </c>
      <c r="H68" s="14">
        <f t="shared" ca="1" si="31"/>
        <v>9.2128350538824506</v>
      </c>
      <c r="I68" s="14">
        <f t="shared" ca="1" si="31"/>
        <v>8.9576098769582515</v>
      </c>
      <c r="J68" s="14">
        <f t="shared" ca="1" si="31"/>
        <v>8.729533600706235</v>
      </c>
      <c r="K68" s="14">
        <f t="shared" ca="1" si="31"/>
        <v>8.5049438128504864</v>
      </c>
      <c r="L68" s="14">
        <f t="shared" ca="1" si="31"/>
        <v>8.3419849769522632</v>
      </c>
      <c r="N68" t="str">
        <f t="shared" si="27"/>
        <v>Available water = Account Balance + Available Inflow - Evaporation + Sales - Purchases</v>
      </c>
      <c r="S68" s="39">
        <v>1035</v>
      </c>
      <c r="T68" s="40">
        <v>6.6375080000000004</v>
      </c>
      <c r="U68" s="41">
        <f t="shared" si="30"/>
        <v>1.0669999999999999</v>
      </c>
      <c r="V68" s="49">
        <v>9.1999999999999998E-2</v>
      </c>
      <c r="W68" s="41">
        <v>1.137</v>
      </c>
      <c r="X68" s="41">
        <f t="shared" si="28"/>
        <v>1.159</v>
      </c>
      <c r="Y68" s="42">
        <v>7.0000000000000007E-2</v>
      </c>
      <c r="Z68" s="52">
        <v>1159000</v>
      </c>
    </row>
    <row r="69" spans="1:26" x14ac:dyDescent="0.35">
      <c r="A69" s="1" t="str">
        <f>IF(A68="","","   Account Withdraw [maf]")</f>
        <v xml:space="preserve">   Account Withdraw [maf]</v>
      </c>
      <c r="C69" s="43">
        <f>7.5-VLOOKUP(C31+C32+$C$24,$T$65:$U$74,2)</f>
        <v>6.867</v>
      </c>
      <c r="D69" s="43">
        <f t="shared" ref="D69:L69" ca="1" si="32">7.5-VLOOKUP(D31+D32+$C$24,$T$65:$U$74,2)</f>
        <v>6.867</v>
      </c>
      <c r="E69" s="43">
        <f t="shared" ca="1" si="32"/>
        <v>6.7830000000000004</v>
      </c>
      <c r="F69" s="43">
        <f t="shared" ca="1" si="32"/>
        <v>6.7830000000000004</v>
      </c>
      <c r="G69" s="43">
        <f t="shared" ca="1" si="32"/>
        <v>6.7830000000000004</v>
      </c>
      <c r="H69" s="43">
        <f t="shared" ca="1" si="32"/>
        <v>6.7830000000000004</v>
      </c>
      <c r="I69" s="43">
        <f t="shared" ca="1" si="32"/>
        <v>6.7830000000000004</v>
      </c>
      <c r="J69" s="43">
        <f t="shared" ca="1" si="32"/>
        <v>6.7830000000000004</v>
      </c>
      <c r="K69" s="43">
        <f t="shared" ca="1" si="32"/>
        <v>6.7830000000000004</v>
      </c>
      <c r="L69" s="43">
        <f t="shared" ca="1" si="32"/>
        <v>6.5330000000000004</v>
      </c>
      <c r="N69" t="str">
        <f t="shared" si="27"/>
        <v>Must be less than Available water</v>
      </c>
      <c r="S69" s="39">
        <v>1040</v>
      </c>
      <c r="T69" s="40">
        <v>6.977665</v>
      </c>
      <c r="U69" s="41">
        <f t="shared" si="30"/>
        <v>1.0169999999999999</v>
      </c>
      <c r="V69" s="49">
        <v>8.4000000000000005E-2</v>
      </c>
      <c r="W69" s="41">
        <v>1.087</v>
      </c>
      <c r="X69" s="41">
        <f t="shared" si="28"/>
        <v>1.101</v>
      </c>
      <c r="Y69" s="42">
        <v>7.0000000000000007E-2</v>
      </c>
      <c r="Z69" s="52">
        <v>1101000</v>
      </c>
    </row>
    <row r="70" spans="1:26" x14ac:dyDescent="0.35">
      <c r="A70" s="32" t="str">
        <f>IF(A69="","","   End of Year Balance [maf]")</f>
        <v xml:space="preserve">   End of Year Balance [maf]</v>
      </c>
      <c r="C70" s="78">
        <f>IF(OR(C$27="",$A70=""),"",C68-C69)</f>
        <v>3.8781684655908366</v>
      </c>
      <c r="D70" s="78">
        <f t="shared" ref="D70:L70" ca="1" si="33">IF(OR(D$27="",$A70=""),"",D68-D69)</f>
        <v>3.5052945956104962</v>
      </c>
      <c r="E70" s="78">
        <f t="shared" ca="1" si="33"/>
        <v>3.2276938498027645</v>
      </c>
      <c r="F70" s="78">
        <f t="shared" ca="1" si="33"/>
        <v>2.9557384232900743</v>
      </c>
      <c r="G70" s="78">
        <f t="shared" ca="1" si="33"/>
        <v>2.6895195494131832</v>
      </c>
      <c r="H70" s="78">
        <f t="shared" ca="1" si="33"/>
        <v>2.4298350538824502</v>
      </c>
      <c r="I70" s="78">
        <f t="shared" ca="1" si="33"/>
        <v>2.1746098769582511</v>
      </c>
      <c r="J70" s="78">
        <f t="shared" ca="1" si="33"/>
        <v>1.9465336007062346</v>
      </c>
      <c r="K70" s="78">
        <f t="shared" ca="1" si="33"/>
        <v>1.721943812850486</v>
      </c>
      <c r="L70" s="78">
        <f t="shared" ca="1" si="33"/>
        <v>1.8089849769522628</v>
      </c>
      <c r="N70" t="str">
        <f t="shared" si="27"/>
        <v>Available water - Account Withdraw</v>
      </c>
      <c r="S70" s="39">
        <v>1045</v>
      </c>
      <c r="T70" s="40">
        <v>7.3260519999999998</v>
      </c>
      <c r="U70" s="41">
        <f t="shared" si="30"/>
        <v>0.96699999999999997</v>
      </c>
      <c r="V70" s="49">
        <v>7.5999999999999998E-2</v>
      </c>
      <c r="W70" s="41">
        <v>1.0369999999999999</v>
      </c>
      <c r="X70" s="41">
        <f t="shared" si="28"/>
        <v>1.0429999999999999</v>
      </c>
      <c r="Y70" s="42">
        <v>7.0000000000000007E-2</v>
      </c>
      <c r="Z70" s="52">
        <v>1043000</v>
      </c>
    </row>
    <row r="71" spans="1:26" x14ac:dyDescent="0.35">
      <c r="C71"/>
      <c r="S71" s="39">
        <v>1050</v>
      </c>
      <c r="T71" s="40">
        <v>7.6828779999999997</v>
      </c>
      <c r="U71" s="41">
        <f t="shared" si="30"/>
        <v>0.71699999999999997</v>
      </c>
      <c r="V71" s="49">
        <v>3.4000000000000002E-2</v>
      </c>
      <c r="W71" s="41">
        <v>0.78700000000000003</v>
      </c>
      <c r="X71" s="41">
        <f t="shared" si="28"/>
        <v>0.751</v>
      </c>
      <c r="Y71" s="42">
        <v>7.0000000000000007E-2</v>
      </c>
      <c r="Z71" s="52">
        <v>751000</v>
      </c>
    </row>
    <row r="72" spans="1:26" x14ac:dyDescent="0.35">
      <c r="A72" s="80" t="str">
        <f>IF(A$8="","[Unused]",A8)</f>
        <v>Mexico</v>
      </c>
      <c r="B72" s="81"/>
      <c r="C72" s="81"/>
      <c r="D72" s="81"/>
      <c r="E72" s="81"/>
      <c r="F72" s="81"/>
      <c r="G72" s="81"/>
      <c r="H72" s="81"/>
      <c r="I72" s="81"/>
      <c r="J72" s="81"/>
      <c r="K72" s="81"/>
      <c r="L72" s="81"/>
      <c r="M72" s="82" t="s">
        <v>108</v>
      </c>
      <c r="N72" s="80" t="s">
        <v>187</v>
      </c>
      <c r="S72" s="39">
        <v>1075</v>
      </c>
      <c r="T72" s="40">
        <v>9.6009879999900001</v>
      </c>
      <c r="U72" s="41">
        <f t="shared" si="30"/>
        <v>0.63300000000000001</v>
      </c>
      <c r="V72" s="49">
        <v>0.03</v>
      </c>
      <c r="W72" s="41">
        <v>0.68300000000000005</v>
      </c>
      <c r="X72" s="41">
        <f t="shared" si="28"/>
        <v>0.66300000000000003</v>
      </c>
      <c r="Y72" s="42">
        <v>0.05</v>
      </c>
      <c r="Z72" s="52">
        <v>663000</v>
      </c>
    </row>
    <row r="73" spans="1:26" x14ac:dyDescent="0.35">
      <c r="A73" s="32" t="str">
        <f>IF(A72="[Unused]","","   Volume of Sales(+) and Purchases(-) [maf]")</f>
        <v xml:space="preserve">   Volume of Sales(+) and Purchases(-) [maf]</v>
      </c>
      <c r="C73" s="25"/>
      <c r="D73" s="25"/>
      <c r="E73" s="25">
        <v>1.6E-2</v>
      </c>
      <c r="F73" s="25"/>
      <c r="G73" s="25"/>
      <c r="H73" s="25">
        <f>E73</f>
        <v>1.6E-2</v>
      </c>
      <c r="I73" s="25"/>
      <c r="J73" s="25"/>
      <c r="K73" s="25">
        <v>1.6E-2</v>
      </c>
      <c r="L73" s="25"/>
      <c r="M73" s="79">
        <f>SUM(C73:L73)</f>
        <v>4.8000000000000001E-2</v>
      </c>
      <c r="N73" t="str">
        <f>IF(A73="","",N65)</f>
        <v>Add if multiple transactions, e.g.: 0.5 + 0.25</v>
      </c>
      <c r="S73" s="39">
        <v>1090</v>
      </c>
      <c r="T73" s="40">
        <v>10.857008</v>
      </c>
      <c r="U73" s="41">
        <f t="shared" si="30"/>
        <v>0.30000000000000004</v>
      </c>
      <c r="V73" s="49">
        <v>4.1000000000000002E-2</v>
      </c>
      <c r="W73" s="41">
        <v>0.3</v>
      </c>
      <c r="X73" s="41">
        <f t="shared" si="28"/>
        <v>0.34100000000000003</v>
      </c>
      <c r="Y73" s="38"/>
      <c r="Z73" s="52">
        <v>341000</v>
      </c>
    </row>
    <row r="74" spans="1:26" x14ac:dyDescent="0.35">
      <c r="A74" s="32" t="str">
        <f>IF(A73="","","   Cash Intake(+) and Payments(-) [$ Mill]")</f>
        <v xml:space="preserve">   Cash Intake(+) and Payments(-) [$ Mill]</v>
      </c>
      <c r="C74" s="77"/>
      <c r="D74" s="77"/>
      <c r="E74" s="77">
        <f>350*E73</f>
        <v>5.6000000000000005</v>
      </c>
      <c r="F74" s="77"/>
      <c r="G74" s="77"/>
      <c r="H74" s="77">
        <f>350*H73</f>
        <v>5.6000000000000005</v>
      </c>
      <c r="I74" s="77"/>
      <c r="J74" s="77"/>
      <c r="K74" s="77">
        <f>350*K73</f>
        <v>5.6000000000000005</v>
      </c>
      <c r="L74" s="77"/>
      <c r="M74" s="76">
        <f>SUM(C74:L74)</f>
        <v>16.8</v>
      </c>
      <c r="N74" t="str">
        <f t="shared" ref="N74:N78" si="34">IF(A74="","",N66)</f>
        <v>Add if multiple transactions, e.g.: $350*0.5 + $450*0.25</v>
      </c>
      <c r="S74" s="39">
        <v>1091</v>
      </c>
      <c r="T74" s="40">
        <v>10.9</v>
      </c>
      <c r="U74" s="41">
        <v>0</v>
      </c>
      <c r="V74" s="49">
        <v>0</v>
      </c>
      <c r="W74" s="41">
        <v>0</v>
      </c>
      <c r="X74" s="41">
        <v>0</v>
      </c>
      <c r="Y74" s="38"/>
      <c r="Z74" s="52">
        <v>0</v>
      </c>
    </row>
    <row r="75" spans="1:26" x14ac:dyDescent="0.35">
      <c r="A75" s="32" t="str">
        <f>IF(A74="","","   Volume all players (should be zero)")</f>
        <v xml:space="preserve">   Volume all players (should be zero)</v>
      </c>
      <c r="C75" s="79">
        <f t="shared" ref="C75:M75" ca="1" si="35">IF(OR(C$27="",$A75=""),"",C$112)</f>
        <v>0</v>
      </c>
      <c r="D75" s="79">
        <f t="shared" ca="1" si="35"/>
        <v>0</v>
      </c>
      <c r="E75" s="79">
        <f t="shared" ca="1" si="35"/>
        <v>0</v>
      </c>
      <c r="F75" s="79">
        <f t="shared" ca="1" si="35"/>
        <v>0</v>
      </c>
      <c r="G75" s="79">
        <f t="shared" ca="1" si="35"/>
        <v>0</v>
      </c>
      <c r="H75" s="79">
        <f t="shared" ca="1" si="35"/>
        <v>0</v>
      </c>
      <c r="I75" s="79">
        <f t="shared" ca="1" si="35"/>
        <v>0</v>
      </c>
      <c r="J75" s="79">
        <f t="shared" ca="1" si="35"/>
        <v>0</v>
      </c>
      <c r="K75" s="79">
        <f t="shared" ca="1" si="35"/>
        <v>0</v>
      </c>
      <c r="L75" s="79">
        <f t="shared" ca="1" si="35"/>
        <v>0</v>
      </c>
      <c r="M75" t="str">
        <f t="shared" si="35"/>
        <v/>
      </c>
      <c r="N75" t="str">
        <f t="shared" si="34"/>
        <v>If non-zero, players need to change amount(s)</v>
      </c>
    </row>
    <row r="76" spans="1:26" x14ac:dyDescent="0.35">
      <c r="A76" s="1" t="str">
        <f>IF(A74="","","   Available Water [maf]")</f>
        <v xml:space="preserve">   Available Water [maf]</v>
      </c>
      <c r="C76" s="14">
        <f t="shared" ref="C76:L76" si="36">IF(OR(C$27="",$A76=""),"",C32+C50-C42-C73)</f>
        <v>1.6239063098110584</v>
      </c>
      <c r="D76" s="14">
        <f t="shared" ca="1" si="36"/>
        <v>1.6157471362388294</v>
      </c>
      <c r="E76" s="14">
        <f t="shared" ca="1" si="36"/>
        <v>1.5878359942639748</v>
      </c>
      <c r="F76" s="14">
        <f ca="1">IF(OR(F$27="",$A76=""),"",F32+F50-F42-F73)</f>
        <v>1.5810036629334654</v>
      </c>
      <c r="G76" s="14">
        <f t="shared" ca="1" si="36"/>
        <v>1.5744025715232386</v>
      </c>
      <c r="H76" s="14">
        <f t="shared" ca="1" si="36"/>
        <v>1.5520416286102163</v>
      </c>
      <c r="I76" s="14">
        <f t="shared" ca="1" si="36"/>
        <v>1.5467548578394341</v>
      </c>
      <c r="J76" s="14">
        <f t="shared" ca="1" si="36"/>
        <v>1.5419088226248434</v>
      </c>
      <c r="K76" s="14">
        <f t="shared" ca="1" si="36"/>
        <v>1.5214472790499431</v>
      </c>
      <c r="L76" s="14">
        <f t="shared" ca="1" si="36"/>
        <v>1.4761101892653818</v>
      </c>
      <c r="N76" t="str">
        <f t="shared" si="34"/>
        <v>Available water = Account Balance + Available Inflow - Evaporation + Sales - Purchases</v>
      </c>
    </row>
    <row r="77" spans="1:26" x14ac:dyDescent="0.35">
      <c r="A77" s="1" t="str">
        <f>IF(A76="","","   Account Withdraw [maf]")</f>
        <v xml:space="preserve">   Account Withdraw [maf]</v>
      </c>
      <c r="C77" s="50">
        <f>C46</f>
        <v>1.4583333333333333</v>
      </c>
      <c r="D77" s="50">
        <f t="shared" ref="D77:L77" ca="1" si="37">D46</f>
        <v>1.4583333333333333</v>
      </c>
      <c r="E77" s="50">
        <f t="shared" ca="1" si="37"/>
        <v>1.4543333333333333</v>
      </c>
      <c r="F77" s="50">
        <f t="shared" ca="1" si="37"/>
        <v>1.4543333333333333</v>
      </c>
      <c r="G77" s="50">
        <f t="shared" ca="1" si="37"/>
        <v>1.4543333333333333</v>
      </c>
      <c r="H77" s="50">
        <f t="shared" ca="1" si="37"/>
        <v>1.4543333333333333</v>
      </c>
      <c r="I77" s="50">
        <f t="shared" ca="1" si="37"/>
        <v>1.4543333333333333</v>
      </c>
      <c r="J77" s="50">
        <f t="shared" ca="1" si="37"/>
        <v>1.4543333333333333</v>
      </c>
      <c r="K77" s="50">
        <f t="shared" ca="1" si="37"/>
        <v>1.4543333333333333</v>
      </c>
      <c r="L77" s="50">
        <f t="shared" ca="1" si="37"/>
        <v>1.4123333333333332</v>
      </c>
      <c r="N77" t="str">
        <f t="shared" si="34"/>
        <v>Must be less than Available water</v>
      </c>
    </row>
    <row r="78" spans="1:26" x14ac:dyDescent="0.35">
      <c r="A78" s="32" t="str">
        <f>IF(A77="","","   End of Year Balance [maf]")</f>
        <v xml:space="preserve">   End of Year Balance [maf]</v>
      </c>
      <c r="C78" s="78">
        <f>IF(OR(C$27="",$A78=""),"",C76-C77)</f>
        <v>0.16557297647772518</v>
      </c>
      <c r="D78" s="78">
        <f t="shared" ref="D78:L78" ca="1" si="38">IF(OR(D$27="",$A78=""),"",D76-D77)</f>
        <v>0.15741380290549611</v>
      </c>
      <c r="E78" s="78">
        <f t="shared" ca="1" si="38"/>
        <v>0.13350266093064156</v>
      </c>
      <c r="F78" s="78">
        <f t="shared" ca="1" si="38"/>
        <v>0.12667032960013214</v>
      </c>
      <c r="G78" s="78">
        <f t="shared" ca="1" si="38"/>
        <v>0.12006923818990534</v>
      </c>
      <c r="H78" s="78">
        <f t="shared" ca="1" si="38"/>
        <v>9.7708295276883073E-2</v>
      </c>
      <c r="I78" s="78">
        <f t="shared" ca="1" si="38"/>
        <v>9.2421524506100861E-2</v>
      </c>
      <c r="J78" s="78">
        <f t="shared" ca="1" si="38"/>
        <v>8.7575489291510156E-2</v>
      </c>
      <c r="K78" s="78">
        <f t="shared" ca="1" si="38"/>
        <v>6.7113945716609891E-2</v>
      </c>
      <c r="L78" s="78">
        <f t="shared" ca="1" si="38"/>
        <v>6.3776855932048626E-2</v>
      </c>
      <c r="N78" t="str">
        <f t="shared" si="34"/>
        <v>Available water - Account Withdraw</v>
      </c>
    </row>
    <row r="79" spans="1:26" x14ac:dyDescent="0.35">
      <c r="C79"/>
    </row>
    <row r="80" spans="1:26" x14ac:dyDescent="0.35">
      <c r="A80" s="80" t="str">
        <f>IF(A$9="","[Unused]",A9)</f>
        <v>Mohave &amp; Havasu Evap &amp; ET</v>
      </c>
      <c r="B80" s="81"/>
      <c r="C80" s="81"/>
      <c r="D80" s="81"/>
      <c r="E80" s="81"/>
      <c r="F80" s="81"/>
      <c r="G80" s="81"/>
      <c r="H80" s="81"/>
      <c r="I80" s="81"/>
      <c r="J80" s="81"/>
      <c r="K80" s="81"/>
      <c r="L80" s="81"/>
      <c r="M80" s="82" t="s">
        <v>108</v>
      </c>
      <c r="N80" s="80" t="s">
        <v>187</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9">
        <f>SUM(C81:L81)</f>
        <v>0</v>
      </c>
      <c r="N81" t="str">
        <f>IF(A81="","",N73)</f>
        <v>Add if multiple transactions, e.g.: 0.5 + 0.25</v>
      </c>
    </row>
    <row r="82" spans="1:14" x14ac:dyDescent="0.35">
      <c r="A82" s="32" t="str">
        <f>IF(A81="","","   Cash Intake(+) and Payments(-) [$ Mill]")</f>
        <v xml:space="preserve">   Cash Intake(+) and Payments(-) [$ Mill]</v>
      </c>
      <c r="C82" s="77"/>
      <c r="D82" s="77"/>
      <c r="E82" s="77"/>
      <c r="F82" s="77"/>
      <c r="G82" s="77"/>
      <c r="H82" s="77"/>
      <c r="I82" s="77"/>
      <c r="J82" s="77"/>
      <c r="K82" s="77"/>
      <c r="L82" s="77"/>
      <c r="M82" s="76">
        <f>SUM(C82:L82)</f>
        <v>0</v>
      </c>
      <c r="N82" t="str">
        <f t="shared" ref="N82:N86" si="39">IF(A82="","",N74)</f>
        <v>Add if multiple transactions, e.g.: $350*0.5 + $450*0.25</v>
      </c>
    </row>
    <row r="83" spans="1:14" x14ac:dyDescent="0.35">
      <c r="A83" s="32" t="str">
        <f>IF(A82="","","   Volume all players (should be zero)")</f>
        <v xml:space="preserve">   Volume all players (should be zero)</v>
      </c>
      <c r="C83" s="79">
        <f t="shared" ref="C83:M83" ca="1" si="40">IF(OR(C$27="",$A83=""),"",C$112)</f>
        <v>0</v>
      </c>
      <c r="D83" s="79">
        <f t="shared" ca="1" si="40"/>
        <v>0</v>
      </c>
      <c r="E83" s="79">
        <f t="shared" ca="1" si="40"/>
        <v>0</v>
      </c>
      <c r="F83" s="79">
        <f t="shared" ca="1" si="40"/>
        <v>0</v>
      </c>
      <c r="G83" s="79">
        <f t="shared" ca="1" si="40"/>
        <v>0</v>
      </c>
      <c r="H83" s="79">
        <f t="shared" ca="1" si="40"/>
        <v>0</v>
      </c>
      <c r="I83" s="79">
        <f t="shared" ca="1" si="40"/>
        <v>0</v>
      </c>
      <c r="J83" s="79">
        <f t="shared" ca="1" si="40"/>
        <v>0</v>
      </c>
      <c r="K83" s="79">
        <f t="shared" ca="1" si="40"/>
        <v>0</v>
      </c>
      <c r="L83" s="79">
        <f t="shared" ca="1" si="40"/>
        <v>0</v>
      </c>
      <c r="M83" t="str">
        <f t="shared" si="40"/>
        <v/>
      </c>
      <c r="N83" t="str">
        <f t="shared" si="39"/>
        <v>If non-zero, players need to change amount(s)</v>
      </c>
    </row>
    <row r="84" spans="1:14" x14ac:dyDescent="0.35">
      <c r="A84" s="1" t="str">
        <f>IF(A82="","","   Available Water [maf]")</f>
        <v xml:space="preserve">   Available Water [maf]</v>
      </c>
      <c r="C84" s="14">
        <f t="shared" ref="C84:L84" si="41">IF(OR(C$27="",$A84=""),"",C33+C51-C43-C81)</f>
        <v>0.6</v>
      </c>
      <c r="D84" s="14">
        <f t="shared" ca="1" si="41"/>
        <v>0.6</v>
      </c>
      <c r="E84" s="14">
        <f t="shared" ca="1" si="41"/>
        <v>0.6</v>
      </c>
      <c r="F84" s="14">
        <f t="shared" ca="1" si="41"/>
        <v>0.6</v>
      </c>
      <c r="G84" s="14">
        <f t="shared" ca="1" si="41"/>
        <v>0.6</v>
      </c>
      <c r="H84" s="14">
        <f t="shared" ca="1" si="41"/>
        <v>0.6</v>
      </c>
      <c r="I84" s="14">
        <f t="shared" ca="1" si="41"/>
        <v>0.6</v>
      </c>
      <c r="J84" s="14">
        <f t="shared" ca="1" si="41"/>
        <v>0.6</v>
      </c>
      <c r="K84" s="14">
        <f t="shared" ca="1" si="41"/>
        <v>0.6</v>
      </c>
      <c r="L84" s="14">
        <f t="shared" ca="1" si="41"/>
        <v>0.6</v>
      </c>
      <c r="N84" t="str">
        <f t="shared" si="39"/>
        <v>Available water = Account Balance + Available Inflow - Evaporation + Sales - Purchases</v>
      </c>
    </row>
    <row r="85" spans="1:14" x14ac:dyDescent="0.35">
      <c r="A85" s="1" t="str">
        <f>IF(A84="","","   Account Withdraw [maf]")</f>
        <v xml:space="preserve">   Account Withdraw [maf]</v>
      </c>
      <c r="C85" s="43">
        <f>C84</f>
        <v>0.6</v>
      </c>
      <c r="D85" s="43">
        <f t="shared" ref="D85:L85" ca="1" si="42">D84</f>
        <v>0.6</v>
      </c>
      <c r="E85" s="43">
        <f t="shared" ca="1" si="42"/>
        <v>0.6</v>
      </c>
      <c r="F85" s="43">
        <f t="shared" ca="1" si="42"/>
        <v>0.6</v>
      </c>
      <c r="G85" s="43">
        <f t="shared" ca="1" si="42"/>
        <v>0.6</v>
      </c>
      <c r="H85" s="43">
        <f t="shared" ca="1" si="42"/>
        <v>0.6</v>
      </c>
      <c r="I85" s="43">
        <f t="shared" ca="1" si="42"/>
        <v>0.6</v>
      </c>
      <c r="J85" s="43">
        <f t="shared" ca="1" si="42"/>
        <v>0.6</v>
      </c>
      <c r="K85" s="43">
        <f t="shared" ca="1" si="42"/>
        <v>0.6</v>
      </c>
      <c r="L85" s="43">
        <f t="shared" ca="1" si="42"/>
        <v>0.6</v>
      </c>
      <c r="N85" t="str">
        <f t="shared" si="39"/>
        <v>Must be less than Available water</v>
      </c>
    </row>
    <row r="86" spans="1:14" x14ac:dyDescent="0.35">
      <c r="A86" s="32" t="str">
        <f>IF(A85="","","   End of Year Balance [maf]")</f>
        <v xml:space="preserve">   End of Year Balance [maf]</v>
      </c>
      <c r="C86" s="78">
        <f>IF(OR(C$27="",$A86=""),"",C84-C85)</f>
        <v>0</v>
      </c>
      <c r="D86" s="78">
        <f t="shared" ref="D86:L86" ca="1" si="43">IF(OR(D$27="",$A86=""),"",D84-D85)</f>
        <v>0</v>
      </c>
      <c r="E86" s="78">
        <f t="shared" ca="1" si="43"/>
        <v>0</v>
      </c>
      <c r="F86" s="78">
        <f t="shared" ca="1" si="43"/>
        <v>0</v>
      </c>
      <c r="G86" s="78">
        <f t="shared" ca="1" si="43"/>
        <v>0</v>
      </c>
      <c r="H86" s="78">
        <f t="shared" ca="1" si="43"/>
        <v>0</v>
      </c>
      <c r="I86" s="78">
        <f t="shared" ca="1" si="43"/>
        <v>0</v>
      </c>
      <c r="J86" s="78">
        <f t="shared" ca="1" si="43"/>
        <v>0</v>
      </c>
      <c r="K86" s="78">
        <f t="shared" ca="1" si="43"/>
        <v>0</v>
      </c>
      <c r="L86" s="78">
        <f t="shared" ca="1" si="43"/>
        <v>0</v>
      </c>
      <c r="N86" t="str">
        <f t="shared" si="39"/>
        <v>Available water - Account Withdraw</v>
      </c>
    </row>
    <row r="87" spans="1:14" x14ac:dyDescent="0.35">
      <c r="C87"/>
    </row>
    <row r="88" spans="1:14" x14ac:dyDescent="0.35">
      <c r="A88" s="80" t="str">
        <f>IF(A$10="","[Unused]",A10)</f>
        <v>Shared, Reserve</v>
      </c>
      <c r="B88" s="81"/>
      <c r="C88" s="81"/>
      <c r="D88" s="81"/>
      <c r="E88" s="81"/>
      <c r="F88" s="81"/>
      <c r="G88" s="81"/>
      <c r="H88" s="81"/>
      <c r="I88" s="81"/>
      <c r="J88" s="81"/>
      <c r="K88" s="81"/>
      <c r="L88" s="81"/>
      <c r="M88" s="82" t="s">
        <v>108</v>
      </c>
      <c r="N88" s="80" t="s">
        <v>187</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9">
        <f>SUM(C89:L89)</f>
        <v>0</v>
      </c>
      <c r="N89" t="str">
        <f>IF(A89="","",N81)</f>
        <v>Add if multiple transactions, e.g.: 0.5 + 0.25</v>
      </c>
    </row>
    <row r="90" spans="1:14" x14ac:dyDescent="0.35">
      <c r="A90" s="32" t="str">
        <f>IF(A89="","","   Cash Intake(+) and Payments(-) [$ Mill]")</f>
        <v xml:space="preserve">   Cash Intake(+) and Payments(-) [$ Mill]</v>
      </c>
      <c r="C90" s="77"/>
      <c r="D90" s="77"/>
      <c r="E90" s="77"/>
      <c r="F90" s="77"/>
      <c r="G90" s="77"/>
      <c r="H90" s="77"/>
      <c r="I90" s="77"/>
      <c r="J90" s="77"/>
      <c r="K90" s="77"/>
      <c r="L90" s="77"/>
      <c r="M90" s="76">
        <f>SUM(C90:L90)</f>
        <v>0</v>
      </c>
      <c r="N90" t="str">
        <f t="shared" ref="N90:N94" si="44">IF(A90="","",N82)</f>
        <v>Add if multiple transactions, e.g.: $350*0.5 + $450*0.25</v>
      </c>
    </row>
    <row r="91" spans="1:14" x14ac:dyDescent="0.35">
      <c r="A91" s="32" t="str">
        <f>IF(A90="","","   Volume all players (should be zero)")</f>
        <v xml:space="preserve">   Volume all players (should be zero)</v>
      </c>
      <c r="C91" s="79">
        <f t="shared" ref="C91:M91" ca="1" si="45">IF(OR(C$27="",$A91=""),"",C$112)</f>
        <v>0</v>
      </c>
      <c r="D91" s="79">
        <f t="shared" ca="1" si="45"/>
        <v>0</v>
      </c>
      <c r="E91" s="79">
        <f t="shared" ca="1" si="45"/>
        <v>0</v>
      </c>
      <c r="F91" s="79">
        <f t="shared" ca="1" si="45"/>
        <v>0</v>
      </c>
      <c r="G91" s="79">
        <f t="shared" ca="1" si="45"/>
        <v>0</v>
      </c>
      <c r="H91" s="79">
        <f t="shared" ca="1" si="45"/>
        <v>0</v>
      </c>
      <c r="I91" s="79">
        <f t="shared" ca="1" si="45"/>
        <v>0</v>
      </c>
      <c r="J91" s="79">
        <f t="shared" ca="1" si="45"/>
        <v>0</v>
      </c>
      <c r="K91" s="79">
        <f t="shared" ca="1" si="45"/>
        <v>0</v>
      </c>
      <c r="L91" s="79">
        <f t="shared" ca="1" si="45"/>
        <v>0</v>
      </c>
      <c r="M91" t="str">
        <f t="shared" si="45"/>
        <v/>
      </c>
      <c r="N91" t="str">
        <f t="shared" si="44"/>
        <v>If non-zero, players need to change amount(s)</v>
      </c>
    </row>
    <row r="92" spans="1:14" x14ac:dyDescent="0.35">
      <c r="A92" s="1" t="str">
        <f>IF(A90="","","   Available Water [maf]")</f>
        <v xml:space="preserve">   Available Water [maf]</v>
      </c>
      <c r="C92" s="14">
        <f t="shared" ref="C92:L92" si="46">IF(OR(C$27="",$A92=""),"",C34+C52-C44-C89)</f>
        <v>11.59116925</v>
      </c>
      <c r="D92" s="14">
        <f t="shared" ca="1" si="46"/>
        <v>11.59116925</v>
      </c>
      <c r="E92" s="14">
        <f t="shared" ca="1" si="46"/>
        <v>11.59116925</v>
      </c>
      <c r="F92" s="14">
        <f t="shared" ca="1" si="46"/>
        <v>11.59116925</v>
      </c>
      <c r="G92" s="14">
        <f t="shared" ca="1" si="46"/>
        <v>11.59116925</v>
      </c>
      <c r="H92" s="14">
        <f t="shared" ca="1" si="46"/>
        <v>11.59116925</v>
      </c>
      <c r="I92" s="14">
        <f t="shared" ca="1" si="46"/>
        <v>11.59116925</v>
      </c>
      <c r="J92" s="14">
        <f t="shared" ca="1" si="46"/>
        <v>11.59116925</v>
      </c>
      <c r="K92" s="14">
        <f t="shared" ca="1" si="46"/>
        <v>11.59116925</v>
      </c>
      <c r="L92" s="14">
        <f t="shared" ca="1" si="46"/>
        <v>11.59116925</v>
      </c>
      <c r="N92" t="str">
        <f t="shared" si="44"/>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44"/>
        <v>Must be less than Available water</v>
      </c>
    </row>
    <row r="94" spans="1:14" x14ac:dyDescent="0.35">
      <c r="A94" s="32" t="str">
        <f>IF(A93="","","   End of Year Balance [maf]")</f>
        <v xml:space="preserve">   End of Year Balance [maf]</v>
      </c>
      <c r="C94" s="78">
        <f>IF(OR(C$27="",$A94=""),"",C92-C93)</f>
        <v>11.59116925</v>
      </c>
      <c r="D94" s="78">
        <f t="shared" ref="D94:L94" ca="1" si="47">IF(OR(D$27="",$A94=""),"",D92-D93)</f>
        <v>11.59116925</v>
      </c>
      <c r="E94" s="78">
        <f t="shared" ca="1" si="47"/>
        <v>11.59116925</v>
      </c>
      <c r="F94" s="78">
        <f t="shared" ca="1" si="47"/>
        <v>11.59116925</v>
      </c>
      <c r="G94" s="78">
        <f t="shared" ca="1" si="47"/>
        <v>11.59116925</v>
      </c>
      <c r="H94" s="78">
        <f t="shared" ca="1" si="47"/>
        <v>11.59116925</v>
      </c>
      <c r="I94" s="78">
        <f t="shared" ca="1" si="47"/>
        <v>11.59116925</v>
      </c>
      <c r="J94" s="78">
        <f t="shared" ca="1" si="47"/>
        <v>11.59116925</v>
      </c>
      <c r="K94" s="78">
        <f t="shared" ca="1" si="47"/>
        <v>11.59116925</v>
      </c>
      <c r="L94" s="78">
        <f t="shared" ca="1" si="47"/>
        <v>11.59116925</v>
      </c>
      <c r="N94" t="str">
        <f t="shared" si="44"/>
        <v>Available water - Account Withdraw</v>
      </c>
    </row>
    <row r="95" spans="1:14" x14ac:dyDescent="0.35">
      <c r="C95"/>
    </row>
    <row r="96" spans="1:14" x14ac:dyDescent="0.35">
      <c r="A96" s="80" t="str">
        <f>IF(A$11="","[Unused]",A11)</f>
        <v>Colorado River Delta</v>
      </c>
      <c r="B96" s="81"/>
      <c r="C96" s="81"/>
      <c r="D96" s="81"/>
      <c r="E96" s="81"/>
      <c r="F96" s="81"/>
      <c r="G96" s="81"/>
      <c r="H96" s="81"/>
      <c r="I96" s="81"/>
      <c r="J96" s="81"/>
      <c r="K96" s="81"/>
      <c r="L96" s="81"/>
      <c r="M96" s="82" t="s">
        <v>108</v>
      </c>
      <c r="N96" s="80" t="s">
        <v>187</v>
      </c>
    </row>
    <row r="97" spans="1:14" x14ac:dyDescent="0.35">
      <c r="A97" s="32" t="str">
        <f>IF(A96="[Unused]","","   Volume of Sales(+) and Purchases(-) [maf]")</f>
        <v xml:space="preserve">   Volume of Sales(+) and Purchases(-) [maf]</v>
      </c>
      <c r="C97" s="25"/>
      <c r="D97" s="25"/>
      <c r="E97" s="25">
        <f>-E73</f>
        <v>-1.6E-2</v>
      </c>
      <c r="F97" s="25"/>
      <c r="G97" s="25"/>
      <c r="H97" s="25">
        <f>E97</f>
        <v>-1.6E-2</v>
      </c>
      <c r="I97" s="25"/>
      <c r="J97" s="25"/>
      <c r="K97" s="25">
        <f>-(K65+K73)</f>
        <v>-3.6000000000000004E-2</v>
      </c>
      <c r="L97" s="25"/>
      <c r="M97" s="79">
        <f>SUM(C97:L97)</f>
        <v>-6.8000000000000005E-2</v>
      </c>
      <c r="N97" t="str">
        <f>IF(A97="","",N89)</f>
        <v>Add if multiple transactions, e.g.: 0.5 + 0.25</v>
      </c>
    </row>
    <row r="98" spans="1:14" x14ac:dyDescent="0.35">
      <c r="A98" s="32" t="str">
        <f>IF(A97="","","   Cash Intake(+) and Payments(-) [$ Mill]")</f>
        <v xml:space="preserve">   Cash Intake(+) and Payments(-) [$ Mill]</v>
      </c>
      <c r="C98" s="77"/>
      <c r="D98" s="77"/>
      <c r="E98" s="25">
        <f>-E74</f>
        <v>-5.6000000000000005</v>
      </c>
      <c r="F98" s="77"/>
      <c r="G98" s="77"/>
      <c r="H98" s="25">
        <f>E98</f>
        <v>-5.6000000000000005</v>
      </c>
      <c r="I98" s="77"/>
      <c r="J98" s="77"/>
      <c r="K98" s="77">
        <f>350*K97</f>
        <v>-12.600000000000001</v>
      </c>
      <c r="L98" s="77"/>
      <c r="M98" s="76">
        <f>SUM(C98:L98)</f>
        <v>-23.800000000000004</v>
      </c>
      <c r="N98" t="str">
        <f t="shared" ref="N98:N102" si="48">IF(A98="","",N90)</f>
        <v>Add if multiple transactions, e.g.: $350*0.5 + $450*0.25</v>
      </c>
    </row>
    <row r="99" spans="1:14" x14ac:dyDescent="0.35">
      <c r="A99" s="32" t="str">
        <f>IF(A98="","","   Volume all players (should be zero)")</f>
        <v xml:space="preserve">   Volume all players (should be zero)</v>
      </c>
      <c r="C99" s="79">
        <f t="shared" ref="C99:M99" ca="1" si="49">IF(OR(C$27="",$A99=""),"",C$112)</f>
        <v>0</v>
      </c>
      <c r="D99" s="79">
        <f t="shared" ca="1" si="49"/>
        <v>0</v>
      </c>
      <c r="E99" s="79">
        <f t="shared" ca="1" si="49"/>
        <v>0</v>
      </c>
      <c r="F99" s="79">
        <f t="shared" ca="1" si="49"/>
        <v>0</v>
      </c>
      <c r="G99" s="79">
        <f t="shared" ca="1" si="49"/>
        <v>0</v>
      </c>
      <c r="H99" s="79">
        <f t="shared" ca="1" si="49"/>
        <v>0</v>
      </c>
      <c r="I99" s="79">
        <f t="shared" ca="1" si="49"/>
        <v>0</v>
      </c>
      <c r="J99" s="79">
        <f t="shared" ca="1" si="49"/>
        <v>0</v>
      </c>
      <c r="K99" s="79">
        <f t="shared" ca="1" si="49"/>
        <v>0</v>
      </c>
      <c r="L99" s="79">
        <f t="shared" ca="1" si="49"/>
        <v>0</v>
      </c>
      <c r="M99" t="str">
        <f t="shared" si="49"/>
        <v/>
      </c>
      <c r="N99" t="str">
        <f t="shared" si="48"/>
        <v>If non-zero, players need to change amount(s)</v>
      </c>
    </row>
    <row r="100" spans="1:14" x14ac:dyDescent="0.35">
      <c r="A100" s="1" t="str">
        <f>IF(A98="","","   Available Water [maf]")</f>
        <v xml:space="preserve">   Available Water [maf]</v>
      </c>
      <c r="C100" s="58">
        <f t="shared" ref="C100:L100" si="50">IF(OR(C$27="",$A100=""),"",C35+C53-C45-C97)</f>
        <v>1.5555555555555553E-2</v>
      </c>
      <c r="D100" s="58">
        <f t="shared" ca="1" si="50"/>
        <v>3.0344558014765079E-2</v>
      </c>
      <c r="E100" s="58">
        <f t="shared" ca="1" si="50"/>
        <v>6.0375087796290278E-2</v>
      </c>
      <c r="F100" s="58">
        <f t="shared" ca="1" si="50"/>
        <v>1.5555555555555553E-2</v>
      </c>
      <c r="G100" s="58">
        <f t="shared" ca="1" si="50"/>
        <v>3.0300474204400352E-2</v>
      </c>
      <c r="H100" s="58">
        <f t="shared" ca="1" si="50"/>
        <v>6.0250792735408031E-2</v>
      </c>
      <c r="I100" s="58">
        <f t="shared" ca="1" si="50"/>
        <v>1.5555555555555553E-2</v>
      </c>
      <c r="J100" s="58">
        <f t="shared" ca="1" si="50"/>
        <v>3.0295470269785567E-2</v>
      </c>
      <c r="K100" s="58">
        <f t="shared" ca="1" si="50"/>
        <v>8.0307619538670799E-2</v>
      </c>
      <c r="L100" s="58">
        <f t="shared" ca="1" si="50"/>
        <v>1.5847879405542442E-2</v>
      </c>
      <c r="N100" t="str">
        <f t="shared" si="48"/>
        <v>Available water = Account Balance + Available Inflow - Evaporation + Sales - Purchases</v>
      </c>
    </row>
    <row r="101" spans="1:14" x14ac:dyDescent="0.35">
      <c r="A101" s="1" t="str">
        <f>IF(A100="","","   Account Withdraw [maf]")</f>
        <v xml:space="preserve">   Account Withdraw [maf]</v>
      </c>
      <c r="C101" s="43"/>
      <c r="D101" s="43"/>
      <c r="E101" s="50">
        <f ca="1">E100</f>
        <v>6.0375087796290278E-2</v>
      </c>
      <c r="F101" s="43"/>
      <c r="G101" s="43"/>
      <c r="H101" s="50">
        <f ca="1">H100</f>
        <v>6.0250792735408031E-2</v>
      </c>
      <c r="I101" s="43"/>
      <c r="J101" s="43"/>
      <c r="K101" s="50">
        <v>0.08</v>
      </c>
      <c r="L101" s="43"/>
      <c r="N101" t="str">
        <f t="shared" si="48"/>
        <v>Must be less than Available water</v>
      </c>
    </row>
    <row r="102" spans="1:14" x14ac:dyDescent="0.35">
      <c r="A102" s="32" t="str">
        <f>IF(A101="","","   End of Year Balance [maf]")</f>
        <v xml:space="preserve">   End of Year Balance [maf]</v>
      </c>
      <c r="C102" s="78">
        <f>IF(OR(C$27="",$A102=""),"",C100-C101)</f>
        <v>1.5555555555555553E-2</v>
      </c>
      <c r="D102" s="78">
        <f t="shared" ref="D102:L102" ca="1" si="51">IF(OR(D$27="",$A102=""),"",D100-D101)</f>
        <v>3.0344558014765079E-2</v>
      </c>
      <c r="E102" s="78">
        <f t="shared" ca="1" si="51"/>
        <v>0</v>
      </c>
      <c r="F102" s="78">
        <f t="shared" ca="1" si="51"/>
        <v>1.5555555555555553E-2</v>
      </c>
      <c r="G102" s="78">
        <f t="shared" ca="1" si="51"/>
        <v>3.0300474204400352E-2</v>
      </c>
      <c r="H102" s="78">
        <f t="shared" ca="1" si="51"/>
        <v>0</v>
      </c>
      <c r="I102" s="78">
        <f t="shared" ca="1" si="51"/>
        <v>1.5555555555555553E-2</v>
      </c>
      <c r="J102" s="78">
        <f t="shared" ca="1" si="51"/>
        <v>3.0295470269785567E-2</v>
      </c>
      <c r="K102" s="78">
        <f t="shared" ca="1" si="51"/>
        <v>3.076195386707975E-4</v>
      </c>
      <c r="L102" s="78">
        <f t="shared" ca="1" si="51"/>
        <v>1.5847879405542442E-2</v>
      </c>
      <c r="N102" t="str">
        <f t="shared" si="48"/>
        <v>Available water - Account Withdraw</v>
      </c>
    </row>
    <row r="103" spans="1:14" x14ac:dyDescent="0.35">
      <c r="C103"/>
    </row>
    <row r="104" spans="1:14" x14ac:dyDescent="0.35">
      <c r="A104" s="83" t="s">
        <v>198</v>
      </c>
      <c r="B104" s="84"/>
      <c r="C104" s="84"/>
      <c r="D104" s="84"/>
      <c r="E104" s="84"/>
      <c r="F104" s="84"/>
      <c r="G104" s="84"/>
      <c r="H104" s="84"/>
      <c r="I104" s="84"/>
      <c r="J104" s="84"/>
      <c r="K104" s="84"/>
      <c r="L104" s="84"/>
      <c r="M104" s="84"/>
      <c r="N104" s="84"/>
    </row>
    <row r="105" spans="1:14" x14ac:dyDescent="0.35">
      <c r="A105" s="1" t="s">
        <v>159</v>
      </c>
      <c r="C105"/>
      <c r="M105" t="s">
        <v>197</v>
      </c>
      <c r="N105" t="s">
        <v>160</v>
      </c>
    </row>
    <row r="106" spans="1:14" x14ac:dyDescent="0.35">
      <c r="A106" t="str">
        <f t="shared" ref="A106:A111" si="52">IF(A6="","","    "&amp;A6)</f>
        <v xml:space="preserve">    Upper Basin</v>
      </c>
      <c r="B106" s="1"/>
      <c r="C106" s="79">
        <f t="shared" ref="C106:L111" ca="1" si="53">IF(OR(C$27="",$A106=""),"",OFFSET(C$57,8*(ROW(B106)-ROW(B$106)),0))</f>
        <v>0</v>
      </c>
      <c r="D106" s="79">
        <f t="shared" ca="1" si="53"/>
        <v>0</v>
      </c>
      <c r="E106" s="79">
        <f t="shared" ca="1" si="53"/>
        <v>0</v>
      </c>
      <c r="F106" s="79">
        <f t="shared" ca="1" si="53"/>
        <v>0</v>
      </c>
      <c r="G106" s="79">
        <f t="shared" ca="1" si="53"/>
        <v>0</v>
      </c>
      <c r="H106" s="79">
        <f t="shared" ca="1" si="53"/>
        <v>0</v>
      </c>
      <c r="I106" s="79">
        <f t="shared" ca="1" si="53"/>
        <v>0</v>
      </c>
      <c r="J106" s="79">
        <f t="shared" ca="1" si="53"/>
        <v>0</v>
      </c>
      <c r="K106" s="79">
        <f t="shared" ca="1" si="53"/>
        <v>0</v>
      </c>
      <c r="L106" s="79">
        <f t="shared" ca="1" si="53"/>
        <v>0</v>
      </c>
      <c r="M106" s="79">
        <f ca="1">IF(OR($A106=""),"",SUM(C106:L106))</f>
        <v>0</v>
      </c>
      <c r="N106" s="76">
        <f>IF(OR($A106=""),"",M58)</f>
        <v>0</v>
      </c>
    </row>
    <row r="107" spans="1:14" x14ac:dyDescent="0.35">
      <c r="A107" t="str">
        <f t="shared" si="52"/>
        <v xml:space="preserve">    Lower Basin</v>
      </c>
      <c r="B107" s="1"/>
      <c r="C107" s="79">
        <f t="shared" ca="1" si="53"/>
        <v>0</v>
      </c>
      <c r="D107" s="79">
        <f t="shared" ca="1" si="53"/>
        <v>0</v>
      </c>
      <c r="E107" s="79">
        <f t="shared" ca="1" si="53"/>
        <v>0</v>
      </c>
      <c r="F107" s="79">
        <f t="shared" ca="1" si="53"/>
        <v>0</v>
      </c>
      <c r="G107" s="79">
        <f t="shared" ca="1" si="53"/>
        <v>0</v>
      </c>
      <c r="H107" s="79">
        <f t="shared" ca="1" si="53"/>
        <v>0</v>
      </c>
      <c r="I107" s="79">
        <f t="shared" ca="1" si="53"/>
        <v>0</v>
      </c>
      <c r="J107" s="79">
        <f t="shared" ca="1" si="53"/>
        <v>0</v>
      </c>
      <c r="K107" s="79">
        <f t="shared" ca="1" si="53"/>
        <v>0.02</v>
      </c>
      <c r="L107" s="79">
        <f t="shared" ca="1" si="53"/>
        <v>0</v>
      </c>
      <c r="M107" s="79">
        <f t="shared" ref="M107:M111" ca="1" si="54">IF(OR($A107=""),"",SUM(C107:L107))</f>
        <v>0.02</v>
      </c>
      <c r="N107" s="76">
        <f>IF(OR($A107=""),"",M66)</f>
        <v>7</v>
      </c>
    </row>
    <row r="108" spans="1:14" x14ac:dyDescent="0.35">
      <c r="A108" t="str">
        <f t="shared" si="52"/>
        <v xml:space="preserve">    Mexico</v>
      </c>
      <c r="B108" s="1"/>
      <c r="C108" s="79">
        <f t="shared" ca="1" si="53"/>
        <v>0</v>
      </c>
      <c r="D108" s="79">
        <f t="shared" ca="1" si="53"/>
        <v>0</v>
      </c>
      <c r="E108" s="79">
        <f t="shared" ca="1" si="53"/>
        <v>1.6E-2</v>
      </c>
      <c r="F108" s="79">
        <f t="shared" ca="1" si="53"/>
        <v>0</v>
      </c>
      <c r="G108" s="79">
        <f t="shared" ca="1" si="53"/>
        <v>0</v>
      </c>
      <c r="H108" s="79">
        <f t="shared" ca="1" si="53"/>
        <v>1.6E-2</v>
      </c>
      <c r="I108" s="79">
        <f t="shared" ca="1" si="53"/>
        <v>0</v>
      </c>
      <c r="J108" s="79">
        <f t="shared" ca="1" si="53"/>
        <v>0</v>
      </c>
      <c r="K108" s="79">
        <f t="shared" ca="1" si="53"/>
        <v>1.6E-2</v>
      </c>
      <c r="L108" s="79">
        <f t="shared" ca="1" si="53"/>
        <v>0</v>
      </c>
      <c r="M108" s="79">
        <f t="shared" ca="1" si="54"/>
        <v>4.8000000000000001E-2</v>
      </c>
      <c r="N108" s="76">
        <f>IF(OR($A108=""),"",M74)</f>
        <v>16.8</v>
      </c>
    </row>
    <row r="109" spans="1:14" x14ac:dyDescent="0.35">
      <c r="A109" t="str">
        <f t="shared" si="52"/>
        <v xml:space="preserve">    Mohave &amp; Havasu Evap &amp; ET</v>
      </c>
      <c r="B109" s="1"/>
      <c r="C109" s="79">
        <f t="shared" ca="1" si="53"/>
        <v>0</v>
      </c>
      <c r="D109" s="79">
        <f t="shared" ca="1" si="53"/>
        <v>0</v>
      </c>
      <c r="E109" s="79">
        <f t="shared" ca="1" si="53"/>
        <v>0</v>
      </c>
      <c r="F109" s="79">
        <f t="shared" ca="1" si="53"/>
        <v>0</v>
      </c>
      <c r="G109" s="79">
        <f t="shared" ca="1" si="53"/>
        <v>0</v>
      </c>
      <c r="H109" s="79">
        <f t="shared" ca="1" si="53"/>
        <v>0</v>
      </c>
      <c r="I109" s="79">
        <f t="shared" ca="1" si="53"/>
        <v>0</v>
      </c>
      <c r="J109" s="79">
        <f t="shared" ca="1" si="53"/>
        <v>0</v>
      </c>
      <c r="K109" s="79">
        <f t="shared" ca="1" si="53"/>
        <v>0</v>
      </c>
      <c r="L109" s="79">
        <f t="shared" ca="1" si="53"/>
        <v>0</v>
      </c>
      <c r="M109" s="79">
        <f t="shared" ca="1" si="54"/>
        <v>0</v>
      </c>
      <c r="N109" s="76">
        <f>IF(OR($A109=""),"",M82)</f>
        <v>0</v>
      </c>
    </row>
    <row r="110" spans="1:14" x14ac:dyDescent="0.35">
      <c r="A110" t="str">
        <f t="shared" si="52"/>
        <v xml:space="preserve">    Shared, Reserve</v>
      </c>
      <c r="B110" s="1"/>
      <c r="C110" s="79">
        <f t="shared" ca="1" si="53"/>
        <v>0</v>
      </c>
      <c r="D110" s="79">
        <f t="shared" ca="1" si="53"/>
        <v>0</v>
      </c>
      <c r="E110" s="79">
        <f t="shared" ca="1" si="53"/>
        <v>0</v>
      </c>
      <c r="F110" s="79">
        <f t="shared" ca="1" si="53"/>
        <v>0</v>
      </c>
      <c r="G110" s="79">
        <f t="shared" ca="1" si="53"/>
        <v>0</v>
      </c>
      <c r="H110" s="79">
        <f t="shared" ca="1" si="53"/>
        <v>0</v>
      </c>
      <c r="I110" s="79">
        <f t="shared" ca="1" si="53"/>
        <v>0</v>
      </c>
      <c r="J110" s="79">
        <f t="shared" ca="1" si="53"/>
        <v>0</v>
      </c>
      <c r="K110" s="79">
        <f t="shared" ca="1" si="53"/>
        <v>0</v>
      </c>
      <c r="L110" s="79">
        <f t="shared" ca="1" si="53"/>
        <v>0</v>
      </c>
      <c r="M110" s="79">
        <f t="shared" ca="1" si="54"/>
        <v>0</v>
      </c>
      <c r="N110" s="76">
        <f>IF(OR($A110=""),"",M90)</f>
        <v>0</v>
      </c>
    </row>
    <row r="111" spans="1:14" x14ac:dyDescent="0.35">
      <c r="A111" t="str">
        <f t="shared" si="52"/>
        <v xml:space="preserve">    Colorado River Delta</v>
      </c>
      <c r="B111" s="1"/>
      <c r="C111" s="79">
        <f t="shared" ca="1" si="53"/>
        <v>0</v>
      </c>
      <c r="D111" s="79">
        <f t="shared" ca="1" si="53"/>
        <v>0</v>
      </c>
      <c r="E111" s="79">
        <f t="shared" ca="1" si="53"/>
        <v>-1.6E-2</v>
      </c>
      <c r="F111" s="79">
        <f t="shared" ca="1" si="53"/>
        <v>0</v>
      </c>
      <c r="G111" s="79">
        <f t="shared" ca="1" si="53"/>
        <v>0</v>
      </c>
      <c r="H111" s="79">
        <f t="shared" ca="1" si="53"/>
        <v>-1.6E-2</v>
      </c>
      <c r="I111" s="79">
        <f t="shared" ca="1" si="53"/>
        <v>0</v>
      </c>
      <c r="J111" s="79">
        <f t="shared" ca="1" si="53"/>
        <v>0</v>
      </c>
      <c r="K111" s="79">
        <f t="shared" ca="1" si="53"/>
        <v>-3.6000000000000004E-2</v>
      </c>
      <c r="L111" s="79">
        <f t="shared" ca="1" si="53"/>
        <v>0</v>
      </c>
      <c r="M111" s="79">
        <f t="shared" ca="1" si="54"/>
        <v>-6.8000000000000005E-2</v>
      </c>
      <c r="N111" s="76">
        <f>IF(OR($A111=""),"",M98)</f>
        <v>-23.800000000000004</v>
      </c>
    </row>
    <row r="112" spans="1:14" x14ac:dyDescent="0.35">
      <c r="A112" t="s">
        <v>154</v>
      </c>
      <c r="B112" s="1"/>
      <c r="C112" s="53">
        <f ca="1">IF(C$27&lt;&gt;"",SUM(C106:C111),"")</f>
        <v>0</v>
      </c>
      <c r="D112" s="53">
        <f t="shared" ref="D112:L112" ca="1" si="55">IF(D$27&lt;&gt;"",SUM(D106:D111),"")</f>
        <v>0</v>
      </c>
      <c r="E112" s="53">
        <f t="shared" ca="1" si="55"/>
        <v>0</v>
      </c>
      <c r="F112" s="53">
        <f t="shared" ca="1" si="55"/>
        <v>0</v>
      </c>
      <c r="G112" s="53">
        <f t="shared" ca="1" si="55"/>
        <v>0</v>
      </c>
      <c r="H112" s="53">
        <f t="shared" ca="1" si="55"/>
        <v>0</v>
      </c>
      <c r="I112" s="53">
        <f t="shared" ca="1" si="55"/>
        <v>0</v>
      </c>
      <c r="J112" s="53">
        <f t="shared" ca="1" si="55"/>
        <v>0</v>
      </c>
      <c r="K112" s="53">
        <f t="shared" ca="1" si="55"/>
        <v>0</v>
      </c>
      <c r="L112" s="53">
        <f t="shared" ca="1" si="55"/>
        <v>0</v>
      </c>
      <c r="M112" s="34"/>
    </row>
    <row r="113" spans="1:12" x14ac:dyDescent="0.35">
      <c r="A113" s="1" t="s">
        <v>135</v>
      </c>
      <c r="B113" s="1"/>
      <c r="C113" s="61"/>
      <c r="D113" s="2"/>
      <c r="E113" s="61"/>
      <c r="F113" s="2"/>
      <c r="G113" s="2"/>
      <c r="H113" s="2"/>
      <c r="I113" s="2"/>
      <c r="J113" s="2"/>
      <c r="K113" s="2"/>
      <c r="L113" s="2"/>
    </row>
    <row r="114" spans="1:12" x14ac:dyDescent="0.35">
      <c r="A114" t="str">
        <f>IF(A6="","","    "&amp;A6&amp;" - Consumptive Use and Headwaters Losses")</f>
        <v xml:space="preserve">    Upper Basin - Consumptive Use and Headwaters Losses</v>
      </c>
      <c r="C114" s="79">
        <f t="shared" ref="C114:L119" ca="1" si="56">IF(OR(C$27="",$A114=""),"",OFFSET(C$61,8*(ROW(B114)-ROW(B$114)),0))</f>
        <v>4.2</v>
      </c>
      <c r="D114" s="79">
        <f t="shared" ca="1" si="56"/>
        <v>4.2</v>
      </c>
      <c r="E114" s="79">
        <f t="shared" ca="1" si="56"/>
        <v>4.2</v>
      </c>
      <c r="F114" s="79">
        <f t="shared" ca="1" si="56"/>
        <v>4.2</v>
      </c>
      <c r="G114" s="79">
        <f t="shared" ca="1" si="56"/>
        <v>4.2</v>
      </c>
      <c r="H114" s="79">
        <f t="shared" ca="1" si="56"/>
        <v>4.2</v>
      </c>
      <c r="I114" s="79">
        <f t="shared" ca="1" si="56"/>
        <v>4.2</v>
      </c>
      <c r="J114" s="79">
        <f t="shared" ca="1" si="56"/>
        <v>4.2</v>
      </c>
      <c r="K114" s="79">
        <f t="shared" ca="1" si="56"/>
        <v>4.2</v>
      </c>
      <c r="L114" s="79">
        <f t="shared" ca="1" si="56"/>
        <v>4.2</v>
      </c>
    </row>
    <row r="115" spans="1:12" x14ac:dyDescent="0.35">
      <c r="A115" t="str">
        <f>IF(A7="","","    "&amp;A7&amp;" - Release from Mead")</f>
        <v xml:space="preserve">    Lower Basin - Release from Mead</v>
      </c>
      <c r="C115" s="79">
        <f t="shared" ca="1" si="56"/>
        <v>6.867</v>
      </c>
      <c r="D115" s="79">
        <f t="shared" ca="1" si="56"/>
        <v>6.867</v>
      </c>
      <c r="E115" s="79">
        <f t="shared" ca="1" si="56"/>
        <v>6.7830000000000004</v>
      </c>
      <c r="F115" s="79">
        <f t="shared" ca="1" si="56"/>
        <v>6.7830000000000004</v>
      </c>
      <c r="G115" s="79">
        <f t="shared" ca="1" si="56"/>
        <v>6.7830000000000004</v>
      </c>
      <c r="H115" s="79">
        <f t="shared" ca="1" si="56"/>
        <v>6.7830000000000004</v>
      </c>
      <c r="I115" s="79">
        <f t="shared" ca="1" si="56"/>
        <v>6.7830000000000004</v>
      </c>
      <c r="J115" s="79">
        <f t="shared" ca="1" si="56"/>
        <v>6.7830000000000004</v>
      </c>
      <c r="K115" s="79">
        <f t="shared" ca="1" si="56"/>
        <v>6.7830000000000004</v>
      </c>
      <c r="L115" s="79">
        <f t="shared" ca="1" si="56"/>
        <v>6.5330000000000004</v>
      </c>
    </row>
    <row r="116" spans="1:12" x14ac:dyDescent="0.35">
      <c r="A116" t="str">
        <f>IF(A8="","","    "&amp;A8&amp;" - Release from Mead")</f>
        <v xml:space="preserve">    Mexico - Release from Mead</v>
      </c>
      <c r="C116" s="79">
        <f t="shared" ca="1" si="56"/>
        <v>1.4583333333333333</v>
      </c>
      <c r="D116" s="79">
        <f t="shared" ca="1" si="56"/>
        <v>1.4583333333333333</v>
      </c>
      <c r="E116" s="79">
        <f t="shared" ca="1" si="56"/>
        <v>1.4543333333333333</v>
      </c>
      <c r="F116" s="79">
        <f t="shared" ca="1" si="56"/>
        <v>1.4543333333333333</v>
      </c>
      <c r="G116" s="79">
        <f t="shared" ca="1" si="56"/>
        <v>1.4543333333333333</v>
      </c>
      <c r="H116" s="79">
        <f t="shared" ca="1" si="56"/>
        <v>1.4543333333333333</v>
      </c>
      <c r="I116" s="79">
        <f t="shared" ca="1" si="56"/>
        <v>1.4543333333333333</v>
      </c>
      <c r="J116" s="79">
        <f t="shared" ca="1" si="56"/>
        <v>1.4543333333333333</v>
      </c>
      <c r="K116" s="79">
        <f t="shared" ca="1" si="56"/>
        <v>1.4543333333333333</v>
      </c>
      <c r="L116" s="79">
        <f t="shared" ca="1" si="56"/>
        <v>1.4123333333333332</v>
      </c>
    </row>
    <row r="117" spans="1:12" x14ac:dyDescent="0.35">
      <c r="A117" t="str">
        <f>IF(A9="","","    "&amp;A9&amp;" - Release from Mead")</f>
        <v xml:space="preserve">    Mohave &amp; Havasu Evap &amp; ET - Release from Mead</v>
      </c>
      <c r="C117" s="79">
        <f t="shared" ca="1" si="56"/>
        <v>0.6</v>
      </c>
      <c r="D117" s="79">
        <f t="shared" ca="1" si="56"/>
        <v>0.6</v>
      </c>
      <c r="E117" s="79">
        <f t="shared" ca="1" si="56"/>
        <v>0.6</v>
      </c>
      <c r="F117" s="79">
        <f t="shared" ca="1" si="56"/>
        <v>0.6</v>
      </c>
      <c r="G117" s="79">
        <f t="shared" ca="1" si="56"/>
        <v>0.6</v>
      </c>
      <c r="H117" s="79">
        <f t="shared" ca="1" si="56"/>
        <v>0.6</v>
      </c>
      <c r="I117" s="79">
        <f t="shared" ca="1" si="56"/>
        <v>0.6</v>
      </c>
      <c r="J117" s="79">
        <f t="shared" ca="1" si="56"/>
        <v>0.6</v>
      </c>
      <c r="K117" s="79">
        <f t="shared" ca="1" si="56"/>
        <v>0.6</v>
      </c>
      <c r="L117" s="79">
        <f t="shared" ca="1" si="56"/>
        <v>0.6</v>
      </c>
    </row>
    <row r="118" spans="1:12" x14ac:dyDescent="0.35">
      <c r="A118" t="str">
        <f>IF(A10="","","    "&amp;A10&amp;" - Release from Mead")</f>
        <v xml:space="preserve">    Shared, Reserve - Release from Mead</v>
      </c>
      <c r="C118" s="79">
        <f t="shared" ca="1" si="56"/>
        <v>0</v>
      </c>
      <c r="D118" s="79">
        <f t="shared" ca="1" si="56"/>
        <v>0</v>
      </c>
      <c r="E118" s="79">
        <f t="shared" ca="1" si="56"/>
        <v>0</v>
      </c>
      <c r="F118" s="79">
        <f t="shared" ca="1" si="56"/>
        <v>0</v>
      </c>
      <c r="G118" s="79">
        <f t="shared" ca="1" si="56"/>
        <v>0</v>
      </c>
      <c r="H118" s="79">
        <f t="shared" ca="1" si="56"/>
        <v>0</v>
      </c>
      <c r="I118" s="79">
        <f t="shared" ca="1" si="56"/>
        <v>0</v>
      </c>
      <c r="J118" s="79">
        <f t="shared" ca="1" si="56"/>
        <v>0</v>
      </c>
      <c r="K118" s="79">
        <f t="shared" ca="1" si="56"/>
        <v>0</v>
      </c>
      <c r="L118" s="79">
        <f t="shared" ca="1" si="56"/>
        <v>0</v>
      </c>
    </row>
    <row r="119" spans="1:12" x14ac:dyDescent="0.35">
      <c r="A119" t="str">
        <f>IF(A11="","","    "&amp;A11&amp;" - Release from Mead")</f>
        <v xml:space="preserve">    Colorado River Delta - Release from Mead</v>
      </c>
      <c r="C119" s="79">
        <f t="shared" ca="1" si="56"/>
        <v>0</v>
      </c>
      <c r="D119" s="79">
        <f t="shared" ca="1" si="56"/>
        <v>0</v>
      </c>
      <c r="E119" s="79">
        <f t="shared" ca="1" si="56"/>
        <v>6.0375087796290278E-2</v>
      </c>
      <c r="F119" s="79">
        <f t="shared" ca="1" si="56"/>
        <v>0</v>
      </c>
      <c r="G119" s="79">
        <f t="shared" ca="1" si="56"/>
        <v>0</v>
      </c>
      <c r="H119" s="79">
        <f t="shared" ca="1" si="56"/>
        <v>6.0250792735408031E-2</v>
      </c>
      <c r="I119" s="79">
        <f t="shared" ca="1" si="56"/>
        <v>0</v>
      </c>
      <c r="J119" s="79">
        <f t="shared" ca="1" si="56"/>
        <v>0</v>
      </c>
      <c r="K119" s="79">
        <f t="shared" ca="1" si="56"/>
        <v>0.08</v>
      </c>
      <c r="L119" s="79">
        <f t="shared" ca="1" si="56"/>
        <v>0</v>
      </c>
    </row>
    <row r="120" spans="1:12" x14ac:dyDescent="0.35">
      <c r="A120" s="1" t="s">
        <v>140</v>
      </c>
      <c r="B120" s="1"/>
      <c r="D120" s="2"/>
      <c r="E120" s="2"/>
      <c r="F120" s="2"/>
      <c r="G120" s="2"/>
      <c r="H120" s="2"/>
      <c r="I120" s="2"/>
      <c r="J120" s="2"/>
      <c r="K120" s="2"/>
      <c r="L120" s="2"/>
    </row>
    <row r="121" spans="1:12" x14ac:dyDescent="0.35">
      <c r="A121" t="str">
        <f t="shared" ref="A121:A126" si="57">IF(A6="","","    "&amp;A6)</f>
        <v xml:space="preserve">    Upper Basin</v>
      </c>
      <c r="C121" s="79">
        <f t="shared" ref="C121:L126" ca="1" si="58">IF(OR(C$27="",$A121=""),"",OFFSET(C$62,8*(ROW(B121)-ROW(B$121)),0))</f>
        <v>4.5023027390425758</v>
      </c>
      <c r="D121" s="79">
        <f t="shared" ca="1" si="58"/>
        <v>3.9501169668020291</v>
      </c>
      <c r="E121" s="79">
        <f t="shared" ca="1" si="58"/>
        <v>3.4176052374703314</v>
      </c>
      <c r="F121" s="79">
        <f t="shared" ca="1" si="58"/>
        <v>2.9033750669234708</v>
      </c>
      <c r="G121" s="79">
        <f t="shared" ca="1" si="58"/>
        <v>2.4073294162272401</v>
      </c>
      <c r="H121" s="79">
        <f t="shared" ca="1" si="58"/>
        <v>1.9300390338060831</v>
      </c>
      <c r="I121" s="79">
        <f t="shared" ca="1" si="58"/>
        <v>3.4693011126127766</v>
      </c>
      <c r="J121" s="79">
        <f t="shared" ca="1" si="58"/>
        <v>4.9407833705312454</v>
      </c>
      <c r="K121" s="79">
        <f t="shared" ca="1" si="58"/>
        <v>6.3510956213591045</v>
      </c>
      <c r="L121" s="79">
        <f t="shared" ca="1" si="58"/>
        <v>7.7254070828422572</v>
      </c>
    </row>
    <row r="122" spans="1:12" x14ac:dyDescent="0.35">
      <c r="A122" t="str">
        <f t="shared" si="57"/>
        <v xml:space="preserve">    Lower Basin</v>
      </c>
      <c r="C122" s="79">
        <f t="shared" ca="1" si="58"/>
        <v>3.8781684655908366</v>
      </c>
      <c r="D122" s="79">
        <f t="shared" ca="1" si="58"/>
        <v>3.5052945956104962</v>
      </c>
      <c r="E122" s="79">
        <f t="shared" ca="1" si="58"/>
        <v>3.2276938498027645</v>
      </c>
      <c r="F122" s="79">
        <f t="shared" ca="1" si="58"/>
        <v>2.9557384232900743</v>
      </c>
      <c r="G122" s="79">
        <f t="shared" ca="1" si="58"/>
        <v>2.6895195494131832</v>
      </c>
      <c r="H122" s="79">
        <f t="shared" ca="1" si="58"/>
        <v>2.4298350538824502</v>
      </c>
      <c r="I122" s="79">
        <f t="shared" ca="1" si="58"/>
        <v>2.1746098769582511</v>
      </c>
      <c r="J122" s="79">
        <f t="shared" ca="1" si="58"/>
        <v>1.9465336007062346</v>
      </c>
      <c r="K122" s="79">
        <f t="shared" ca="1" si="58"/>
        <v>1.721943812850486</v>
      </c>
      <c r="L122" s="79">
        <f t="shared" ca="1" si="58"/>
        <v>1.8089849769522628</v>
      </c>
    </row>
    <row r="123" spans="1:12" x14ac:dyDescent="0.35">
      <c r="A123" t="str">
        <f t="shared" si="57"/>
        <v xml:space="preserve">    Mexico</v>
      </c>
      <c r="C123" s="79">
        <f t="shared" ca="1" si="58"/>
        <v>0.16557297647772518</v>
      </c>
      <c r="D123" s="79">
        <f t="shared" ca="1" si="58"/>
        <v>0.15741380290549611</v>
      </c>
      <c r="E123" s="79">
        <f t="shared" ca="1" si="58"/>
        <v>0.13350266093064156</v>
      </c>
      <c r="F123" s="79">
        <f t="shared" ca="1" si="58"/>
        <v>0.12667032960013214</v>
      </c>
      <c r="G123" s="79">
        <f t="shared" ca="1" si="58"/>
        <v>0.12006923818990534</v>
      </c>
      <c r="H123" s="79">
        <f t="shared" ca="1" si="58"/>
        <v>9.7708295276883073E-2</v>
      </c>
      <c r="I123" s="79">
        <f t="shared" ca="1" si="58"/>
        <v>9.2421524506100861E-2</v>
      </c>
      <c r="J123" s="79">
        <f t="shared" ca="1" si="58"/>
        <v>8.7575489291510156E-2</v>
      </c>
      <c r="K123" s="79">
        <f t="shared" ca="1" si="58"/>
        <v>6.7113945716609891E-2</v>
      </c>
      <c r="L123" s="79">
        <f t="shared" ca="1" si="58"/>
        <v>6.3776855932048626E-2</v>
      </c>
    </row>
    <row r="124" spans="1:12" x14ac:dyDescent="0.35">
      <c r="A124" t="str">
        <f t="shared" si="57"/>
        <v xml:space="preserve">    Mohave &amp; Havasu Evap &amp; ET</v>
      </c>
      <c r="C124" s="79">
        <f t="shared" ca="1" si="58"/>
        <v>0</v>
      </c>
      <c r="D124" s="79">
        <f t="shared" ca="1" si="58"/>
        <v>0</v>
      </c>
      <c r="E124" s="79">
        <f t="shared" ca="1" si="58"/>
        <v>0</v>
      </c>
      <c r="F124" s="79">
        <f t="shared" ca="1" si="58"/>
        <v>0</v>
      </c>
      <c r="G124" s="79">
        <f t="shared" ca="1" si="58"/>
        <v>0</v>
      </c>
      <c r="H124" s="79">
        <f t="shared" ca="1" si="58"/>
        <v>0</v>
      </c>
      <c r="I124" s="79">
        <f t="shared" ca="1" si="58"/>
        <v>0</v>
      </c>
      <c r="J124" s="79">
        <f t="shared" ca="1" si="58"/>
        <v>0</v>
      </c>
      <c r="K124" s="79">
        <f t="shared" ca="1" si="58"/>
        <v>0</v>
      </c>
      <c r="L124" s="79">
        <f t="shared" ca="1" si="58"/>
        <v>0</v>
      </c>
    </row>
    <row r="125" spans="1:12" x14ac:dyDescent="0.35">
      <c r="A125" t="str">
        <f t="shared" si="57"/>
        <v xml:space="preserve">    Shared, Reserve</v>
      </c>
      <c r="C125" s="79">
        <f t="shared" ca="1" si="58"/>
        <v>11.59116925</v>
      </c>
      <c r="D125" s="79">
        <f t="shared" ca="1" si="58"/>
        <v>11.59116925</v>
      </c>
      <c r="E125" s="79">
        <f t="shared" ca="1" si="58"/>
        <v>11.59116925</v>
      </c>
      <c r="F125" s="79">
        <f t="shared" ca="1" si="58"/>
        <v>11.59116925</v>
      </c>
      <c r="G125" s="79">
        <f t="shared" ca="1" si="58"/>
        <v>11.59116925</v>
      </c>
      <c r="H125" s="79">
        <f t="shared" ca="1" si="58"/>
        <v>11.59116925</v>
      </c>
      <c r="I125" s="79">
        <f t="shared" ca="1" si="58"/>
        <v>11.59116925</v>
      </c>
      <c r="J125" s="79">
        <f t="shared" ca="1" si="58"/>
        <v>11.59116925</v>
      </c>
      <c r="K125" s="79">
        <f t="shared" ca="1" si="58"/>
        <v>11.59116925</v>
      </c>
      <c r="L125" s="79">
        <f t="shared" ca="1" si="58"/>
        <v>11.59116925</v>
      </c>
    </row>
    <row r="126" spans="1:12" x14ac:dyDescent="0.35">
      <c r="A126" t="str">
        <f t="shared" si="57"/>
        <v xml:space="preserve">    Colorado River Delta</v>
      </c>
      <c r="C126" s="79">
        <f t="shared" ca="1" si="58"/>
        <v>1.5555555555555553E-2</v>
      </c>
      <c r="D126" s="79">
        <f t="shared" ca="1" si="58"/>
        <v>3.0344558014765079E-2</v>
      </c>
      <c r="E126" s="79">
        <f t="shared" ca="1" si="58"/>
        <v>0</v>
      </c>
      <c r="F126" s="79">
        <f t="shared" ca="1" si="58"/>
        <v>1.5555555555555553E-2</v>
      </c>
      <c r="G126" s="79">
        <f t="shared" ca="1" si="58"/>
        <v>3.0300474204400352E-2</v>
      </c>
      <c r="H126" s="79">
        <f t="shared" ca="1" si="58"/>
        <v>0</v>
      </c>
      <c r="I126" s="79">
        <f t="shared" ca="1" si="58"/>
        <v>1.5555555555555553E-2</v>
      </c>
      <c r="J126" s="79">
        <f t="shared" ca="1" si="58"/>
        <v>3.0295470269785567E-2</v>
      </c>
      <c r="K126" s="79">
        <f t="shared" ca="1" si="58"/>
        <v>3.076195386707975E-4</v>
      </c>
      <c r="L126" s="79">
        <f t="shared" ca="1" si="58"/>
        <v>1.5847879405542442E-2</v>
      </c>
    </row>
    <row r="127" spans="1:12" x14ac:dyDescent="0.35">
      <c r="A127" s="1" t="s">
        <v>124</v>
      </c>
      <c r="B127" s="1"/>
      <c r="C127" s="14">
        <f ca="1">IF(C$27&lt;&gt;"",SUM(C121:C126),"")</f>
        <v>20.15276898666669</v>
      </c>
      <c r="D127" s="14">
        <f t="shared" ref="D127:L127" ca="1" si="59">IF(D$27&lt;&gt;"",SUM(D121:D126),"")</f>
        <v>19.234339173332785</v>
      </c>
      <c r="E127" s="14">
        <f t="shared" ca="1" si="59"/>
        <v>18.369970998203737</v>
      </c>
      <c r="F127" s="14">
        <f t="shared" ca="1" si="59"/>
        <v>17.592508625369231</v>
      </c>
      <c r="G127" s="14">
        <f t="shared" ca="1" si="59"/>
        <v>16.838387928034727</v>
      </c>
      <c r="H127" s="14">
        <f t="shared" ca="1" si="59"/>
        <v>16.048751632965416</v>
      </c>
      <c r="I127" s="14">
        <f t="shared" ca="1" si="59"/>
        <v>17.343057319632681</v>
      </c>
      <c r="J127" s="14">
        <f t="shared" ca="1" si="59"/>
        <v>18.596357180798776</v>
      </c>
      <c r="K127" s="14">
        <f t="shared" ca="1" si="59"/>
        <v>19.731630249464871</v>
      </c>
      <c r="L127" s="14">
        <f t="shared" ca="1" si="59"/>
        <v>21.205186045132109</v>
      </c>
    </row>
    <row r="128" spans="1:12" x14ac:dyDescent="0.35">
      <c r="A128" s="1" t="s">
        <v>219</v>
      </c>
      <c r="B128" s="1"/>
      <c r="C128" s="89">
        <v>0.5</v>
      </c>
      <c r="D128" s="89">
        <v>0.5</v>
      </c>
      <c r="E128" s="89">
        <v>0.5</v>
      </c>
      <c r="F128" s="89">
        <v>0.5</v>
      </c>
      <c r="G128" s="89">
        <v>0.5</v>
      </c>
      <c r="H128" s="89">
        <v>0.5</v>
      </c>
      <c r="I128" s="89">
        <v>0.5</v>
      </c>
      <c r="J128" s="89">
        <v>0.5</v>
      </c>
      <c r="K128" s="89">
        <v>0.5</v>
      </c>
      <c r="L128" s="89">
        <v>0.5</v>
      </c>
    </row>
    <row r="129" spans="1:14" x14ac:dyDescent="0.35">
      <c r="A129" s="1" t="s">
        <v>215</v>
      </c>
      <c r="B129" s="1"/>
      <c r="C129" s="14">
        <f ca="1">IF(C27="","",C$128*C$127)</f>
        <v>10.076384493333345</v>
      </c>
      <c r="D129" s="14">
        <f t="shared" ref="D129:L129" ca="1" si="60">IF(D27="","",D$128*D$127)</f>
        <v>9.6171695866663924</v>
      </c>
      <c r="E129" s="14">
        <f t="shared" ca="1" si="60"/>
        <v>9.1849854991018685</v>
      </c>
      <c r="F129" s="14">
        <f t="shared" ca="1" si="60"/>
        <v>8.7962543126846153</v>
      </c>
      <c r="G129" s="14">
        <f t="shared" ca="1" si="60"/>
        <v>8.4191939640173636</v>
      </c>
      <c r="H129" s="14">
        <f t="shared" ca="1" si="60"/>
        <v>8.0243758164827081</v>
      </c>
      <c r="I129" s="14">
        <f t="shared" ca="1" si="60"/>
        <v>8.6715286598163406</v>
      </c>
      <c r="J129" s="14">
        <f t="shared" ca="1" si="60"/>
        <v>9.2981785903993881</v>
      </c>
      <c r="K129" s="14">
        <f t="shared" ca="1" si="60"/>
        <v>9.8658151247324355</v>
      </c>
      <c r="L129" s="14">
        <f t="shared" ca="1" si="60"/>
        <v>10.602593022566055</v>
      </c>
    </row>
    <row r="130" spans="1:14" x14ac:dyDescent="0.35">
      <c r="A130" s="1" t="s">
        <v>216</v>
      </c>
      <c r="B130" s="1"/>
      <c r="C130" s="14">
        <f ca="1">IF(C28="","",(1-C$128)*C$127)</f>
        <v>10.076384493333345</v>
      </c>
      <c r="D130" s="14">
        <f t="shared" ref="D130:L130" ca="1" si="61">IF(D28="","",(1-D$128)*D$127)</f>
        <v>9.6171695866663924</v>
      </c>
      <c r="E130" s="14">
        <f t="shared" ca="1" si="61"/>
        <v>9.1849854991018685</v>
      </c>
      <c r="F130" s="14">
        <f t="shared" ca="1" si="61"/>
        <v>8.7962543126846153</v>
      </c>
      <c r="G130" s="14">
        <f t="shared" ca="1" si="61"/>
        <v>8.4191939640173636</v>
      </c>
      <c r="H130" s="14">
        <f t="shared" ca="1" si="61"/>
        <v>8.0243758164827081</v>
      </c>
      <c r="I130" s="14">
        <f t="shared" ca="1" si="61"/>
        <v>8.6715286598163406</v>
      </c>
      <c r="J130" s="14">
        <f t="shared" ca="1" si="61"/>
        <v>9.2981785903993881</v>
      </c>
      <c r="K130" s="14">
        <f t="shared" ca="1" si="61"/>
        <v>9.8658151247324355</v>
      </c>
      <c r="L130" s="14">
        <f t="shared" ca="1" si="61"/>
        <v>10.602593022566055</v>
      </c>
    </row>
    <row r="131" spans="1:14" x14ac:dyDescent="0.35">
      <c r="A131" s="1" t="s">
        <v>146</v>
      </c>
      <c r="B131" s="1"/>
      <c r="C131" s="14">
        <f ca="1">IF(C$27&lt;&gt;"",-C129+C37+C27-C61-VLOOKUP(C37*1000000,'Powell-Elevation-Area'!$B$5:$D$689,3)*$B$21/1000000,"")</f>
        <v>8.6007186266660831</v>
      </c>
      <c r="D131" s="14">
        <f ca="1">IF(D$27&lt;&gt;"",-D129+D37+D27-D61-VLOOKUP(D37*1000000,'Powell-Elevation-Area'!$B$5:$D$689,3)*$B$21/1000000,"")</f>
        <v>8.1641658266663804</v>
      </c>
      <c r="E131" s="14">
        <f ca="1">IF(E$27&lt;&gt;"",-E129+E37+E27-E61-VLOOKUP(E37*1000000,'Powell-Elevation-Area'!$B$5:$D$689,3)*$B$21/1000000,"")</f>
        <v>8.1524123335650973</v>
      </c>
      <c r="F131" s="14">
        <f ca="1">IF(F$27&lt;&gt;"",-F129+F37+F27-F61-VLOOKUP(F37*1000000,'Powell-Elevation-Area'!$B$5:$D$689,3)*$B$21/1000000,"")</f>
        <v>8.1242221469166793</v>
      </c>
      <c r="G131" s="14">
        <f ca="1">IF(G$27&lt;&gt;"",-G129+G37+G27-G61-VLOOKUP(G37*1000000,'Powell-Elevation-Area'!$B$5:$D$689,3)*$B$21/1000000,"")</f>
        <v>8.1250389846666788</v>
      </c>
      <c r="H131" s="14">
        <f ca="1">IF(H$27&lt;&gt;"",-H129+H37+H27-H61-VLOOKUP(H37*1000000,'Powell-Elevation-Area'!$B$5:$D$689,3)*$B$21/1000000,"")</f>
        <v>8.1566719785340833</v>
      </c>
      <c r="I131" s="14">
        <f ca="1">IF(I$27&lt;&gt;"",-I129+I37+I27-I61-VLOOKUP(I37*1000000,'Powell-Elevation-Area'!$B$5:$D$689,3)*$B$21/1000000,"")</f>
        <v>9.1275321766663673</v>
      </c>
      <c r="J131" s="14">
        <f ca="1">IF(J$27&lt;&gt;"",-J129+J37+J27-J61-VLOOKUP(J37*1000000,'Powell-Elevation-Area'!$B$5:$D$689,3)*$B$21/1000000,"")</f>
        <v>9.1254912639163805</v>
      </c>
      <c r="K131" s="14">
        <f ca="1">IF(K$27&lt;&gt;"",-K129+K37+K27-K61-VLOOKUP(K37*1000000,'Powell-Elevation-Area'!$B$5:$D$689,3)*$B$21/1000000,"")</f>
        <v>9.1636918676663797</v>
      </c>
      <c r="L131" s="14">
        <f ca="1">IF(L$27&lt;&gt;"",-L129+L37+L27-L61-VLOOKUP(L37*1000000,'Powell-Elevation-Area'!$B$5:$D$689,3)*$B$21/1000000,"")</f>
        <v>8.9751252311669525</v>
      </c>
      <c r="N131" t="s">
        <v>217</v>
      </c>
    </row>
    <row r="132" spans="1:14" x14ac:dyDescent="0.35">
      <c r="C132" s="29"/>
    </row>
    <row r="133" spans="1:14" x14ac:dyDescent="0.35">
      <c r="A133" s="1" t="s">
        <v>126</v>
      </c>
      <c r="C133" s="12">
        <f>IF(C$27&lt;&gt;"",0.2,"")</f>
        <v>0.2</v>
      </c>
      <c r="D133" s="12">
        <f t="shared" ref="D133:L133" si="62">IF(D$27&lt;&gt;"",0.2,"")</f>
        <v>0.2</v>
      </c>
      <c r="E133" s="12">
        <f t="shared" si="62"/>
        <v>0.2</v>
      </c>
      <c r="F133" s="12">
        <f t="shared" si="62"/>
        <v>0.2</v>
      </c>
      <c r="G133" s="12">
        <f t="shared" si="62"/>
        <v>0.2</v>
      </c>
      <c r="H133" s="12">
        <f t="shared" si="62"/>
        <v>0.2</v>
      </c>
      <c r="I133" s="12">
        <f t="shared" si="62"/>
        <v>0.2</v>
      </c>
      <c r="J133" s="12">
        <f t="shared" si="62"/>
        <v>0.2</v>
      </c>
      <c r="K133" s="12">
        <f t="shared" si="62"/>
        <v>0.2</v>
      </c>
      <c r="L133" s="12">
        <f t="shared" si="62"/>
        <v>0.2</v>
      </c>
    </row>
    <row r="134" spans="1:14" x14ac:dyDescent="0.35">
      <c r="A134" t="s">
        <v>127</v>
      </c>
      <c r="C134" s="14">
        <f t="shared" ref="C134:L134" ca="1" si="63">IF(C$27&lt;&gt;"",C115+C133,"")</f>
        <v>7.0670000000000002</v>
      </c>
      <c r="D134" s="14">
        <f t="shared" ca="1" si="63"/>
        <v>7.0670000000000002</v>
      </c>
      <c r="E134" s="14">
        <f t="shared" ca="1" si="63"/>
        <v>6.9830000000000005</v>
      </c>
      <c r="F134" s="14">
        <f t="shared" ca="1" si="63"/>
        <v>6.9830000000000005</v>
      </c>
      <c r="G134" s="14">
        <f t="shared" ca="1" si="63"/>
        <v>6.9830000000000005</v>
      </c>
      <c r="H134" s="14">
        <f t="shared" ca="1" si="63"/>
        <v>6.9830000000000005</v>
      </c>
      <c r="I134" s="14">
        <f t="shared" ca="1" si="63"/>
        <v>6.9830000000000005</v>
      </c>
      <c r="J134" s="14">
        <f t="shared" ca="1" si="63"/>
        <v>6.9830000000000005</v>
      </c>
      <c r="K134" s="14">
        <f t="shared" ca="1" si="63"/>
        <v>6.9830000000000005</v>
      </c>
      <c r="L134" s="14">
        <f t="shared" ca="1" si="63"/>
        <v>6.7330000000000005</v>
      </c>
    </row>
    <row r="136" spans="1:14" x14ac:dyDescent="0.35">
      <c r="D136" s="18"/>
    </row>
  </sheetData>
  <mergeCells count="9">
    <mergeCell ref="C9:G9"/>
    <mergeCell ref="C10:G10"/>
    <mergeCell ref="C11:G11"/>
    <mergeCell ref="A3:G3"/>
    <mergeCell ref="C4:G4"/>
    <mergeCell ref="C5:G5"/>
    <mergeCell ref="C6:G6"/>
    <mergeCell ref="C7:G7"/>
    <mergeCell ref="C8:G8"/>
  </mergeCells>
  <conditionalFormatting sqref="C61:L61">
    <cfRule type="cellIs" dxfId="50" priority="29" operator="greaterThan">
      <formula>$C$60</formula>
    </cfRule>
  </conditionalFormatting>
  <conditionalFormatting sqref="C69:L69">
    <cfRule type="cellIs" dxfId="49" priority="27" operator="greaterThan">
      <formula>$C$68</formula>
    </cfRule>
  </conditionalFormatting>
  <conditionalFormatting sqref="C77:L77">
    <cfRule type="cellIs" dxfId="48" priority="26" operator="greaterThan">
      <formula>$C$76</formula>
    </cfRule>
  </conditionalFormatting>
  <conditionalFormatting sqref="C85">
    <cfRule type="cellIs" dxfId="47" priority="25" operator="greaterThan">
      <formula>$C$84</formula>
    </cfRule>
  </conditionalFormatting>
  <conditionalFormatting sqref="D85">
    <cfRule type="cellIs" dxfId="46" priority="24" operator="greaterThan">
      <formula>$D$84</formula>
    </cfRule>
  </conditionalFormatting>
  <conditionalFormatting sqref="E85">
    <cfRule type="cellIs" dxfId="45" priority="23" operator="greaterThan">
      <formula>$E$84</formula>
    </cfRule>
  </conditionalFormatting>
  <conditionalFormatting sqref="F85">
    <cfRule type="cellIs" dxfId="44" priority="22" operator="greaterThan">
      <formula>$F$84</formula>
    </cfRule>
  </conditionalFormatting>
  <conditionalFormatting sqref="G85:L85">
    <cfRule type="cellIs" dxfId="43" priority="21" operator="greaterThan">
      <formula>$G$84</formula>
    </cfRule>
  </conditionalFormatting>
  <conditionalFormatting sqref="C93">
    <cfRule type="cellIs" dxfId="42" priority="20" operator="greaterThan">
      <formula>$C$92</formula>
    </cfRule>
  </conditionalFormatting>
  <conditionalFormatting sqref="D93">
    <cfRule type="cellIs" dxfId="41" priority="19" operator="greaterThan">
      <formula>$D$92</formula>
    </cfRule>
  </conditionalFormatting>
  <conditionalFormatting sqref="E93">
    <cfRule type="cellIs" dxfId="40" priority="18" operator="greaterThan">
      <formula>$E$92</formula>
    </cfRule>
  </conditionalFormatting>
  <conditionalFormatting sqref="F93">
    <cfRule type="cellIs" dxfId="39" priority="17" operator="greaterThan">
      <formula>$F$92</formula>
    </cfRule>
  </conditionalFormatting>
  <conditionalFormatting sqref="G93">
    <cfRule type="cellIs" dxfId="38" priority="16" operator="greaterThan">
      <formula>$G$92</formula>
    </cfRule>
  </conditionalFormatting>
  <conditionalFormatting sqref="H93">
    <cfRule type="cellIs" dxfId="37" priority="15" operator="greaterThan">
      <formula>$H$92</formula>
    </cfRule>
  </conditionalFormatting>
  <conditionalFormatting sqref="I93">
    <cfRule type="cellIs" dxfId="36" priority="14" operator="greaterThan">
      <formula>$I$92</formula>
    </cfRule>
  </conditionalFormatting>
  <conditionalFormatting sqref="J93">
    <cfRule type="cellIs" dxfId="35" priority="13" operator="greaterThan">
      <formula>$J$92</formula>
    </cfRule>
  </conditionalFormatting>
  <conditionalFormatting sqref="K93">
    <cfRule type="cellIs" dxfId="34" priority="12" operator="greaterThan">
      <formula>$K$92</formula>
    </cfRule>
  </conditionalFormatting>
  <conditionalFormatting sqref="L93">
    <cfRule type="cellIs" dxfId="33" priority="11" operator="greaterThan">
      <formula>$L$92</formula>
    </cfRule>
  </conditionalFormatting>
  <conditionalFormatting sqref="C101">
    <cfRule type="cellIs" dxfId="32" priority="10" operator="greaterThan">
      <formula>$C$100</formula>
    </cfRule>
  </conditionalFormatting>
  <conditionalFormatting sqref="D101">
    <cfRule type="cellIs" dxfId="31" priority="9" operator="greaterThan">
      <formula>$D$100</formula>
    </cfRule>
  </conditionalFormatting>
  <conditionalFormatting sqref="E101">
    <cfRule type="cellIs" dxfId="30" priority="8" operator="greaterThan">
      <formula>$E$100</formula>
    </cfRule>
  </conditionalFormatting>
  <conditionalFormatting sqref="F101">
    <cfRule type="cellIs" dxfId="29" priority="7" operator="greaterThan">
      <formula>$F$100</formula>
    </cfRule>
  </conditionalFormatting>
  <conditionalFormatting sqref="G101">
    <cfRule type="cellIs" dxfId="28" priority="6" operator="greaterThan">
      <formula>$G$100</formula>
    </cfRule>
  </conditionalFormatting>
  <conditionalFormatting sqref="H101">
    <cfRule type="cellIs" dxfId="27" priority="5" operator="greaterThan">
      <formula>$H$100</formula>
    </cfRule>
  </conditionalFormatting>
  <conditionalFormatting sqref="I101">
    <cfRule type="cellIs" dxfId="26" priority="4" operator="greaterThan">
      <formula>$I$100</formula>
    </cfRule>
  </conditionalFormatting>
  <conditionalFormatting sqref="J101">
    <cfRule type="cellIs" dxfId="25" priority="3" operator="greaterThan">
      <formula>$J$100</formula>
    </cfRule>
  </conditionalFormatting>
  <conditionalFormatting sqref="K101">
    <cfRule type="cellIs" dxfId="24" priority="2" operator="greaterThan">
      <formula>$K$100</formula>
    </cfRule>
  </conditionalFormatting>
  <conditionalFormatting sqref="L101">
    <cfRule type="cellIs" dxfId="23" priority="1"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28" id="{8ED2AFFE-2CDB-43FB-8B82-9BFAC13115BD}">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36328125" customWidth="1"/>
    <col min="2" max="2" width="24.54296875" customWidth="1"/>
    <col min="3" max="3" width="8.08984375" style="2" bestFit="1" customWidth="1"/>
    <col min="4" max="10" width="7.7265625" style="2" bestFit="1" customWidth="1"/>
    <col min="11" max="12" width="7.6328125" style="2" bestFit="1" customWidth="1"/>
    <col min="13" max="21" width="7.7265625" bestFit="1" customWidth="1"/>
    <col min="22" max="22" width="8.90625" bestFit="1" customWidth="1"/>
    <col min="23" max="23" width="8.90625" customWidth="1"/>
  </cols>
  <sheetData>
    <row r="1" spans="1:24" x14ac:dyDescent="0.35">
      <c r="A1" s="1" t="s">
        <v>55</v>
      </c>
    </row>
    <row r="3" spans="1:24" x14ac:dyDescent="0.35">
      <c r="A3" t="s">
        <v>77</v>
      </c>
    </row>
    <row r="5" spans="1:24" s="1" customFormat="1" x14ac:dyDescent="0.35">
      <c r="A5" s="1" t="s">
        <v>57</v>
      </c>
      <c r="B5" s="1" t="s">
        <v>56</v>
      </c>
      <c r="C5" s="13" t="s">
        <v>5</v>
      </c>
      <c r="D5" s="13" t="s">
        <v>6</v>
      </c>
      <c r="E5" s="13" t="s">
        <v>7</v>
      </c>
      <c r="F5" s="13" t="s">
        <v>8</v>
      </c>
      <c r="G5" s="13" t="s">
        <v>9</v>
      </c>
      <c r="H5" s="13" t="s">
        <v>10</v>
      </c>
      <c r="I5" s="13" t="s">
        <v>11</v>
      </c>
      <c r="J5" s="13" t="s">
        <v>12</v>
      </c>
      <c r="K5" s="13" t="s">
        <v>36</v>
      </c>
      <c r="L5" s="13" t="s">
        <v>37</v>
      </c>
      <c r="M5" s="13" t="s">
        <v>60</v>
      </c>
      <c r="N5" s="13" t="s">
        <v>61</v>
      </c>
      <c r="O5" s="13" t="s">
        <v>62</v>
      </c>
      <c r="P5" s="13" t="s">
        <v>63</v>
      </c>
      <c r="Q5" s="13" t="s">
        <v>64</v>
      </c>
      <c r="R5" s="13" t="s">
        <v>65</v>
      </c>
      <c r="S5" s="13" t="s">
        <v>66</v>
      </c>
      <c r="T5" s="13" t="s">
        <v>67</v>
      </c>
      <c r="U5" s="13" t="s">
        <v>68</v>
      </c>
      <c r="V5" s="1" t="s">
        <v>84</v>
      </c>
      <c r="W5" s="1" t="s">
        <v>85</v>
      </c>
      <c r="X5" s="1" t="s">
        <v>58</v>
      </c>
    </row>
    <row r="6" spans="1:24" x14ac:dyDescent="0.35">
      <c r="A6" t="s">
        <v>87</v>
      </c>
      <c r="B6" t="s">
        <v>88</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9">
        <f>AVERAGE(C6:L6)</f>
        <v>12.400000000000002</v>
      </c>
      <c r="W6" s="29">
        <f>AVERAGE(C6:U6)</f>
        <v>12.400000000000004</v>
      </c>
      <c r="X6" t="s">
        <v>72</v>
      </c>
    </row>
    <row r="7" spans="1:24" x14ac:dyDescent="0.35">
      <c r="A7" t="s">
        <v>89</v>
      </c>
      <c r="B7" t="s">
        <v>59</v>
      </c>
      <c r="C7" s="29">
        <v>10.541308000000001</v>
      </c>
      <c r="D7" s="29">
        <v>11.023149</v>
      </c>
      <c r="E7" s="29">
        <v>5.870736</v>
      </c>
      <c r="F7" s="29">
        <v>10.455249</v>
      </c>
      <c r="G7" s="29">
        <v>9.4432220000000004</v>
      </c>
      <c r="H7" s="29">
        <v>17.117932</v>
      </c>
      <c r="I7" s="29">
        <v>12.627808</v>
      </c>
      <c r="J7" s="29">
        <v>12.567529</v>
      </c>
      <c r="K7" s="29">
        <v>16.3156</v>
      </c>
      <c r="L7" s="29">
        <v>14.306982</v>
      </c>
      <c r="M7" s="29">
        <v>12.326231999999999</v>
      </c>
      <c r="N7" s="29">
        <v>20.207163000000001</v>
      </c>
      <c r="O7" s="29">
        <v>8.4420540000000006</v>
      </c>
      <c r="P7" s="29">
        <v>8.9732859999999999</v>
      </c>
      <c r="Q7" s="29">
        <v>14.100669999999999</v>
      </c>
      <c r="R7" s="29">
        <v>13.433123999999999</v>
      </c>
      <c r="S7" s="29">
        <v>13.477814</v>
      </c>
      <c r="T7" s="29">
        <v>16.476396999999999</v>
      </c>
      <c r="U7" s="29">
        <v>8.6142029999999998</v>
      </c>
      <c r="V7" s="29">
        <f t="shared" ref="V7:V13" si="1">AVERAGE(C7:L7)</f>
        <v>12.026951499999999</v>
      </c>
      <c r="W7" s="29">
        <f t="shared" ref="W7:W13" si="2">AVERAGE(C7:U7)</f>
        <v>12.437918842105264</v>
      </c>
      <c r="X7" t="s">
        <v>72</v>
      </c>
    </row>
    <row r="8" spans="1:24" x14ac:dyDescent="0.35">
      <c r="A8" t="s">
        <v>90</v>
      </c>
      <c r="B8" t="s">
        <v>74</v>
      </c>
      <c r="C8" s="29">
        <f>INDEX($C$7:$U$7, _xlfn.RANK.EQ(C19, $C19:$U19) + COUNTIF($C19:C19, C19) - 1)</f>
        <v>12.627808</v>
      </c>
      <c r="D8" s="29">
        <f>INDEX($C$7:$U$7, _xlfn.RANK.EQ(D19, $C19:$U19) + COUNTIF($C19:D19, D19) - 1)</f>
        <v>12.326231999999999</v>
      </c>
      <c r="E8" s="29">
        <f>INDEX($C$7:$U$7, _xlfn.RANK.EQ(E19, $C19:$U19) + COUNTIF($C19:E19, E19) - 1)</f>
        <v>10.455249</v>
      </c>
      <c r="F8" s="29">
        <f>INDEX($C$7:$U$7, _xlfn.RANK.EQ(F19, $C19:$U19) + COUNTIF($C19:F19, F19) - 1)</f>
        <v>5.870736</v>
      </c>
      <c r="G8" s="29">
        <f>INDEX($C$7:$U$7, _xlfn.RANK.EQ(G19, $C19:$U19) + COUNTIF($C19:G19, G19) - 1)</f>
        <v>14.100669999999999</v>
      </c>
      <c r="H8" s="29">
        <f>INDEX($C$7:$U$7, _xlfn.RANK.EQ(H19, $C19:$U19) + COUNTIF($C19:H19, H19) - 1)</f>
        <v>10.541308000000001</v>
      </c>
      <c r="I8" s="29">
        <f>INDEX($C$7:$U$7, _xlfn.RANK.EQ(I19, $C19:$U19) + COUNTIF($C19:I19, I19) - 1)</f>
        <v>17.117932</v>
      </c>
      <c r="J8" s="29">
        <f>INDEX($C$7:$U$7, _xlfn.RANK.EQ(J19, $C19:$U19) + COUNTIF($C19:J19, J19) - 1)</f>
        <v>9.4432220000000004</v>
      </c>
      <c r="K8" s="29">
        <f>INDEX($C$7:$U$7, _xlfn.RANK.EQ(K19, $C19:$U19) + COUNTIF($C19:K19, K19) - 1)</f>
        <v>20.207163000000001</v>
      </c>
      <c r="L8" s="29">
        <f>INDEX($C$7:$U$7, _xlfn.RANK.EQ(L19, $C19:$U19) + COUNTIF($C19:L19, L19) - 1)</f>
        <v>12.567529</v>
      </c>
      <c r="M8" s="29">
        <f>INDEX($C$7:$U$7, _xlfn.RANK.EQ(M19, $C19:$U19) + COUNTIF($C19:M19, M19) - 1)</f>
        <v>14.306982</v>
      </c>
      <c r="N8" s="29">
        <f>INDEX($C$7:$U$7, _xlfn.RANK.EQ(N19, $C19:$U19) + COUNTIF($C19:N19, N19) - 1)</f>
        <v>11.023149</v>
      </c>
      <c r="O8" s="29">
        <f>INDEX($C$7:$U$7, _xlfn.RANK.EQ(O19, $C19:$U19) + COUNTIF($C19:O19, O19) - 1)</f>
        <v>8.4420540000000006</v>
      </c>
      <c r="P8" s="29">
        <f>INDEX($C$7:$U$7, _xlfn.RANK.EQ(P19, $C19:$U19) + COUNTIF($C19:P19, P19) - 1)</f>
        <v>8.9732859999999999</v>
      </c>
      <c r="Q8" s="29">
        <f>INDEX($C$7:$U$7, _xlfn.RANK.EQ(Q19, $C19:$U19) + COUNTIF($C19:Q19, Q19) - 1)</f>
        <v>16.476396999999999</v>
      </c>
      <c r="R8" s="29">
        <f>INDEX($C$7:$U$7, _xlfn.RANK.EQ(R19, $C19:$U19) + COUNTIF($C19:R19, R19) - 1)</f>
        <v>16.3156</v>
      </c>
      <c r="S8" s="29">
        <f>INDEX($C$7:$U$7, _xlfn.RANK.EQ(S19, $C19:$U19) + COUNTIF($C19:S19, S19) - 1)</f>
        <v>13.477814</v>
      </c>
      <c r="T8" s="29">
        <f>INDEX($C$7:$U$7, _xlfn.RANK.EQ(T19, $C19:$U19) + COUNTIF($C19:T19, T19) - 1)</f>
        <v>13.433123999999999</v>
      </c>
      <c r="U8" s="29">
        <f>INDEX($C$7:$U$7, _xlfn.RANK.EQ(U19, $C19:$U19) + COUNTIF($C19:U19, U19) - 1)</f>
        <v>8.6142029999999998</v>
      </c>
      <c r="V8" s="29">
        <f t="shared" si="1"/>
        <v>12.525784900000001</v>
      </c>
      <c r="W8" s="29">
        <f t="shared" si="2"/>
        <v>12.437918842105264</v>
      </c>
      <c r="X8" t="s">
        <v>73</v>
      </c>
    </row>
    <row r="9" spans="1:24" x14ac:dyDescent="0.35">
      <c r="A9" t="s">
        <v>90</v>
      </c>
      <c r="B9" t="s">
        <v>75</v>
      </c>
      <c r="C9" s="29">
        <f>INDEX($C$7:$U$7, _xlfn.RANK.EQ(C20, $C20:$U20) + COUNTIF($C20:C20, C20) - 1)</f>
        <v>17.117932</v>
      </c>
      <c r="D9" s="29">
        <f>INDEX($C$7:$U$7, _xlfn.RANK.EQ(D20, $C20:$U20) + COUNTIF($C20:D20, D20) - 1)</f>
        <v>10.541308000000001</v>
      </c>
      <c r="E9" s="29">
        <f>INDEX($C$7:$U$7, _xlfn.RANK.EQ(E20, $C20:$U20) + COUNTIF($C20:E20, E20) - 1)</f>
        <v>14.100669999999999</v>
      </c>
      <c r="F9" s="29">
        <f>INDEX($C$7:$U$7, _xlfn.RANK.EQ(F20, $C20:$U20) + COUNTIF($C20:F20, F20) - 1)</f>
        <v>14.306982</v>
      </c>
      <c r="G9" s="29">
        <f>INDEX($C$7:$U$7, _xlfn.RANK.EQ(G20, $C20:$U20) + COUNTIF($C20:G20, G20) - 1)</f>
        <v>8.6142029999999998</v>
      </c>
      <c r="H9" s="29">
        <f>INDEX($C$7:$U$7, _xlfn.RANK.EQ(H20, $C20:$U20) + COUNTIF($C20:H20, H20) - 1)</f>
        <v>12.326231999999999</v>
      </c>
      <c r="I9" s="29">
        <f>INDEX($C$7:$U$7, _xlfn.RANK.EQ(I20, $C20:$U20) + COUNTIF($C20:I20, I20) - 1)</f>
        <v>10.455249</v>
      </c>
      <c r="J9" s="29">
        <f>INDEX($C$7:$U$7, _xlfn.RANK.EQ(J20, $C20:$U20) + COUNTIF($C20:J20, J20) - 1)</f>
        <v>5.870736</v>
      </c>
      <c r="K9" s="29">
        <f>INDEX($C$7:$U$7, _xlfn.RANK.EQ(K20, $C20:$U20) + COUNTIF($C20:K20, K20) - 1)</f>
        <v>13.433123999999999</v>
      </c>
      <c r="L9" s="29">
        <f>INDEX($C$7:$U$7, _xlfn.RANK.EQ(L20, $C20:$U20) + COUNTIF($C20:L20, L20) - 1)</f>
        <v>11.023149</v>
      </c>
      <c r="M9" s="29">
        <f>INDEX($C$7:$U$7, _xlfn.RANK.EQ(M20, $C20:$U20) + COUNTIF($C20:M20, M20) - 1)</f>
        <v>8.4420540000000006</v>
      </c>
      <c r="N9" s="29">
        <f>INDEX($C$7:$U$7, _xlfn.RANK.EQ(N20, $C20:$U20) + COUNTIF($C20:N20, N20) - 1)</f>
        <v>16.476396999999999</v>
      </c>
      <c r="O9" s="29">
        <f>INDEX($C$7:$U$7, _xlfn.RANK.EQ(O20, $C20:$U20) + COUNTIF($C20:O20, O20) - 1)</f>
        <v>20.207163000000001</v>
      </c>
      <c r="P9" s="29">
        <f>INDEX($C$7:$U$7, _xlfn.RANK.EQ(P20, $C20:$U20) + COUNTIF($C20:P20, P20) - 1)</f>
        <v>12.567529</v>
      </c>
      <c r="Q9" s="29">
        <f>INDEX($C$7:$U$7, _xlfn.RANK.EQ(Q20, $C20:$U20) + COUNTIF($C20:Q20, Q20) - 1)</f>
        <v>8.9732859999999999</v>
      </c>
      <c r="R9" s="29">
        <f>INDEX($C$7:$U$7, _xlfn.RANK.EQ(R20, $C20:$U20) + COUNTIF($C20:R20, R20) - 1)</f>
        <v>12.627808</v>
      </c>
      <c r="S9" s="29">
        <f>INDEX($C$7:$U$7, _xlfn.RANK.EQ(S20, $C20:$U20) + COUNTIF($C20:S20, S20) - 1)</f>
        <v>13.477814</v>
      </c>
      <c r="T9" s="29">
        <f>INDEX($C$7:$U$7, _xlfn.RANK.EQ(T20, $C20:$U20) + COUNTIF($C20:T20, T20) - 1)</f>
        <v>9.4432220000000004</v>
      </c>
      <c r="U9" s="29">
        <f>INDEX($C$7:$U$7, _xlfn.RANK.EQ(U20, $C20:$U20) + COUNTIF($C20:U20, U20) - 1)</f>
        <v>16.3156</v>
      </c>
      <c r="V9" s="29">
        <f t="shared" si="1"/>
        <v>11.7789585</v>
      </c>
      <c r="W9" s="29">
        <f t="shared" si="2"/>
        <v>12.437918842105262</v>
      </c>
      <c r="X9" t="s">
        <v>73</v>
      </c>
    </row>
    <row r="10" spans="1:24" x14ac:dyDescent="0.35">
      <c r="A10" t="s">
        <v>90</v>
      </c>
      <c r="B10" t="s">
        <v>76</v>
      </c>
      <c r="C10" s="29">
        <f>INDEX($C$7:$U$7, _xlfn.RANK.EQ(C21, $C21:$U21) + COUNTIF($C21:C21, C21) - 1)</f>
        <v>20.207163000000001</v>
      </c>
      <c r="D10" s="29">
        <f>INDEX($C$7:$U$7, _xlfn.RANK.EQ(D21, $C21:$U21) + COUNTIF($C21:D21, D21) - 1)</f>
        <v>17.117932</v>
      </c>
      <c r="E10" s="29">
        <f>INDEX($C$7:$U$7, _xlfn.RANK.EQ(E21, $C21:$U21) + COUNTIF($C21:E21, E21) - 1)</f>
        <v>16.476396999999999</v>
      </c>
      <c r="F10" s="29">
        <f>INDEX($C$7:$U$7, _xlfn.RANK.EQ(F21, $C21:$U21) + COUNTIF($C21:F21, F21) - 1)</f>
        <v>12.326231999999999</v>
      </c>
      <c r="G10" s="29">
        <f>INDEX($C$7:$U$7, _xlfn.RANK.EQ(G21, $C21:$U21) + COUNTIF($C21:G21, G21) - 1)</f>
        <v>12.627808</v>
      </c>
      <c r="H10" s="29">
        <f>INDEX($C$7:$U$7, _xlfn.RANK.EQ(H21, $C21:$U21) + COUNTIF($C21:H21, H21) - 1)</f>
        <v>13.433123999999999</v>
      </c>
      <c r="I10" s="29">
        <f>INDEX($C$7:$U$7, _xlfn.RANK.EQ(I21, $C21:$U21) + COUNTIF($C21:I21, I21) - 1)</f>
        <v>10.541308000000001</v>
      </c>
      <c r="J10" s="29">
        <f>INDEX($C$7:$U$7, _xlfn.RANK.EQ(J21, $C21:$U21) + COUNTIF($C21:J21, J21) - 1)</f>
        <v>16.3156</v>
      </c>
      <c r="K10" s="29">
        <f>INDEX($C$7:$U$7, _xlfn.RANK.EQ(K21, $C21:$U21) + COUNTIF($C21:K21, K21) - 1)</f>
        <v>9.4432220000000004</v>
      </c>
      <c r="L10" s="29">
        <f>INDEX($C$7:$U$7, _xlfn.RANK.EQ(L21, $C21:$U21) + COUNTIF($C21:L21, L21) - 1)</f>
        <v>14.306982</v>
      </c>
      <c r="M10" s="29">
        <f>INDEX($C$7:$U$7, _xlfn.RANK.EQ(M21, $C21:$U21) + COUNTIF($C21:M21, M21) - 1)</f>
        <v>8.6142029999999998</v>
      </c>
      <c r="N10" s="29">
        <f>INDEX($C$7:$U$7, _xlfn.RANK.EQ(N21, $C21:$U21) + COUNTIF($C21:N21, N21) - 1)</f>
        <v>10.455249</v>
      </c>
      <c r="O10" s="29">
        <f>INDEX($C$7:$U$7, _xlfn.RANK.EQ(O21, $C21:$U21) + COUNTIF($C21:O21, O21) - 1)</f>
        <v>8.4420540000000006</v>
      </c>
      <c r="P10" s="29">
        <f>INDEX($C$7:$U$7, _xlfn.RANK.EQ(P21, $C21:$U21) + COUNTIF($C21:P21, P21) - 1)</f>
        <v>8.9732859999999999</v>
      </c>
      <c r="Q10" s="29">
        <f>INDEX($C$7:$U$7, _xlfn.RANK.EQ(Q21, $C21:$U21) + COUNTIF($C21:Q21, Q21) - 1)</f>
        <v>14.100669999999999</v>
      </c>
      <c r="R10" s="29">
        <f>INDEX($C$7:$U$7, _xlfn.RANK.EQ(R21, $C21:$U21) + COUNTIF($C21:R21, R21) - 1)</f>
        <v>13.477814</v>
      </c>
      <c r="S10" s="29">
        <f>INDEX($C$7:$U$7, _xlfn.RANK.EQ(S21, $C21:$U21) + COUNTIF($C21:S21, S21) - 1)</f>
        <v>5.870736</v>
      </c>
      <c r="T10" s="29">
        <f>INDEX($C$7:$U$7, _xlfn.RANK.EQ(T21, $C21:$U21) + COUNTIF($C21:T21, T21) - 1)</f>
        <v>12.567529</v>
      </c>
      <c r="U10" s="29">
        <f>INDEX($C$7:$U$7, _xlfn.RANK.EQ(U21, $C21:$U21) + COUNTIF($C21:U21, U21) - 1)</f>
        <v>11.023149</v>
      </c>
      <c r="V10" s="29">
        <f t="shared" si="1"/>
        <v>14.279576800000001</v>
      </c>
      <c r="W10" s="29">
        <f t="shared" si="2"/>
        <v>12.437918842105265</v>
      </c>
      <c r="X10" t="s">
        <v>73</v>
      </c>
    </row>
    <row r="11" spans="1:24" x14ac:dyDescent="0.35">
      <c r="A11" t="s">
        <v>78</v>
      </c>
      <c r="B11" t="s">
        <v>91</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9">
        <f t="shared" si="1"/>
        <v>11.400000000000002</v>
      </c>
      <c r="W11" s="29">
        <f t="shared" si="2"/>
        <v>11.400000000000004</v>
      </c>
    </row>
    <row r="12" spans="1:24" x14ac:dyDescent="0.35">
      <c r="A12" t="s">
        <v>80</v>
      </c>
      <c r="B12" t="s">
        <v>81</v>
      </c>
      <c r="C12" s="29">
        <v>8.0656773127944597</v>
      </c>
      <c r="D12" s="29">
        <v>12.179497010248401</v>
      </c>
      <c r="E12" s="29">
        <v>10.4021452093777</v>
      </c>
      <c r="F12" s="29">
        <v>13.518813794409299</v>
      </c>
      <c r="G12" s="29">
        <v>16.316885566837801</v>
      </c>
      <c r="H12" s="29">
        <v>8.2963173615850092</v>
      </c>
      <c r="I12" s="29">
        <v>8.2334084440403892</v>
      </c>
      <c r="J12" s="29">
        <v>8.0507265516528701</v>
      </c>
      <c r="K12" s="29">
        <v>10.939025533005399</v>
      </c>
      <c r="L12" s="29">
        <v>17.117619193537298</v>
      </c>
      <c r="M12" s="29">
        <v>15.180122066368499</v>
      </c>
      <c r="N12" s="29">
        <v>18.434952033152101</v>
      </c>
      <c r="O12" s="29">
        <v>12.0058419359474</v>
      </c>
      <c r="P12" s="29">
        <v>6.7697458167134199</v>
      </c>
      <c r="Q12" s="29">
        <v>14.549174163850401</v>
      </c>
      <c r="R12" s="29">
        <v>7.0958145122825593</v>
      </c>
      <c r="S12" s="29">
        <v>14.9052393166876</v>
      </c>
      <c r="T12" s="29">
        <v>15.428213164007099</v>
      </c>
      <c r="U12" s="29">
        <v>17.679933099266101</v>
      </c>
      <c r="V12" s="29">
        <f t="shared" si="1"/>
        <v>11.312011597748862</v>
      </c>
      <c r="W12" s="29">
        <f t="shared" si="2"/>
        <v>12.377323793987571</v>
      </c>
      <c r="X12" t="s">
        <v>83</v>
      </c>
    </row>
    <row r="13" spans="1:24" x14ac:dyDescent="0.35">
      <c r="A13" t="s">
        <v>82</v>
      </c>
      <c r="B13" t="s">
        <v>81</v>
      </c>
      <c r="C13" s="29">
        <v>13.6721827614197</v>
      </c>
      <c r="D13" s="29">
        <v>12.666445529103701</v>
      </c>
      <c r="E13" s="29">
        <v>8.2123208856145009</v>
      </c>
      <c r="F13" s="29">
        <v>7.2985106981092596</v>
      </c>
      <c r="G13" s="29">
        <v>8.9240344766710908</v>
      </c>
      <c r="H13" s="29">
        <v>12.2239805462057</v>
      </c>
      <c r="I13" s="29">
        <v>12.116028475951</v>
      </c>
      <c r="J13" s="29">
        <v>9.3868894956851907</v>
      </c>
      <c r="K13" s="29">
        <v>5.7100895102609304</v>
      </c>
      <c r="L13" s="29">
        <v>7.6367030909024995</v>
      </c>
      <c r="M13" s="29">
        <v>17.908698431934599</v>
      </c>
      <c r="N13" s="29">
        <v>17.3439222124933</v>
      </c>
      <c r="O13" s="29">
        <v>16.712138882108398</v>
      </c>
      <c r="P13" s="29">
        <v>10.8627427743835</v>
      </c>
      <c r="Q13" s="29">
        <v>18.956338967251</v>
      </c>
      <c r="R13" s="29">
        <v>22.2800107884749</v>
      </c>
      <c r="S13" s="29">
        <v>19.616776674012698</v>
      </c>
      <c r="T13" s="29">
        <v>14.694013971958199</v>
      </c>
      <c r="U13" s="29">
        <v>13.8158034044588</v>
      </c>
      <c r="V13" s="29">
        <f t="shared" si="1"/>
        <v>9.7847185469923588</v>
      </c>
      <c r="W13" s="29">
        <f t="shared" si="2"/>
        <v>13.159875346157838</v>
      </c>
      <c r="X13" t="s">
        <v>83</v>
      </c>
    </row>
    <row r="14" spans="1:24" x14ac:dyDescent="0.35">
      <c r="A14" t="s">
        <v>79</v>
      </c>
      <c r="B14" t="s">
        <v>81</v>
      </c>
      <c r="C14" s="29">
        <v>8.6387119999999999</v>
      </c>
      <c r="D14" s="29">
        <v>16.724910999999999</v>
      </c>
      <c r="E14" s="29">
        <v>23.729841</v>
      </c>
      <c r="F14" s="29">
        <v>24.177980999999999</v>
      </c>
      <c r="G14" s="29">
        <v>21.044574999999998</v>
      </c>
      <c r="H14" s="29">
        <v>22.368445000000001</v>
      </c>
      <c r="I14" s="29">
        <v>16.596464999999998</v>
      </c>
      <c r="J14" s="29">
        <v>11.668810000000001</v>
      </c>
      <c r="K14" s="29">
        <v>9.5522320000000001</v>
      </c>
      <c r="L14" s="29">
        <v>8.9740110000000008</v>
      </c>
      <c r="M14" s="29">
        <v>12.344601000000001</v>
      </c>
      <c r="N14" s="29">
        <v>11.068530000000001</v>
      </c>
      <c r="O14" s="29">
        <v>18.697527999999998</v>
      </c>
      <c r="P14" s="29">
        <v>10.611249000000001</v>
      </c>
      <c r="Q14" s="29">
        <v>19.872761000000001</v>
      </c>
      <c r="R14" s="29">
        <v>14.052944999999999</v>
      </c>
      <c r="S14" s="29">
        <v>21.184925</v>
      </c>
      <c r="T14" s="29">
        <v>16.968572999999999</v>
      </c>
      <c r="U14" s="29">
        <v>16.452831</v>
      </c>
      <c r="V14" s="29">
        <f t="shared" ref="V14" si="4">AVERAGE(C14:L14)</f>
        <v>16.347598299999998</v>
      </c>
      <c r="W14" s="29">
        <f t="shared" ref="W14" si="5">AVERAGE(C14:U14)</f>
        <v>16.038417157894738</v>
      </c>
      <c r="X14" t="s">
        <v>72</v>
      </c>
    </row>
    <row r="15" spans="1:24" x14ac:dyDescent="0.35">
      <c r="A15" t="s">
        <v>86</v>
      </c>
      <c r="B15" t="s">
        <v>74</v>
      </c>
      <c r="C15" s="29">
        <f>INDEX($C$14:$U$14, _xlfn.RANK.EQ(C19, $C19:$U19) + COUNTIF($C19:C19, C19) - 1)</f>
        <v>16.596464999999998</v>
      </c>
      <c r="D15" s="29">
        <f>INDEX($C$14:$U$14, _xlfn.RANK.EQ(D19, $C19:$U19) + COUNTIF($C19:D19, D19) - 1)</f>
        <v>12.344601000000001</v>
      </c>
      <c r="E15" s="29">
        <f>INDEX($C$14:$U$14, _xlfn.RANK.EQ(E19, $C19:$U19) + COUNTIF($C19:E19, E19) - 1)</f>
        <v>24.177980999999999</v>
      </c>
      <c r="F15" s="29">
        <f>INDEX($C$14:$U$14, _xlfn.RANK.EQ(F19, $C19:$U19) + COUNTIF($C19:F19, F19) - 1)</f>
        <v>23.729841</v>
      </c>
      <c r="G15" s="29">
        <f>INDEX($C$14:$U$14, _xlfn.RANK.EQ(G19, $C19:$U19) + COUNTIF($C19:G19, G19) - 1)</f>
        <v>19.872761000000001</v>
      </c>
      <c r="H15" s="29">
        <f>INDEX($C$14:$U$14, _xlfn.RANK.EQ(H19, $C19:$U19) + COUNTIF($C19:H19, H19) - 1)</f>
        <v>8.6387119999999999</v>
      </c>
      <c r="I15" s="29">
        <f>INDEX($C$14:$U$14, _xlfn.RANK.EQ(I19, $C19:$U19) + COUNTIF($C19:I19, I19) - 1)</f>
        <v>22.368445000000001</v>
      </c>
      <c r="J15" s="29">
        <f>INDEX($C$14:$U$14, _xlfn.RANK.EQ(J19, $C19:$U19) + COUNTIF($C19:J19, J19) - 1)</f>
        <v>21.044574999999998</v>
      </c>
      <c r="K15" s="29">
        <f>INDEX($C$14:$U$14, _xlfn.RANK.EQ(K19, $C19:$U19) + COUNTIF($C19:K19, K19) - 1)</f>
        <v>11.068530000000001</v>
      </c>
      <c r="L15" s="29">
        <f>INDEX($C$14:$U$14, _xlfn.RANK.EQ(L19, $C19:$U19) + COUNTIF($C19:L19, L19) - 1)</f>
        <v>11.668810000000001</v>
      </c>
      <c r="M15" s="29">
        <f>INDEX($C$14:$U$14, _xlfn.RANK.EQ(M19, $C19:$U19) + COUNTIF($C19:M19, M19) - 1)</f>
        <v>8.9740110000000008</v>
      </c>
      <c r="N15" s="29">
        <f>INDEX($C$14:$U$14, _xlfn.RANK.EQ(N19, $C19:$U19) + COUNTIF($C19:N19, N19) - 1)</f>
        <v>16.724910999999999</v>
      </c>
      <c r="O15" s="29">
        <f>INDEX($C$14:$U$14, _xlfn.RANK.EQ(O19, $C19:$U19) + COUNTIF($C19:O19, O19) - 1)</f>
        <v>18.697527999999998</v>
      </c>
      <c r="P15" s="29">
        <f>INDEX($C$14:$U$14, _xlfn.RANK.EQ(P19, $C19:$U19) + COUNTIF($C19:P19, P19) - 1)</f>
        <v>10.611249000000001</v>
      </c>
      <c r="Q15" s="29">
        <f>INDEX($C$14:$U$14, _xlfn.RANK.EQ(Q19, $C19:$U19) + COUNTIF($C19:Q19, Q19) - 1)</f>
        <v>16.968572999999999</v>
      </c>
      <c r="R15" s="29">
        <f>INDEX($C$14:$U$14, _xlfn.RANK.EQ(R19, $C19:$U19) + COUNTIF($C19:R19, R19) - 1)</f>
        <v>9.5522320000000001</v>
      </c>
      <c r="S15" s="29">
        <f>INDEX($C$14:$U$14, _xlfn.RANK.EQ(S19, $C19:$U19) + COUNTIF($C19:S19, S19) - 1)</f>
        <v>21.184925</v>
      </c>
      <c r="T15" s="29">
        <f>INDEX($C$14:$U$14, _xlfn.RANK.EQ(T19, $C19:$U19) + COUNTIF($C19:T19, T19) - 1)</f>
        <v>14.052944999999999</v>
      </c>
      <c r="U15" s="29">
        <f>INDEX($C$14:$U$14, _xlfn.RANK.EQ(U19, $C19:$U19) + COUNTIF($C19:U19, U19) - 1)</f>
        <v>16.452831</v>
      </c>
      <c r="V15" s="29">
        <f t="shared" ref="V15:V16" si="6">AVERAGE(C15:L15)</f>
        <v>17.1510721</v>
      </c>
      <c r="W15" s="29">
        <f t="shared" ref="W15:W16" si="7">AVERAGE(C15:U15)</f>
        <v>16.038417157894738</v>
      </c>
      <c r="X15" t="s">
        <v>73</v>
      </c>
    </row>
    <row r="16" spans="1:24" x14ac:dyDescent="0.35">
      <c r="A16" t="s">
        <v>86</v>
      </c>
      <c r="B16" t="s">
        <v>75</v>
      </c>
      <c r="C16" s="29">
        <f>INDEX($C$14:$U$14, _xlfn.RANK.EQ(C20, $C20:$U20) + COUNTIF($C20:C20, C20) - 1)</f>
        <v>22.368445000000001</v>
      </c>
      <c r="D16" s="29">
        <f>INDEX($C$14:$U$14, _xlfn.RANK.EQ(D20, $C20:$U20) + COUNTIF($C20:D20, D20) - 1)</f>
        <v>8.6387119999999999</v>
      </c>
      <c r="E16" s="29">
        <f>INDEX($C$14:$U$14, _xlfn.RANK.EQ(E20, $C20:$U20) + COUNTIF($C20:E20, E20) - 1)</f>
        <v>19.872761000000001</v>
      </c>
      <c r="F16" s="29">
        <f>INDEX($C$14:$U$14, _xlfn.RANK.EQ(F20, $C20:$U20) + COUNTIF($C20:F20, F20) - 1)</f>
        <v>8.9740110000000008</v>
      </c>
      <c r="G16" s="29">
        <f>INDEX($C$14:$U$14, _xlfn.RANK.EQ(G20, $C20:$U20) + COUNTIF($C20:G20, G20) - 1)</f>
        <v>16.452831</v>
      </c>
      <c r="H16" s="29">
        <f>INDEX($C$14:$U$14, _xlfn.RANK.EQ(H20, $C20:$U20) + COUNTIF($C20:H20, H20) - 1)</f>
        <v>12.344601000000001</v>
      </c>
      <c r="I16" s="29">
        <f>INDEX($C$14:$U$14, _xlfn.RANK.EQ(I20, $C20:$U20) + COUNTIF($C20:I20, I20) - 1)</f>
        <v>24.177980999999999</v>
      </c>
      <c r="J16" s="29">
        <f>INDEX($C$14:$U$14, _xlfn.RANK.EQ(J20, $C20:$U20) + COUNTIF($C20:J20, J20) - 1)</f>
        <v>23.729841</v>
      </c>
      <c r="K16" s="29">
        <f>INDEX($C$14:$U$14, _xlfn.RANK.EQ(K20, $C20:$U20) + COUNTIF($C20:K20, K20) - 1)</f>
        <v>14.052944999999999</v>
      </c>
      <c r="L16" s="29">
        <f>INDEX($C$14:$U$14, _xlfn.RANK.EQ(L20, $C20:$U20) + COUNTIF($C20:L20, L20) - 1)</f>
        <v>16.724910999999999</v>
      </c>
      <c r="M16" s="29">
        <f>INDEX($C$14:$U$14, _xlfn.RANK.EQ(M20, $C20:$U20) + COUNTIF($C20:M20, M20) - 1)</f>
        <v>18.697527999999998</v>
      </c>
      <c r="N16" s="29">
        <f>INDEX($C$14:$U$14, _xlfn.RANK.EQ(N20, $C20:$U20) + COUNTIF($C20:N20, N20) - 1)</f>
        <v>16.968572999999999</v>
      </c>
      <c r="O16" s="29">
        <f>INDEX($C$14:$U$14, _xlfn.RANK.EQ(O20, $C20:$U20) + COUNTIF($C20:O20, O20) - 1)</f>
        <v>11.068530000000001</v>
      </c>
      <c r="P16" s="29">
        <f>INDEX($C$14:$U$14, _xlfn.RANK.EQ(P20, $C20:$U20) + COUNTIF($C20:P20, P20) - 1)</f>
        <v>11.668810000000001</v>
      </c>
      <c r="Q16" s="29">
        <f>INDEX($C$14:$U$14, _xlfn.RANK.EQ(Q20, $C20:$U20) + COUNTIF($C20:Q20, Q20) - 1)</f>
        <v>10.611249000000001</v>
      </c>
      <c r="R16" s="29">
        <f>INDEX($C$14:$U$14, _xlfn.RANK.EQ(R20, $C20:$U20) + COUNTIF($C20:R20, R20) - 1)</f>
        <v>16.596464999999998</v>
      </c>
      <c r="S16" s="29">
        <f>INDEX($C$14:$U$14, _xlfn.RANK.EQ(S20, $C20:$U20) + COUNTIF($C20:S20, S20) - 1)</f>
        <v>21.184925</v>
      </c>
      <c r="T16" s="29">
        <f>INDEX($C$14:$U$14, _xlfn.RANK.EQ(T20, $C20:$U20) + COUNTIF($C20:T20, T20) - 1)</f>
        <v>21.044574999999998</v>
      </c>
      <c r="U16" s="29">
        <f>INDEX($C$14:$U$14, _xlfn.RANK.EQ(U20, $C20:$U20) + COUNTIF($C20:U20, U20) - 1)</f>
        <v>9.5522320000000001</v>
      </c>
      <c r="V16" s="29">
        <f t="shared" si="6"/>
        <v>16.733703900000002</v>
      </c>
      <c r="W16" s="29">
        <f t="shared" si="7"/>
        <v>16.038417157894738</v>
      </c>
      <c r="X16" t="s">
        <v>73</v>
      </c>
    </row>
    <row r="18" spans="1:21" x14ac:dyDescent="0.35">
      <c r="A18" s="1" t="s">
        <v>92</v>
      </c>
    </row>
    <row r="19" spans="1:21" x14ac:dyDescent="0.35">
      <c r="A19" t="s">
        <v>69</v>
      </c>
      <c r="C19" s="30">
        <v>0.67644387335744371</v>
      </c>
      <c r="D19" s="30">
        <v>0.47418579468589028</v>
      </c>
      <c r="E19" s="30">
        <v>0.79191284201733858</v>
      </c>
      <c r="F19" s="30">
        <v>0.85845050624319708</v>
      </c>
      <c r="G19" s="30">
        <v>0.29119580343142981</v>
      </c>
      <c r="H19" s="30">
        <v>0.96698220369983379</v>
      </c>
      <c r="I19" s="30">
        <v>0.71660723236774859</v>
      </c>
      <c r="J19" s="30">
        <v>0.76657250740819849</v>
      </c>
      <c r="K19" s="30">
        <v>0.37210589764212265</v>
      </c>
      <c r="L19" s="30">
        <v>0.67238760239552131</v>
      </c>
      <c r="M19" s="30">
        <v>0.54861280840425941</v>
      </c>
      <c r="N19" s="30">
        <v>0.93847094237556061</v>
      </c>
      <c r="O19" s="30">
        <v>0.37036993145978159</v>
      </c>
      <c r="P19" s="30">
        <v>0.37012384678989274</v>
      </c>
      <c r="Q19" s="30">
        <v>5.0129257600194155E-2</v>
      </c>
      <c r="R19" s="30">
        <v>0.66224607523003343</v>
      </c>
      <c r="S19" s="30">
        <v>7.3598766477379618E-2</v>
      </c>
      <c r="T19" s="30">
        <v>0.14075741794709939</v>
      </c>
      <c r="U19" s="30">
        <v>4.0761876740060932E-2</v>
      </c>
    </row>
    <row r="20" spans="1:21" x14ac:dyDescent="0.35">
      <c r="A20" t="s">
        <v>70</v>
      </c>
      <c r="C20" s="30">
        <v>0.71178139473095614</v>
      </c>
      <c r="D20" s="30">
        <v>0.90508858194637953</v>
      </c>
      <c r="E20" s="30">
        <v>0.17598711058710848</v>
      </c>
      <c r="F20" s="30">
        <v>0.46040924842222275</v>
      </c>
      <c r="G20" s="30">
        <v>1.1082729617274412E-3</v>
      </c>
      <c r="H20" s="30">
        <v>0.4469646580924429</v>
      </c>
      <c r="I20" s="30">
        <v>0.76533202050878746</v>
      </c>
      <c r="J20" s="30">
        <v>0.83884971961311028</v>
      </c>
      <c r="K20" s="30">
        <v>0.13861192500449215</v>
      </c>
      <c r="L20" s="30">
        <v>0.86445706016894996</v>
      </c>
      <c r="M20" s="30">
        <v>0.27880519114550062</v>
      </c>
      <c r="N20" s="30">
        <v>4.9331580912537532E-2</v>
      </c>
      <c r="O20" s="30">
        <v>0.44358552686154573</v>
      </c>
      <c r="P20" s="30">
        <v>0.51627460025941363</v>
      </c>
      <c r="Q20" s="30">
        <v>0.19589373219881623</v>
      </c>
      <c r="R20" s="30">
        <v>0.57711767229760702</v>
      </c>
      <c r="S20" s="30">
        <v>0.11578704812173612</v>
      </c>
      <c r="T20" s="30">
        <v>0.75445830147475079</v>
      </c>
      <c r="U20" s="30">
        <v>0.50908150625985971</v>
      </c>
    </row>
    <row r="21" spans="1:21" x14ac:dyDescent="0.35">
      <c r="A21" t="s">
        <v>71</v>
      </c>
      <c r="C21" s="30">
        <v>0.49942177488685924</v>
      </c>
      <c r="D21" s="30">
        <v>0.73533205529292978</v>
      </c>
      <c r="E21" s="30">
        <v>3.6281905650776269E-2</v>
      </c>
      <c r="F21" s="30">
        <v>0.51032194818600674</v>
      </c>
      <c r="G21" s="30">
        <v>0.72301799545372614</v>
      </c>
      <c r="H21" s="30">
        <v>0.18140139614899009</v>
      </c>
      <c r="I21" s="30">
        <v>0.96487922099534429</v>
      </c>
      <c r="J21" s="30">
        <v>0.58598497382130921</v>
      </c>
      <c r="K21" s="30">
        <v>0.81220936811505928</v>
      </c>
      <c r="L21" s="30">
        <v>0.56799175094937815</v>
      </c>
      <c r="M21" s="30">
        <v>1.6868147569877312E-3</v>
      </c>
      <c r="N21" s="30">
        <v>0.81525247724513761</v>
      </c>
      <c r="O21" s="30">
        <v>0.43869003462286138</v>
      </c>
      <c r="P21" s="30">
        <v>0.41310932122101518</v>
      </c>
      <c r="Q21" s="30">
        <v>0.31390513036414502</v>
      </c>
      <c r="R21" s="30">
        <v>8.330275026684264E-2</v>
      </c>
      <c r="S21" s="30">
        <v>0.8318657658083044</v>
      </c>
      <c r="T21" s="30">
        <v>0.65077408918348401</v>
      </c>
      <c r="U21" s="30">
        <v>0.92682339319863516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309" zoomScale="160" zoomScaleNormal="160" workbookViewId="0">
      <selection activeCell="B465" sqref="B46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13</v>
      </c>
    </row>
    <row r="2" spans="1:19" x14ac:dyDescent="0.35">
      <c r="A2" t="s">
        <v>14</v>
      </c>
    </row>
    <row r="4" spans="1:19" x14ac:dyDescent="0.35">
      <c r="A4" s="3" t="s">
        <v>15</v>
      </c>
      <c r="B4" s="3" t="s">
        <v>16</v>
      </c>
      <c r="C4" s="3" t="s">
        <v>17</v>
      </c>
      <c r="D4" s="3" t="s">
        <v>18</v>
      </c>
      <c r="E4" s="4" t="s">
        <v>19</v>
      </c>
      <c r="G4" s="3" t="s">
        <v>20</v>
      </c>
      <c r="H4" s="3" t="s">
        <v>21</v>
      </c>
      <c r="J4" s="3" t="s">
        <v>22</v>
      </c>
    </row>
    <row r="5" spans="1:19" x14ac:dyDescent="0.35">
      <c r="A5" s="5">
        <v>3370</v>
      </c>
      <c r="B5" s="6">
        <v>0</v>
      </c>
      <c r="C5" s="6">
        <v>1895000</v>
      </c>
      <c r="D5" s="6">
        <v>20303</v>
      </c>
      <c r="E5" s="2">
        <v>1</v>
      </c>
      <c r="G5" s="7">
        <f>C5</f>
        <v>1895000</v>
      </c>
      <c r="H5" s="8">
        <f>A5</f>
        <v>3370</v>
      </c>
      <c r="J5" t="s">
        <v>23</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24</v>
      </c>
      <c r="K7" t="s">
        <v>18</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25</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334" activePane="bottomRight" state="frozen"/>
      <selection pane="topRight" activeCell="B1" sqref="B1"/>
      <selection pane="bottomLeft" activeCell="A5" sqref="A5"/>
      <selection pane="bottomRight" activeCell="B810" sqref="B810"/>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121</v>
      </c>
    </row>
    <row r="2" spans="1:13" x14ac:dyDescent="0.35">
      <c r="A2" t="s">
        <v>14</v>
      </c>
    </row>
    <row r="3" spans="1:13" x14ac:dyDescent="0.35">
      <c r="C3">
        <v>2035000</v>
      </c>
    </row>
    <row r="4" spans="1:13" x14ac:dyDescent="0.35">
      <c r="A4" s="3" t="s">
        <v>15</v>
      </c>
      <c r="B4" s="3" t="s">
        <v>16</v>
      </c>
      <c r="C4" s="3" t="s">
        <v>17</v>
      </c>
      <c r="D4" s="3" t="s">
        <v>18</v>
      </c>
      <c r="E4" s="4" t="s">
        <v>19</v>
      </c>
      <c r="G4" s="3"/>
    </row>
    <row r="5" spans="1:13" x14ac:dyDescent="0.35">
      <c r="A5" s="5">
        <v>895</v>
      </c>
      <c r="B5" s="6">
        <v>0</v>
      </c>
      <c r="C5" s="6">
        <f>B5+$C$3</f>
        <v>2035000</v>
      </c>
      <c r="D5" s="6">
        <v>30172.000000100001</v>
      </c>
      <c r="E5" s="2">
        <v>1</v>
      </c>
    </row>
    <row r="6" spans="1:13" x14ac:dyDescent="0.35">
      <c r="A6" s="5">
        <v>895.5</v>
      </c>
      <c r="B6" s="6">
        <v>15111</v>
      </c>
      <c r="C6" s="6">
        <f t="shared" ref="C6:C69" si="0">B6+$C$3</f>
        <v>2050111</v>
      </c>
      <c r="D6" s="6">
        <v>30270</v>
      </c>
      <c r="E6" s="2">
        <v>2</v>
      </c>
    </row>
    <row r="7" spans="1:13" x14ac:dyDescent="0.35">
      <c r="A7" s="5">
        <v>896</v>
      </c>
      <c r="B7" s="6">
        <v>30270</v>
      </c>
      <c r="C7" s="6">
        <f t="shared" si="0"/>
        <v>2065270</v>
      </c>
      <c r="D7" s="6">
        <v>30367.999999899999</v>
      </c>
      <c r="E7" s="2">
        <v>3</v>
      </c>
    </row>
    <row r="8" spans="1:13" x14ac:dyDescent="0.35">
      <c r="A8" s="5">
        <v>896.5</v>
      </c>
      <c r="B8" s="6">
        <v>45479</v>
      </c>
      <c r="C8" s="6">
        <f t="shared" si="0"/>
        <v>2080479</v>
      </c>
      <c r="D8" s="6">
        <v>30466</v>
      </c>
      <c r="E8" s="2">
        <v>4</v>
      </c>
    </row>
    <row r="9" spans="1:13" x14ac:dyDescent="0.35">
      <c r="A9" s="5">
        <v>897</v>
      </c>
      <c r="B9" s="36">
        <v>60736</v>
      </c>
      <c r="C9" s="6">
        <f t="shared" si="0"/>
        <v>2095736</v>
      </c>
      <c r="D9" s="6">
        <v>30563.999999899999</v>
      </c>
      <c r="E9" s="2">
        <v>5</v>
      </c>
    </row>
    <row r="10" spans="1:13" x14ac:dyDescent="0.35">
      <c r="A10" s="5">
        <v>897.5</v>
      </c>
      <c r="B10" s="36">
        <v>76043</v>
      </c>
      <c r="C10" s="6">
        <f t="shared" si="0"/>
        <v>2111043</v>
      </c>
      <c r="D10" s="6">
        <v>30662.000000100001</v>
      </c>
      <c r="E10" s="2">
        <v>6</v>
      </c>
    </row>
    <row r="11" spans="1:13" x14ac:dyDescent="0.35">
      <c r="A11" s="5">
        <v>898</v>
      </c>
      <c r="B11" s="6">
        <v>91397.999999899999</v>
      </c>
      <c r="C11" s="6">
        <f t="shared" si="0"/>
        <v>2126397.9999998999</v>
      </c>
      <c r="D11" s="6">
        <v>30760</v>
      </c>
      <c r="E11" s="2">
        <v>7</v>
      </c>
    </row>
    <row r="12" spans="1:13" x14ac:dyDescent="0.35">
      <c r="A12" s="5">
        <v>898.5</v>
      </c>
      <c r="B12" s="6">
        <v>106803</v>
      </c>
      <c r="C12" s="6">
        <f t="shared" si="0"/>
        <v>2141803</v>
      </c>
      <c r="D12" s="6">
        <v>30857.999999899999</v>
      </c>
      <c r="E12" s="2">
        <v>8</v>
      </c>
    </row>
    <row r="13" spans="1:13" x14ac:dyDescent="0.35">
      <c r="A13" s="5">
        <v>899</v>
      </c>
      <c r="B13" s="6">
        <v>122257</v>
      </c>
      <c r="C13" s="6">
        <f t="shared" si="0"/>
        <v>2157257</v>
      </c>
      <c r="D13" s="6">
        <v>30956</v>
      </c>
      <c r="E13" s="2">
        <v>9</v>
      </c>
      <c r="I13" s="6"/>
      <c r="J13" s="6"/>
      <c r="K13" s="6"/>
      <c r="L13" s="6"/>
      <c r="M13" s="7"/>
    </row>
    <row r="14" spans="1:13" x14ac:dyDescent="0.35">
      <c r="A14" s="5">
        <v>899.5</v>
      </c>
      <c r="B14" s="6">
        <v>137759</v>
      </c>
      <c r="C14" s="6">
        <f t="shared" si="0"/>
        <v>2172759</v>
      </c>
      <c r="D14" s="6">
        <v>31053.999999899999</v>
      </c>
      <c r="E14" s="2">
        <v>10</v>
      </c>
    </row>
    <row r="15" spans="1:13" x14ac:dyDescent="0.35">
      <c r="A15" s="5">
        <v>900</v>
      </c>
      <c r="B15" s="6">
        <v>153311</v>
      </c>
      <c r="C15" s="6">
        <f t="shared" si="0"/>
        <v>2188311</v>
      </c>
      <c r="D15" s="6">
        <v>31152.000000100001</v>
      </c>
      <c r="E15" s="2">
        <v>11</v>
      </c>
    </row>
    <row r="16" spans="1:13" x14ac:dyDescent="0.35">
      <c r="A16" s="5">
        <v>900.5</v>
      </c>
      <c r="B16" s="6">
        <v>168917</v>
      </c>
      <c r="C16" s="6">
        <f t="shared" si="0"/>
        <v>2203917</v>
      </c>
      <c r="D16" s="6">
        <v>31273.000000100001</v>
      </c>
      <c r="E16" s="2">
        <v>12</v>
      </c>
    </row>
    <row r="17" spans="1:5" x14ac:dyDescent="0.35">
      <c r="A17" s="5">
        <v>901</v>
      </c>
      <c r="B17" s="6">
        <v>184584</v>
      </c>
      <c r="C17" s="6">
        <f t="shared" si="0"/>
        <v>2219584</v>
      </c>
      <c r="D17" s="6">
        <v>31394</v>
      </c>
      <c r="E17" s="2">
        <v>13</v>
      </c>
    </row>
    <row r="18" spans="1:5" x14ac:dyDescent="0.35">
      <c r="A18" s="5">
        <v>901.5</v>
      </c>
      <c r="B18" s="6">
        <v>200311</v>
      </c>
      <c r="C18" s="6">
        <f t="shared" si="0"/>
        <v>2235311</v>
      </c>
      <c r="D18" s="6">
        <v>31514.000000100001</v>
      </c>
      <c r="E18" s="2">
        <v>14</v>
      </c>
    </row>
    <row r="19" spans="1:5" x14ac:dyDescent="0.35">
      <c r="A19" s="5">
        <v>902</v>
      </c>
      <c r="B19" s="6">
        <v>216098</v>
      </c>
      <c r="C19" s="6">
        <f t="shared" si="0"/>
        <v>2251098</v>
      </c>
      <c r="D19" s="6">
        <v>31635.000000100001</v>
      </c>
      <c r="E19" s="2">
        <v>15</v>
      </c>
    </row>
    <row r="20" spans="1:5" x14ac:dyDescent="0.35">
      <c r="A20" s="5">
        <v>902.5</v>
      </c>
      <c r="B20" s="6">
        <v>231946</v>
      </c>
      <c r="C20" s="6">
        <f t="shared" si="0"/>
        <v>2266946</v>
      </c>
      <c r="D20" s="6">
        <v>31754.999999899999</v>
      </c>
      <c r="E20" s="2">
        <v>16</v>
      </c>
    </row>
    <row r="21" spans="1:5" x14ac:dyDescent="0.35">
      <c r="A21" s="5">
        <v>903</v>
      </c>
      <c r="B21" s="6">
        <v>247854</v>
      </c>
      <c r="C21" s="6">
        <f t="shared" si="0"/>
        <v>2282854</v>
      </c>
      <c r="D21" s="6">
        <v>31875.999999899999</v>
      </c>
      <c r="E21" s="2">
        <v>17</v>
      </c>
    </row>
    <row r="22" spans="1:5" x14ac:dyDescent="0.35">
      <c r="A22" s="5">
        <v>903.5</v>
      </c>
      <c r="B22" s="6">
        <v>263822</v>
      </c>
      <c r="C22" s="6">
        <f t="shared" si="0"/>
        <v>2298822</v>
      </c>
      <c r="D22" s="6">
        <v>31997.000000100001</v>
      </c>
      <c r="E22" s="2">
        <v>18</v>
      </c>
    </row>
    <row r="23" spans="1:5" x14ac:dyDescent="0.35">
      <c r="A23" s="5">
        <v>904</v>
      </c>
      <c r="B23" s="6">
        <v>279851</v>
      </c>
      <c r="C23" s="6">
        <f t="shared" si="0"/>
        <v>2314851</v>
      </c>
      <c r="D23" s="6">
        <v>32116.999999899999</v>
      </c>
      <c r="E23" s="2">
        <v>19</v>
      </c>
    </row>
    <row r="24" spans="1:5" x14ac:dyDescent="0.35">
      <c r="A24" s="5">
        <v>904.5</v>
      </c>
      <c r="B24" s="6">
        <v>295939</v>
      </c>
      <c r="C24" s="6">
        <f t="shared" si="0"/>
        <v>2330939</v>
      </c>
      <c r="D24" s="6">
        <v>32237.999999899999</v>
      </c>
      <c r="E24" s="2">
        <v>20</v>
      </c>
    </row>
    <row r="25" spans="1:5" x14ac:dyDescent="0.35">
      <c r="A25" s="5">
        <v>905</v>
      </c>
      <c r="B25" s="6">
        <v>312088</v>
      </c>
      <c r="C25" s="6">
        <f t="shared" si="0"/>
        <v>2347088</v>
      </c>
      <c r="D25" s="6">
        <v>32358.999999899999</v>
      </c>
      <c r="E25" s="2">
        <v>21</v>
      </c>
    </row>
    <row r="26" spans="1:5" x14ac:dyDescent="0.35">
      <c r="A26" s="5">
        <v>905.5</v>
      </c>
      <c r="B26" s="6">
        <v>328298</v>
      </c>
      <c r="C26" s="6">
        <f t="shared" si="0"/>
        <v>2363298</v>
      </c>
      <c r="D26" s="6">
        <v>32479</v>
      </c>
      <c r="E26" s="2">
        <v>22</v>
      </c>
    </row>
    <row r="27" spans="1:5" x14ac:dyDescent="0.35">
      <c r="A27" s="5">
        <v>906</v>
      </c>
      <c r="B27" s="6">
        <v>344568</v>
      </c>
      <c r="C27" s="6">
        <f t="shared" si="0"/>
        <v>2379568</v>
      </c>
      <c r="D27" s="6">
        <v>32599.999999899999</v>
      </c>
      <c r="E27" s="2">
        <v>23</v>
      </c>
    </row>
    <row r="28" spans="1:5" x14ac:dyDescent="0.35">
      <c r="A28" s="5">
        <v>906.5</v>
      </c>
      <c r="B28" s="6">
        <v>360898</v>
      </c>
      <c r="C28" s="6">
        <f t="shared" si="0"/>
        <v>2395898</v>
      </c>
      <c r="D28" s="6">
        <v>32720</v>
      </c>
      <c r="E28" s="2">
        <v>24</v>
      </c>
    </row>
    <row r="29" spans="1:5" x14ac:dyDescent="0.35">
      <c r="A29" s="5">
        <v>907</v>
      </c>
      <c r="B29" s="6">
        <v>377288</v>
      </c>
      <c r="C29" s="6">
        <f t="shared" si="0"/>
        <v>2412288</v>
      </c>
      <c r="D29" s="6">
        <v>32841</v>
      </c>
      <c r="E29" s="2">
        <v>25</v>
      </c>
    </row>
    <row r="30" spans="1:5" x14ac:dyDescent="0.35">
      <c r="A30" s="5">
        <v>907.5</v>
      </c>
      <c r="B30" s="6">
        <v>393739</v>
      </c>
      <c r="C30" s="6">
        <f t="shared" si="0"/>
        <v>2428739</v>
      </c>
      <c r="D30" s="6">
        <v>32962</v>
      </c>
      <c r="E30" s="2">
        <v>26</v>
      </c>
    </row>
    <row r="31" spans="1:5" x14ac:dyDescent="0.35">
      <c r="A31" s="5">
        <v>908</v>
      </c>
      <c r="B31" s="6">
        <v>410250</v>
      </c>
      <c r="C31" s="6">
        <f t="shared" si="0"/>
        <v>2445250</v>
      </c>
      <c r="D31" s="6">
        <v>33082</v>
      </c>
      <c r="E31" s="2">
        <v>27</v>
      </c>
    </row>
    <row r="32" spans="1:5" x14ac:dyDescent="0.35">
      <c r="A32" s="5">
        <v>908.5</v>
      </c>
      <c r="B32" s="6">
        <v>426821</v>
      </c>
      <c r="C32" s="6">
        <f t="shared" si="0"/>
        <v>2461821</v>
      </c>
      <c r="D32" s="6">
        <v>33203</v>
      </c>
      <c r="E32" s="2">
        <v>28</v>
      </c>
    </row>
    <row r="33" spans="1:5" x14ac:dyDescent="0.35">
      <c r="A33" s="5">
        <v>909</v>
      </c>
      <c r="B33" s="6">
        <v>443452</v>
      </c>
      <c r="C33" s="6">
        <f t="shared" si="0"/>
        <v>2478452</v>
      </c>
      <c r="D33" s="6">
        <v>33323.000000100001</v>
      </c>
      <c r="E33" s="2">
        <v>29</v>
      </c>
    </row>
    <row r="34" spans="1:5" x14ac:dyDescent="0.35">
      <c r="A34" s="5">
        <v>909.5</v>
      </c>
      <c r="B34" s="6">
        <v>460144</v>
      </c>
      <c r="C34" s="6">
        <f t="shared" si="0"/>
        <v>2495144</v>
      </c>
      <c r="D34" s="6">
        <v>33444.000000100001</v>
      </c>
      <c r="E34" s="2">
        <v>30</v>
      </c>
    </row>
    <row r="35" spans="1:5" x14ac:dyDescent="0.35">
      <c r="A35" s="5">
        <v>910</v>
      </c>
      <c r="B35" s="6">
        <v>476896</v>
      </c>
      <c r="C35" s="6">
        <f t="shared" si="0"/>
        <v>2511896</v>
      </c>
      <c r="D35" s="6">
        <v>33565</v>
      </c>
      <c r="E35" s="2">
        <v>31</v>
      </c>
    </row>
    <row r="36" spans="1:5" x14ac:dyDescent="0.35">
      <c r="A36" s="5">
        <v>910.5</v>
      </c>
      <c r="B36" s="6">
        <v>493708</v>
      </c>
      <c r="C36" s="6">
        <f t="shared" si="0"/>
        <v>2528708</v>
      </c>
      <c r="D36" s="6">
        <v>33683.000000100001</v>
      </c>
      <c r="E36" s="2">
        <v>32</v>
      </c>
    </row>
    <row r="37" spans="1:5" x14ac:dyDescent="0.35">
      <c r="A37" s="5">
        <v>911</v>
      </c>
      <c r="B37" s="6">
        <v>510579</v>
      </c>
      <c r="C37" s="6">
        <f t="shared" si="0"/>
        <v>2545579</v>
      </c>
      <c r="D37" s="6">
        <v>33800</v>
      </c>
      <c r="E37" s="2">
        <v>33</v>
      </c>
    </row>
    <row r="38" spans="1:5" x14ac:dyDescent="0.35">
      <c r="A38" s="5">
        <v>911.5</v>
      </c>
      <c r="B38" s="6">
        <v>527509</v>
      </c>
      <c r="C38" s="6">
        <f t="shared" si="0"/>
        <v>2562509</v>
      </c>
      <c r="D38" s="6">
        <v>33918</v>
      </c>
      <c r="E38" s="2">
        <v>34</v>
      </c>
    </row>
    <row r="39" spans="1:5" x14ac:dyDescent="0.35">
      <c r="A39" s="5">
        <v>912</v>
      </c>
      <c r="B39" s="6">
        <v>544497</v>
      </c>
      <c r="C39" s="6">
        <f t="shared" si="0"/>
        <v>2579497</v>
      </c>
      <c r="D39" s="6">
        <v>34036</v>
      </c>
      <c r="E39" s="2">
        <v>35</v>
      </c>
    </row>
    <row r="40" spans="1:5" x14ac:dyDescent="0.35">
      <c r="A40" s="5">
        <v>912.5</v>
      </c>
      <c r="B40" s="6">
        <v>561545</v>
      </c>
      <c r="C40" s="6">
        <f t="shared" si="0"/>
        <v>2596545</v>
      </c>
      <c r="D40" s="6">
        <v>34154.000000100001</v>
      </c>
      <c r="E40" s="2">
        <v>36</v>
      </c>
    </row>
    <row r="41" spans="1:5" x14ac:dyDescent="0.35">
      <c r="A41" s="5">
        <v>913</v>
      </c>
      <c r="B41" s="6">
        <v>578651</v>
      </c>
      <c r="C41" s="6">
        <f t="shared" si="0"/>
        <v>2613651</v>
      </c>
      <c r="D41" s="6">
        <v>34271.999999899999</v>
      </c>
      <c r="E41" s="2">
        <v>37</v>
      </c>
    </row>
    <row r="42" spans="1:5" x14ac:dyDescent="0.35">
      <c r="A42" s="5">
        <v>913.5</v>
      </c>
      <c r="B42" s="6">
        <v>595817</v>
      </c>
      <c r="C42" s="6">
        <f t="shared" si="0"/>
        <v>2630817</v>
      </c>
      <c r="D42" s="6">
        <v>34389.999999899999</v>
      </c>
      <c r="E42" s="2">
        <v>38</v>
      </c>
    </row>
    <row r="43" spans="1:5" x14ac:dyDescent="0.35">
      <c r="A43" s="5">
        <v>914</v>
      </c>
      <c r="B43" s="6">
        <v>613041</v>
      </c>
      <c r="C43" s="6">
        <f t="shared" si="0"/>
        <v>2648041</v>
      </c>
      <c r="D43" s="6">
        <v>34508</v>
      </c>
      <c r="E43" s="2">
        <v>39</v>
      </c>
    </row>
    <row r="44" spans="1:5" x14ac:dyDescent="0.35">
      <c r="A44" s="5">
        <v>914.5</v>
      </c>
      <c r="B44" s="6">
        <v>630324</v>
      </c>
      <c r="C44" s="6">
        <f t="shared" si="0"/>
        <v>2665324</v>
      </c>
      <c r="D44" s="6">
        <v>34626</v>
      </c>
      <c r="E44" s="2">
        <v>40</v>
      </c>
    </row>
    <row r="45" spans="1:5" x14ac:dyDescent="0.35">
      <c r="A45" s="5">
        <v>915</v>
      </c>
      <c r="B45" s="6">
        <v>647667</v>
      </c>
      <c r="C45" s="6">
        <f t="shared" si="0"/>
        <v>2682667</v>
      </c>
      <c r="D45" s="6">
        <v>34742.999999899999</v>
      </c>
      <c r="E45" s="2">
        <v>41</v>
      </c>
    </row>
    <row r="46" spans="1:5" x14ac:dyDescent="0.35">
      <c r="A46" s="5">
        <v>915.5</v>
      </c>
      <c r="B46" s="6">
        <v>665068</v>
      </c>
      <c r="C46" s="6">
        <f t="shared" si="0"/>
        <v>2700068</v>
      </c>
      <c r="D46" s="6">
        <v>34860.999999899999</v>
      </c>
      <c r="E46" s="2">
        <v>42</v>
      </c>
    </row>
    <row r="47" spans="1:5" x14ac:dyDescent="0.35">
      <c r="A47" s="5">
        <v>916</v>
      </c>
      <c r="B47" s="6">
        <v>682528</v>
      </c>
      <c r="C47" s="6">
        <f t="shared" si="0"/>
        <v>2717528</v>
      </c>
      <c r="D47" s="6">
        <v>34979</v>
      </c>
      <c r="E47" s="2">
        <v>43</v>
      </c>
    </row>
    <row r="48" spans="1:5" x14ac:dyDescent="0.35">
      <c r="A48" s="5">
        <v>916.5</v>
      </c>
      <c r="B48" s="6">
        <v>700047</v>
      </c>
      <c r="C48" s="6">
        <f t="shared" si="0"/>
        <v>2735047</v>
      </c>
      <c r="D48" s="6">
        <v>35097</v>
      </c>
      <c r="E48" s="2">
        <v>44</v>
      </c>
    </row>
    <row r="49" spans="1:5" x14ac:dyDescent="0.35">
      <c r="A49" s="5">
        <v>917</v>
      </c>
      <c r="B49" s="6">
        <v>717625</v>
      </c>
      <c r="C49" s="6">
        <f t="shared" si="0"/>
        <v>2752625</v>
      </c>
      <c r="D49" s="6">
        <v>35215</v>
      </c>
      <c r="E49" s="2">
        <v>45</v>
      </c>
    </row>
    <row r="50" spans="1:5" x14ac:dyDescent="0.35">
      <c r="A50" s="5">
        <v>917.5</v>
      </c>
      <c r="B50" s="6">
        <v>735262</v>
      </c>
      <c r="C50" s="6">
        <f t="shared" si="0"/>
        <v>2770262</v>
      </c>
      <c r="D50" s="6">
        <v>35333.000000100001</v>
      </c>
      <c r="E50" s="2">
        <v>46</v>
      </c>
    </row>
    <row r="51" spans="1:5" x14ac:dyDescent="0.35">
      <c r="A51" s="5">
        <v>918</v>
      </c>
      <c r="B51" s="6">
        <v>752958</v>
      </c>
      <c r="C51" s="6">
        <f t="shared" si="0"/>
        <v>2787958</v>
      </c>
      <c r="D51" s="6">
        <v>35451.000000100001</v>
      </c>
      <c r="E51" s="2">
        <v>47</v>
      </c>
    </row>
    <row r="52" spans="1:5" x14ac:dyDescent="0.35">
      <c r="A52" s="5">
        <v>918.5</v>
      </c>
      <c r="B52" s="6">
        <v>770713</v>
      </c>
      <c r="C52" s="6">
        <f t="shared" si="0"/>
        <v>2805713</v>
      </c>
      <c r="D52" s="6">
        <v>35568.999999899999</v>
      </c>
      <c r="E52" s="2">
        <v>48</v>
      </c>
    </row>
    <row r="53" spans="1:5" x14ac:dyDescent="0.35">
      <c r="A53" s="5">
        <v>919</v>
      </c>
      <c r="B53" s="6">
        <v>788526</v>
      </c>
      <c r="C53" s="6">
        <f t="shared" si="0"/>
        <v>2823526</v>
      </c>
      <c r="D53" s="6">
        <v>35686.000000100001</v>
      </c>
      <c r="E53" s="2">
        <v>49</v>
      </c>
    </row>
    <row r="54" spans="1:5" x14ac:dyDescent="0.35">
      <c r="A54" s="5">
        <v>919.5</v>
      </c>
      <c r="B54" s="6">
        <v>806399</v>
      </c>
      <c r="C54" s="6">
        <f t="shared" si="0"/>
        <v>2841399</v>
      </c>
      <c r="D54" s="6">
        <v>35804.000000100001</v>
      </c>
      <c r="E54" s="2">
        <v>50</v>
      </c>
    </row>
    <row r="55" spans="1:5" x14ac:dyDescent="0.35">
      <c r="A55" s="5">
        <v>920</v>
      </c>
      <c r="B55" s="6">
        <v>824331.00000200002</v>
      </c>
      <c r="C55" s="6">
        <f t="shared" si="0"/>
        <v>2859331.000002</v>
      </c>
      <c r="D55" s="6">
        <v>35921.999999899999</v>
      </c>
      <c r="E55" s="2">
        <v>51</v>
      </c>
    </row>
    <row r="56" spans="1:5" x14ac:dyDescent="0.35">
      <c r="A56" s="5">
        <v>920.5</v>
      </c>
      <c r="B56" s="6">
        <v>842319.99999799998</v>
      </c>
      <c r="C56" s="6">
        <f t="shared" si="0"/>
        <v>2877319.999998</v>
      </c>
      <c r="D56" s="6">
        <v>36036.000000100001</v>
      </c>
      <c r="E56" s="2">
        <v>52</v>
      </c>
    </row>
    <row r="57" spans="1:5" x14ac:dyDescent="0.35">
      <c r="A57" s="5">
        <v>921</v>
      </c>
      <c r="B57" s="6">
        <v>860367.00000400003</v>
      </c>
      <c r="C57" s="6">
        <f t="shared" si="0"/>
        <v>2895367.000004</v>
      </c>
      <c r="D57" s="6">
        <v>36150.000000100001</v>
      </c>
      <c r="E57" s="2">
        <v>53</v>
      </c>
    </row>
    <row r="58" spans="1:5" x14ac:dyDescent="0.35">
      <c r="A58" s="5">
        <v>921.5</v>
      </c>
      <c r="B58" s="6">
        <v>878470.99999799998</v>
      </c>
      <c r="C58" s="6">
        <f t="shared" si="0"/>
        <v>2913470.999998</v>
      </c>
      <c r="D58" s="6">
        <v>36264</v>
      </c>
      <c r="E58" s="2">
        <v>54</v>
      </c>
    </row>
    <row r="59" spans="1:5" x14ac:dyDescent="0.35">
      <c r="A59" s="5">
        <v>922</v>
      </c>
      <c r="B59" s="6">
        <v>896630.99999799998</v>
      </c>
      <c r="C59" s="6">
        <f t="shared" si="0"/>
        <v>2931630.999998</v>
      </c>
      <c r="D59" s="6">
        <v>36378</v>
      </c>
      <c r="E59" s="2">
        <v>55</v>
      </c>
    </row>
    <row r="60" spans="1:5" x14ac:dyDescent="0.35">
      <c r="A60" s="5">
        <v>922.5</v>
      </c>
      <c r="B60" s="6">
        <v>914849.00000100001</v>
      </c>
      <c r="C60" s="6">
        <f t="shared" si="0"/>
        <v>2949849.0000010002</v>
      </c>
      <c r="D60" s="6">
        <v>36491.999999899999</v>
      </c>
      <c r="E60" s="2">
        <v>56</v>
      </c>
    </row>
    <row r="61" spans="1:5" x14ac:dyDescent="0.35">
      <c r="A61" s="5">
        <v>923</v>
      </c>
      <c r="B61" s="6">
        <v>933123.00000200002</v>
      </c>
      <c r="C61" s="6">
        <f t="shared" si="0"/>
        <v>2968123.000002</v>
      </c>
      <c r="D61" s="6">
        <v>36607.000000100001</v>
      </c>
      <c r="E61" s="2">
        <v>57</v>
      </c>
    </row>
    <row r="62" spans="1:5" x14ac:dyDescent="0.35">
      <c r="A62" s="5">
        <v>923.5</v>
      </c>
      <c r="B62" s="6">
        <v>951454.99999699998</v>
      </c>
      <c r="C62" s="6">
        <f t="shared" si="0"/>
        <v>2986454.9999970002</v>
      </c>
      <c r="D62" s="6">
        <v>36721</v>
      </c>
      <c r="E62" s="2">
        <v>58</v>
      </c>
    </row>
    <row r="63" spans="1:5" x14ac:dyDescent="0.35">
      <c r="A63" s="5">
        <v>924</v>
      </c>
      <c r="B63" s="6">
        <v>969843.99999599997</v>
      </c>
      <c r="C63" s="6">
        <f t="shared" si="0"/>
        <v>3004843.999996</v>
      </c>
      <c r="D63" s="6">
        <v>36835</v>
      </c>
      <c r="E63" s="2">
        <v>59</v>
      </c>
    </row>
    <row r="64" spans="1:5" x14ac:dyDescent="0.35">
      <c r="A64" s="5">
        <v>924.5</v>
      </c>
      <c r="B64" s="6">
        <v>988290</v>
      </c>
      <c r="C64" s="6">
        <f t="shared" si="0"/>
        <v>3023290</v>
      </c>
      <c r="D64" s="6">
        <v>36948.999999899999</v>
      </c>
      <c r="E64" s="2">
        <v>60</v>
      </c>
    </row>
    <row r="65" spans="1:5" x14ac:dyDescent="0.35">
      <c r="A65" s="5">
        <v>925</v>
      </c>
      <c r="B65" s="6">
        <v>1006793</v>
      </c>
      <c r="C65" s="6">
        <f t="shared" si="0"/>
        <v>3041793</v>
      </c>
      <c r="D65" s="6">
        <v>37062.999999899999</v>
      </c>
      <c r="E65" s="2">
        <v>61</v>
      </c>
    </row>
    <row r="66" spans="1:5" x14ac:dyDescent="0.35">
      <c r="A66" s="5">
        <v>925.5</v>
      </c>
      <c r="B66" s="6">
        <v>1025353</v>
      </c>
      <c r="C66" s="6">
        <f t="shared" si="0"/>
        <v>3060353</v>
      </c>
      <c r="D66" s="6">
        <v>37177.000000100001</v>
      </c>
      <c r="E66" s="2">
        <v>62</v>
      </c>
    </row>
    <row r="67" spans="1:5" x14ac:dyDescent="0.35">
      <c r="A67" s="5">
        <v>926</v>
      </c>
      <c r="B67" s="6">
        <v>1043970</v>
      </c>
      <c r="C67" s="6">
        <f t="shared" si="0"/>
        <v>3078970</v>
      </c>
      <c r="D67" s="6">
        <v>37291.000000100001</v>
      </c>
      <c r="E67" s="2">
        <v>63</v>
      </c>
    </row>
    <row r="68" spans="1:5" x14ac:dyDescent="0.35">
      <c r="A68" s="5">
        <v>926.5</v>
      </c>
      <c r="B68" s="6">
        <v>1062644</v>
      </c>
      <c r="C68" s="6">
        <f t="shared" si="0"/>
        <v>3097644</v>
      </c>
      <c r="D68" s="6">
        <v>37405</v>
      </c>
      <c r="E68" s="2">
        <v>64</v>
      </c>
    </row>
    <row r="69" spans="1:5" x14ac:dyDescent="0.35">
      <c r="A69" s="5">
        <v>927</v>
      </c>
      <c r="B69" s="6">
        <v>1081375</v>
      </c>
      <c r="C69" s="6">
        <f t="shared" si="0"/>
        <v>3116375</v>
      </c>
      <c r="D69" s="6">
        <v>37519</v>
      </c>
      <c r="E69" s="2">
        <v>65</v>
      </c>
    </row>
    <row r="70" spans="1:5" x14ac:dyDescent="0.35">
      <c r="A70" s="5">
        <v>927.5</v>
      </c>
      <c r="B70" s="6">
        <v>1100163</v>
      </c>
      <c r="C70" s="6">
        <f t="shared" ref="C70:C133" si="1">B70+$C$3</f>
        <v>3135163</v>
      </c>
      <c r="D70" s="6">
        <v>37633</v>
      </c>
      <c r="E70" s="2">
        <v>66</v>
      </c>
    </row>
    <row r="71" spans="1:5" x14ac:dyDescent="0.35">
      <c r="A71" s="5">
        <v>928</v>
      </c>
      <c r="B71" s="6">
        <v>1119008</v>
      </c>
      <c r="C71" s="6">
        <f t="shared" si="1"/>
        <v>3154008</v>
      </c>
      <c r="D71" s="6">
        <v>37746.999999899999</v>
      </c>
      <c r="E71" s="2">
        <v>67</v>
      </c>
    </row>
    <row r="72" spans="1:5" x14ac:dyDescent="0.35">
      <c r="A72" s="5">
        <v>928.5</v>
      </c>
      <c r="B72" s="6">
        <v>1137910</v>
      </c>
      <c r="C72" s="6">
        <f t="shared" si="1"/>
        <v>3172910</v>
      </c>
      <c r="D72" s="6">
        <v>37860.999999899999</v>
      </c>
      <c r="E72" s="2">
        <v>68</v>
      </c>
    </row>
    <row r="73" spans="1:5" x14ac:dyDescent="0.35">
      <c r="A73" s="5">
        <v>929</v>
      </c>
      <c r="B73" s="6">
        <v>1156869</v>
      </c>
      <c r="C73" s="6">
        <f t="shared" si="1"/>
        <v>3191869</v>
      </c>
      <c r="D73" s="6">
        <v>37975.000000100001</v>
      </c>
      <c r="E73" s="2">
        <v>69</v>
      </c>
    </row>
    <row r="74" spans="1:5" x14ac:dyDescent="0.35">
      <c r="A74" s="5">
        <v>929.5</v>
      </c>
      <c r="B74" s="6">
        <v>1175885</v>
      </c>
      <c r="C74" s="6">
        <f t="shared" si="1"/>
        <v>3210885</v>
      </c>
      <c r="D74" s="6">
        <v>38089.000000100001</v>
      </c>
      <c r="E74" s="2">
        <v>70</v>
      </c>
    </row>
    <row r="75" spans="1:5" x14ac:dyDescent="0.35">
      <c r="A75" s="5">
        <v>930</v>
      </c>
      <c r="B75" s="6">
        <v>1194958</v>
      </c>
      <c r="C75" s="6">
        <f t="shared" si="1"/>
        <v>3229958</v>
      </c>
      <c r="D75" s="6">
        <v>38203</v>
      </c>
      <c r="E75" s="2">
        <v>71</v>
      </c>
    </row>
    <row r="76" spans="1:5" x14ac:dyDescent="0.35">
      <c r="A76" s="5">
        <v>930.5</v>
      </c>
      <c r="B76" s="6">
        <v>1214089</v>
      </c>
      <c r="C76" s="6">
        <f t="shared" si="1"/>
        <v>3249089</v>
      </c>
      <c r="D76" s="6">
        <v>38319.999999899999</v>
      </c>
      <c r="E76" s="2">
        <v>72</v>
      </c>
    </row>
    <row r="77" spans="1:5" x14ac:dyDescent="0.35">
      <c r="A77" s="5">
        <v>931</v>
      </c>
      <c r="B77" s="6">
        <v>1233278</v>
      </c>
      <c r="C77" s="6">
        <f t="shared" si="1"/>
        <v>3268278</v>
      </c>
      <c r="D77" s="6">
        <v>38435.999999899999</v>
      </c>
      <c r="E77" s="2">
        <v>73</v>
      </c>
    </row>
    <row r="78" spans="1:5" x14ac:dyDescent="0.35">
      <c r="A78" s="5">
        <v>931.5</v>
      </c>
      <c r="B78" s="6">
        <v>1252525</v>
      </c>
      <c r="C78" s="6">
        <f t="shared" si="1"/>
        <v>3287525</v>
      </c>
      <c r="D78" s="6">
        <v>38551.999999899999</v>
      </c>
      <c r="E78" s="2">
        <v>74</v>
      </c>
    </row>
    <row r="79" spans="1:5" x14ac:dyDescent="0.35">
      <c r="A79" s="5">
        <v>932</v>
      </c>
      <c r="B79" s="6">
        <v>1271830</v>
      </c>
      <c r="C79" s="6">
        <f t="shared" si="1"/>
        <v>3306830</v>
      </c>
      <c r="D79" s="6">
        <v>38667.999999899999</v>
      </c>
      <c r="E79" s="2">
        <v>75</v>
      </c>
    </row>
    <row r="80" spans="1:5" x14ac:dyDescent="0.35">
      <c r="A80" s="5">
        <v>932.5</v>
      </c>
      <c r="B80" s="6">
        <v>1291193</v>
      </c>
      <c r="C80" s="6">
        <f t="shared" si="1"/>
        <v>3326193</v>
      </c>
      <c r="D80" s="6">
        <v>38783.999999899999</v>
      </c>
      <c r="E80" s="2">
        <v>76</v>
      </c>
    </row>
    <row r="81" spans="1:5" x14ac:dyDescent="0.35">
      <c r="A81" s="5">
        <v>933</v>
      </c>
      <c r="B81" s="6">
        <v>1310614</v>
      </c>
      <c r="C81" s="6">
        <f t="shared" si="1"/>
        <v>3345614</v>
      </c>
      <c r="D81" s="6">
        <v>38899.999999899999</v>
      </c>
      <c r="E81" s="2">
        <v>77</v>
      </c>
    </row>
    <row r="82" spans="1:5" x14ac:dyDescent="0.35">
      <c r="A82" s="5">
        <v>933.5</v>
      </c>
      <c r="B82" s="6">
        <v>1330093</v>
      </c>
      <c r="C82" s="6">
        <f t="shared" si="1"/>
        <v>3365093</v>
      </c>
      <c r="D82" s="6">
        <v>39015.999999899999</v>
      </c>
      <c r="E82" s="2">
        <v>78</v>
      </c>
    </row>
    <row r="83" spans="1:5" x14ac:dyDescent="0.35">
      <c r="A83" s="5">
        <v>934</v>
      </c>
      <c r="B83" s="6">
        <v>1349630</v>
      </c>
      <c r="C83" s="6">
        <f t="shared" si="1"/>
        <v>3384630</v>
      </c>
      <c r="D83" s="6">
        <v>39133.000000100001</v>
      </c>
      <c r="E83" s="2">
        <v>79</v>
      </c>
    </row>
    <row r="84" spans="1:5" x14ac:dyDescent="0.35">
      <c r="A84" s="5">
        <v>934.5</v>
      </c>
      <c r="B84" s="6">
        <v>1369226</v>
      </c>
      <c r="C84" s="6">
        <f t="shared" si="1"/>
        <v>3404226</v>
      </c>
      <c r="D84" s="6">
        <v>39249.000000100001</v>
      </c>
      <c r="E84" s="2">
        <v>80</v>
      </c>
    </row>
    <row r="85" spans="1:5" x14ac:dyDescent="0.35">
      <c r="A85" s="5">
        <v>935</v>
      </c>
      <c r="B85" s="6">
        <v>1388879</v>
      </c>
      <c r="C85" s="6">
        <f t="shared" si="1"/>
        <v>3423879</v>
      </c>
      <c r="D85" s="6">
        <v>39365.000000100001</v>
      </c>
      <c r="E85" s="2">
        <v>81</v>
      </c>
    </row>
    <row r="86" spans="1:5" x14ac:dyDescent="0.35">
      <c r="A86" s="5">
        <v>935.5</v>
      </c>
      <c r="B86" s="6">
        <v>1408591</v>
      </c>
      <c r="C86" s="6">
        <f t="shared" si="1"/>
        <v>3443591</v>
      </c>
      <c r="D86" s="6">
        <v>39481.000000100001</v>
      </c>
      <c r="E86" s="2">
        <v>82</v>
      </c>
    </row>
    <row r="87" spans="1:5" x14ac:dyDescent="0.35">
      <c r="A87" s="5">
        <v>936</v>
      </c>
      <c r="B87" s="6">
        <v>1428360</v>
      </c>
      <c r="C87" s="6">
        <f t="shared" si="1"/>
        <v>3463360</v>
      </c>
      <c r="D87" s="6">
        <v>39597.000000100001</v>
      </c>
      <c r="E87" s="2">
        <v>83</v>
      </c>
    </row>
    <row r="88" spans="1:5" x14ac:dyDescent="0.35">
      <c r="A88" s="5">
        <v>936.5</v>
      </c>
      <c r="B88" s="6">
        <v>1448188</v>
      </c>
      <c r="C88" s="6">
        <f t="shared" si="1"/>
        <v>3483188</v>
      </c>
      <c r="D88" s="6">
        <v>39713.000000100001</v>
      </c>
      <c r="E88" s="2">
        <v>84</v>
      </c>
    </row>
    <row r="89" spans="1:5" x14ac:dyDescent="0.35">
      <c r="A89" s="5">
        <v>937</v>
      </c>
      <c r="B89" s="6">
        <v>1468074</v>
      </c>
      <c r="C89" s="6">
        <f t="shared" si="1"/>
        <v>3503074</v>
      </c>
      <c r="D89" s="6">
        <v>39830</v>
      </c>
      <c r="E89" s="2">
        <v>85</v>
      </c>
    </row>
    <row r="90" spans="1:5" x14ac:dyDescent="0.35">
      <c r="A90" s="5">
        <v>937.5</v>
      </c>
      <c r="B90" s="6">
        <v>1488018</v>
      </c>
      <c r="C90" s="6">
        <f t="shared" si="1"/>
        <v>3523018</v>
      </c>
      <c r="D90" s="6">
        <v>39946</v>
      </c>
      <c r="E90" s="2">
        <v>86</v>
      </c>
    </row>
    <row r="91" spans="1:5" x14ac:dyDescent="0.35">
      <c r="A91" s="5">
        <v>938</v>
      </c>
      <c r="B91" s="6">
        <v>1508019</v>
      </c>
      <c r="C91" s="6">
        <f t="shared" si="1"/>
        <v>3543019</v>
      </c>
      <c r="D91" s="6">
        <v>40062</v>
      </c>
      <c r="E91" s="2">
        <v>87</v>
      </c>
    </row>
    <row r="92" spans="1:5" x14ac:dyDescent="0.35">
      <c r="A92" s="5">
        <v>938.5</v>
      </c>
      <c r="B92" s="6">
        <v>1528079</v>
      </c>
      <c r="C92" s="6">
        <f t="shared" si="1"/>
        <v>3563079</v>
      </c>
      <c r="D92" s="6">
        <v>40178</v>
      </c>
      <c r="E92" s="2">
        <v>88</v>
      </c>
    </row>
    <row r="93" spans="1:5" x14ac:dyDescent="0.35">
      <c r="A93" s="5">
        <v>939</v>
      </c>
      <c r="B93" s="6">
        <v>1548198</v>
      </c>
      <c r="C93" s="6">
        <f t="shared" si="1"/>
        <v>3583198</v>
      </c>
      <c r="D93" s="6">
        <v>40294</v>
      </c>
      <c r="E93" s="2">
        <v>89</v>
      </c>
    </row>
    <row r="94" spans="1:5" x14ac:dyDescent="0.35">
      <c r="A94" s="5">
        <v>939.5</v>
      </c>
      <c r="B94" s="6">
        <v>1568374</v>
      </c>
      <c r="C94" s="6">
        <f t="shared" si="1"/>
        <v>3603374</v>
      </c>
      <c r="D94" s="6">
        <v>40410</v>
      </c>
      <c r="E94" s="2">
        <v>90</v>
      </c>
    </row>
    <row r="95" spans="1:5" x14ac:dyDescent="0.35">
      <c r="A95" s="5">
        <v>940</v>
      </c>
      <c r="B95" s="6">
        <v>1588608</v>
      </c>
      <c r="C95" s="6">
        <f t="shared" si="1"/>
        <v>3623608</v>
      </c>
      <c r="D95" s="6">
        <v>40527.000000100001</v>
      </c>
      <c r="E95" s="2">
        <v>91</v>
      </c>
    </row>
    <row r="96" spans="1:5" x14ac:dyDescent="0.35">
      <c r="A96" s="5">
        <v>940.5</v>
      </c>
      <c r="B96" s="6">
        <v>1608900</v>
      </c>
      <c r="C96" s="6">
        <f t="shared" si="1"/>
        <v>3643900</v>
      </c>
      <c r="D96" s="6">
        <v>40644</v>
      </c>
      <c r="E96" s="2">
        <v>92</v>
      </c>
    </row>
    <row r="97" spans="1:5" x14ac:dyDescent="0.35">
      <c r="A97" s="5">
        <v>941</v>
      </c>
      <c r="B97" s="6">
        <v>1629251</v>
      </c>
      <c r="C97" s="6">
        <f t="shared" si="1"/>
        <v>3664251</v>
      </c>
      <c r="D97" s="6">
        <v>40760.999999899999</v>
      </c>
      <c r="E97" s="2">
        <v>93</v>
      </c>
    </row>
    <row r="98" spans="1:5" x14ac:dyDescent="0.35">
      <c r="A98" s="5">
        <v>941.5</v>
      </c>
      <c r="B98" s="6">
        <v>1649661</v>
      </c>
      <c r="C98" s="6">
        <f t="shared" si="1"/>
        <v>3684661</v>
      </c>
      <c r="D98" s="6">
        <v>40878</v>
      </c>
      <c r="E98" s="2">
        <v>94</v>
      </c>
    </row>
    <row r="99" spans="1:5" x14ac:dyDescent="0.35">
      <c r="A99" s="5">
        <v>942</v>
      </c>
      <c r="B99" s="6">
        <v>1670130</v>
      </c>
      <c r="C99" s="6">
        <f t="shared" si="1"/>
        <v>3705130</v>
      </c>
      <c r="D99" s="6">
        <v>40994.999999899999</v>
      </c>
      <c r="E99" s="2">
        <v>95</v>
      </c>
    </row>
    <row r="100" spans="1:5" x14ac:dyDescent="0.35">
      <c r="A100" s="5">
        <v>942.5</v>
      </c>
      <c r="B100" s="6">
        <v>1690656</v>
      </c>
      <c r="C100" s="6">
        <f t="shared" si="1"/>
        <v>3725656</v>
      </c>
      <c r="D100" s="6">
        <v>41112.000000100001</v>
      </c>
      <c r="E100" s="2">
        <v>96</v>
      </c>
    </row>
    <row r="101" spans="1:5" x14ac:dyDescent="0.35">
      <c r="A101" s="5">
        <v>943</v>
      </c>
      <c r="B101" s="6">
        <v>1711242</v>
      </c>
      <c r="C101" s="6">
        <f t="shared" si="1"/>
        <v>3746242</v>
      </c>
      <c r="D101" s="6">
        <v>41229</v>
      </c>
      <c r="E101" s="2">
        <v>97</v>
      </c>
    </row>
    <row r="102" spans="1:5" x14ac:dyDescent="0.35">
      <c r="A102" s="5">
        <v>943.5</v>
      </c>
      <c r="B102" s="6">
        <v>1731886</v>
      </c>
      <c r="C102" s="6">
        <f t="shared" si="1"/>
        <v>3766886</v>
      </c>
      <c r="D102" s="6">
        <v>41346.000000100001</v>
      </c>
      <c r="E102" s="2">
        <v>98</v>
      </c>
    </row>
    <row r="103" spans="1:5" x14ac:dyDescent="0.35">
      <c r="A103" s="5">
        <v>944</v>
      </c>
      <c r="B103" s="6">
        <v>1752588</v>
      </c>
      <c r="C103" s="6">
        <f t="shared" si="1"/>
        <v>3787588</v>
      </c>
      <c r="D103" s="6">
        <v>41463</v>
      </c>
      <c r="E103" s="2">
        <v>99</v>
      </c>
    </row>
    <row r="104" spans="1:5" x14ac:dyDescent="0.35">
      <c r="A104" s="5">
        <v>944.5</v>
      </c>
      <c r="B104" s="6">
        <v>1773349</v>
      </c>
      <c r="C104" s="6">
        <f t="shared" si="1"/>
        <v>3808349</v>
      </c>
      <c r="D104" s="6">
        <v>41581</v>
      </c>
      <c r="E104" s="2">
        <v>100</v>
      </c>
    </row>
    <row r="105" spans="1:5" x14ac:dyDescent="0.35">
      <c r="A105" s="5">
        <v>945</v>
      </c>
      <c r="B105" s="6">
        <v>1794169</v>
      </c>
      <c r="C105" s="6">
        <f t="shared" si="1"/>
        <v>3829169</v>
      </c>
      <c r="D105" s="6">
        <v>41697.999999899999</v>
      </c>
      <c r="E105" s="2">
        <v>101</v>
      </c>
    </row>
    <row r="106" spans="1:5" x14ac:dyDescent="0.35">
      <c r="A106" s="5">
        <v>945.5</v>
      </c>
      <c r="B106" s="6">
        <v>1815047</v>
      </c>
      <c r="C106" s="6">
        <f t="shared" si="1"/>
        <v>3850047</v>
      </c>
      <c r="D106" s="6">
        <v>41815.000000100001</v>
      </c>
      <c r="E106" s="2">
        <v>102</v>
      </c>
    </row>
    <row r="107" spans="1:5" x14ac:dyDescent="0.35">
      <c r="A107" s="5">
        <v>946</v>
      </c>
      <c r="B107" s="6">
        <v>1835984</v>
      </c>
      <c r="C107" s="6">
        <f t="shared" si="1"/>
        <v>3870984</v>
      </c>
      <c r="D107" s="6">
        <v>41932</v>
      </c>
      <c r="E107" s="2">
        <v>103</v>
      </c>
    </row>
    <row r="108" spans="1:5" x14ac:dyDescent="0.35">
      <c r="A108" s="5">
        <v>946.5</v>
      </c>
      <c r="B108" s="6">
        <v>1856979</v>
      </c>
      <c r="C108" s="6">
        <f t="shared" si="1"/>
        <v>3891979</v>
      </c>
      <c r="D108" s="6">
        <v>42048.999999899999</v>
      </c>
      <c r="E108" s="2">
        <v>104</v>
      </c>
    </row>
    <row r="109" spans="1:5" x14ac:dyDescent="0.35">
      <c r="A109" s="5">
        <v>947</v>
      </c>
      <c r="B109" s="6">
        <v>1878033</v>
      </c>
      <c r="C109" s="6">
        <f t="shared" si="1"/>
        <v>3913033</v>
      </c>
      <c r="D109" s="6">
        <v>42166</v>
      </c>
      <c r="E109" s="2">
        <v>105</v>
      </c>
    </row>
    <row r="110" spans="1:5" x14ac:dyDescent="0.35">
      <c r="A110" s="5">
        <v>947.5</v>
      </c>
      <c r="B110" s="6">
        <v>1899145</v>
      </c>
      <c r="C110" s="6">
        <f t="shared" si="1"/>
        <v>3934145</v>
      </c>
      <c r="D110" s="6">
        <v>42282.999999899999</v>
      </c>
      <c r="E110" s="2">
        <v>106</v>
      </c>
    </row>
    <row r="111" spans="1:5" x14ac:dyDescent="0.35">
      <c r="A111" s="5">
        <v>948</v>
      </c>
      <c r="B111" s="6">
        <v>1920316</v>
      </c>
      <c r="C111" s="6">
        <f t="shared" si="1"/>
        <v>3955316</v>
      </c>
      <c r="D111" s="6">
        <v>42400.000000100001</v>
      </c>
      <c r="E111" s="2">
        <v>107</v>
      </c>
    </row>
    <row r="112" spans="1:5" x14ac:dyDescent="0.35">
      <c r="A112" s="5">
        <v>948.5</v>
      </c>
      <c r="B112" s="6">
        <v>1941545</v>
      </c>
      <c r="C112" s="6">
        <f t="shared" si="1"/>
        <v>3976545</v>
      </c>
      <c r="D112" s="6">
        <v>42518.000000100001</v>
      </c>
      <c r="E112" s="2">
        <v>108</v>
      </c>
    </row>
    <row r="113" spans="1:5" x14ac:dyDescent="0.35">
      <c r="A113" s="5">
        <v>949</v>
      </c>
      <c r="B113" s="6">
        <v>1962834</v>
      </c>
      <c r="C113" s="6">
        <f t="shared" si="1"/>
        <v>3997834</v>
      </c>
      <c r="D113" s="6">
        <v>42635</v>
      </c>
      <c r="E113" s="2">
        <v>109</v>
      </c>
    </row>
    <row r="114" spans="1:5" x14ac:dyDescent="0.35">
      <c r="A114" s="5">
        <v>949.5</v>
      </c>
      <c r="B114" s="6">
        <v>1984180</v>
      </c>
      <c r="C114" s="6">
        <f t="shared" si="1"/>
        <v>4019180</v>
      </c>
      <c r="D114" s="6">
        <v>42751.999999899999</v>
      </c>
      <c r="E114" s="2">
        <v>110</v>
      </c>
    </row>
    <row r="115" spans="1:5" x14ac:dyDescent="0.35">
      <c r="A115" s="5">
        <v>950</v>
      </c>
      <c r="B115" s="6">
        <v>2005585</v>
      </c>
      <c r="C115" s="6">
        <f t="shared" si="1"/>
        <v>4040585</v>
      </c>
      <c r="D115" s="6">
        <v>42869</v>
      </c>
      <c r="E115" s="2">
        <v>111</v>
      </c>
    </row>
    <row r="116" spans="1:5" x14ac:dyDescent="0.35">
      <c r="A116" s="5">
        <v>950.5</v>
      </c>
      <c r="B116" s="6">
        <v>2027052</v>
      </c>
      <c r="C116" s="6">
        <f t="shared" si="1"/>
        <v>4062052</v>
      </c>
      <c r="D116" s="6">
        <v>42999.000000100001</v>
      </c>
      <c r="E116" s="2">
        <v>112</v>
      </c>
    </row>
    <row r="117" spans="1:5" x14ac:dyDescent="0.35">
      <c r="A117" s="5">
        <v>951</v>
      </c>
      <c r="B117" s="6">
        <v>2048584</v>
      </c>
      <c r="C117" s="6">
        <f t="shared" si="1"/>
        <v>4083584</v>
      </c>
      <c r="D117" s="6">
        <v>43127.999999899999</v>
      </c>
      <c r="E117" s="2">
        <v>113</v>
      </c>
    </row>
    <row r="118" spans="1:5" x14ac:dyDescent="0.35">
      <c r="A118" s="5">
        <v>951.5</v>
      </c>
      <c r="B118" s="6">
        <v>2070180</v>
      </c>
      <c r="C118" s="6">
        <f t="shared" si="1"/>
        <v>4105180</v>
      </c>
      <c r="D118" s="6">
        <v>43258</v>
      </c>
      <c r="E118" s="2">
        <v>114</v>
      </c>
    </row>
    <row r="119" spans="1:5" x14ac:dyDescent="0.35">
      <c r="A119" s="5">
        <v>952</v>
      </c>
      <c r="B119" s="6">
        <v>2091842</v>
      </c>
      <c r="C119" s="6">
        <f t="shared" si="1"/>
        <v>4126842</v>
      </c>
      <c r="D119" s="6">
        <v>43387.000000100001</v>
      </c>
      <c r="E119" s="2">
        <v>115</v>
      </c>
    </row>
    <row r="120" spans="1:5" x14ac:dyDescent="0.35">
      <c r="A120" s="5">
        <v>952.5</v>
      </c>
      <c r="B120" s="6">
        <v>2113568</v>
      </c>
      <c r="C120" s="6">
        <f t="shared" si="1"/>
        <v>4148568</v>
      </c>
      <c r="D120" s="6">
        <v>43517.000000100001</v>
      </c>
      <c r="E120" s="2">
        <v>116</v>
      </c>
    </row>
    <row r="121" spans="1:5" x14ac:dyDescent="0.35">
      <c r="A121" s="5">
        <v>953</v>
      </c>
      <c r="B121" s="6">
        <v>2135358</v>
      </c>
      <c r="C121" s="6">
        <f t="shared" si="1"/>
        <v>4170358</v>
      </c>
      <c r="D121" s="6">
        <v>43646.999999899999</v>
      </c>
      <c r="E121" s="2">
        <v>117</v>
      </c>
    </row>
    <row r="122" spans="1:5" x14ac:dyDescent="0.35">
      <c r="A122" s="5">
        <v>953.5</v>
      </c>
      <c r="B122" s="6">
        <v>2157214</v>
      </c>
      <c r="C122" s="6">
        <f t="shared" si="1"/>
        <v>4192214</v>
      </c>
      <c r="D122" s="6">
        <v>43776</v>
      </c>
      <c r="E122" s="2">
        <v>118</v>
      </c>
    </row>
    <row r="123" spans="1:5" x14ac:dyDescent="0.35">
      <c r="A123" s="5">
        <v>954</v>
      </c>
      <c r="B123" s="6">
        <v>2179135</v>
      </c>
      <c r="C123" s="6">
        <f t="shared" si="1"/>
        <v>4214135</v>
      </c>
      <c r="D123" s="6">
        <v>43906</v>
      </c>
      <c r="E123" s="2">
        <v>119</v>
      </c>
    </row>
    <row r="124" spans="1:5" x14ac:dyDescent="0.35">
      <c r="A124" s="5">
        <v>954.5</v>
      </c>
      <c r="B124" s="6">
        <v>2201120</v>
      </c>
      <c r="C124" s="6">
        <f t="shared" si="1"/>
        <v>4236120</v>
      </c>
      <c r="D124" s="6">
        <v>44034.999999899999</v>
      </c>
      <c r="E124" s="2">
        <v>120</v>
      </c>
    </row>
    <row r="125" spans="1:5" x14ac:dyDescent="0.35">
      <c r="A125" s="5">
        <v>955</v>
      </c>
      <c r="B125" s="6">
        <v>2223170</v>
      </c>
      <c r="C125" s="6">
        <f t="shared" si="1"/>
        <v>4258170</v>
      </c>
      <c r="D125" s="6">
        <v>44164.999999899999</v>
      </c>
      <c r="E125" s="2">
        <v>121</v>
      </c>
    </row>
    <row r="126" spans="1:5" x14ac:dyDescent="0.35">
      <c r="A126" s="5">
        <v>955.5</v>
      </c>
      <c r="B126" s="6">
        <v>2245285</v>
      </c>
      <c r="C126" s="6">
        <f t="shared" si="1"/>
        <v>4280285</v>
      </c>
      <c r="D126" s="6">
        <v>44294.999999899999</v>
      </c>
      <c r="E126" s="2">
        <v>122</v>
      </c>
    </row>
    <row r="127" spans="1:5" x14ac:dyDescent="0.35">
      <c r="A127" s="5">
        <v>956</v>
      </c>
      <c r="B127" s="6">
        <v>2267464</v>
      </c>
      <c r="C127" s="6">
        <f t="shared" si="1"/>
        <v>4302464</v>
      </c>
      <c r="D127" s="6">
        <v>44424.000000100001</v>
      </c>
      <c r="E127" s="2">
        <v>123</v>
      </c>
    </row>
    <row r="128" spans="1:5" x14ac:dyDescent="0.35">
      <c r="A128" s="5">
        <v>956.5</v>
      </c>
      <c r="B128" s="6">
        <v>2289709</v>
      </c>
      <c r="C128" s="6">
        <f t="shared" si="1"/>
        <v>4324709</v>
      </c>
      <c r="D128" s="6">
        <v>44554.000000100001</v>
      </c>
      <c r="E128" s="2">
        <v>124</v>
      </c>
    </row>
    <row r="129" spans="1:5" x14ac:dyDescent="0.35">
      <c r="A129" s="5">
        <v>957</v>
      </c>
      <c r="B129" s="6">
        <v>2312018</v>
      </c>
      <c r="C129" s="6">
        <f t="shared" si="1"/>
        <v>4347018</v>
      </c>
      <c r="D129" s="6">
        <v>44683</v>
      </c>
      <c r="E129" s="2">
        <v>125</v>
      </c>
    </row>
    <row r="130" spans="1:5" x14ac:dyDescent="0.35">
      <c r="A130" s="5">
        <v>957.5</v>
      </c>
      <c r="B130" s="6">
        <v>2334392</v>
      </c>
      <c r="C130" s="6">
        <f t="shared" si="1"/>
        <v>4369392</v>
      </c>
      <c r="D130" s="6">
        <v>44813</v>
      </c>
      <c r="E130" s="2">
        <v>126</v>
      </c>
    </row>
    <row r="131" spans="1:5" x14ac:dyDescent="0.35">
      <c r="A131" s="5">
        <v>958</v>
      </c>
      <c r="B131" s="6">
        <v>2356831</v>
      </c>
      <c r="C131" s="6">
        <f t="shared" si="1"/>
        <v>4391831</v>
      </c>
      <c r="D131" s="6">
        <v>44943</v>
      </c>
      <c r="E131" s="2">
        <v>127</v>
      </c>
    </row>
    <row r="132" spans="1:5" x14ac:dyDescent="0.35">
      <c r="A132" s="5">
        <v>958.5</v>
      </c>
      <c r="B132" s="6">
        <v>2379335</v>
      </c>
      <c r="C132" s="6">
        <f t="shared" si="1"/>
        <v>4414335</v>
      </c>
      <c r="D132" s="6">
        <v>45071.999999899999</v>
      </c>
      <c r="E132" s="2">
        <v>128</v>
      </c>
    </row>
    <row r="133" spans="1:5" x14ac:dyDescent="0.35">
      <c r="A133" s="5">
        <v>959</v>
      </c>
      <c r="B133" s="6">
        <v>2401903</v>
      </c>
      <c r="C133" s="6">
        <f t="shared" si="1"/>
        <v>4436903</v>
      </c>
      <c r="D133" s="6">
        <v>45201.999999899999</v>
      </c>
      <c r="E133" s="2">
        <v>129</v>
      </c>
    </row>
    <row r="134" spans="1:5" x14ac:dyDescent="0.35">
      <c r="A134" s="5">
        <v>959.5</v>
      </c>
      <c r="B134" s="6">
        <v>2424536</v>
      </c>
      <c r="C134" s="6">
        <f t="shared" ref="C134:C197" si="2">B134+$C$3</f>
        <v>4459536</v>
      </c>
      <c r="D134" s="6">
        <v>45331</v>
      </c>
      <c r="E134" s="2">
        <v>130</v>
      </c>
    </row>
    <row r="135" spans="1:5" x14ac:dyDescent="0.35">
      <c r="A135" s="5">
        <v>960</v>
      </c>
      <c r="B135" s="6">
        <v>2447235</v>
      </c>
      <c r="C135" s="6">
        <f t="shared" si="2"/>
        <v>4482235</v>
      </c>
      <c r="D135" s="6">
        <v>45461.000000100001</v>
      </c>
      <c r="E135" s="2">
        <v>131</v>
      </c>
    </row>
    <row r="136" spans="1:5" x14ac:dyDescent="0.35">
      <c r="A136" s="5">
        <v>960.5</v>
      </c>
      <c r="B136" s="6">
        <v>2469995</v>
      </c>
      <c r="C136" s="6">
        <f t="shared" si="2"/>
        <v>4504995</v>
      </c>
      <c r="D136" s="6">
        <v>45580</v>
      </c>
      <c r="E136" s="2">
        <v>132</v>
      </c>
    </row>
    <row r="137" spans="1:5" x14ac:dyDescent="0.35">
      <c r="A137" s="5">
        <v>961</v>
      </c>
      <c r="B137" s="6">
        <v>2492815</v>
      </c>
      <c r="C137" s="6">
        <f t="shared" si="2"/>
        <v>4527815</v>
      </c>
      <c r="D137" s="6">
        <v>45700.000000100001</v>
      </c>
      <c r="E137" s="2">
        <v>133</v>
      </c>
    </row>
    <row r="138" spans="1:5" x14ac:dyDescent="0.35">
      <c r="A138" s="5">
        <v>961.5</v>
      </c>
      <c r="B138" s="6">
        <v>2515695</v>
      </c>
      <c r="C138" s="6">
        <f t="shared" si="2"/>
        <v>4550695</v>
      </c>
      <c r="D138" s="6">
        <v>45819</v>
      </c>
      <c r="E138" s="2">
        <v>134</v>
      </c>
    </row>
    <row r="139" spans="1:5" x14ac:dyDescent="0.35">
      <c r="A139" s="5">
        <v>962</v>
      </c>
      <c r="B139" s="6">
        <v>2538634</v>
      </c>
      <c r="C139" s="6">
        <f t="shared" si="2"/>
        <v>4573634</v>
      </c>
      <c r="D139" s="6">
        <v>45937.999999899999</v>
      </c>
      <c r="E139" s="2">
        <v>135</v>
      </c>
    </row>
    <row r="140" spans="1:5" x14ac:dyDescent="0.35">
      <c r="A140" s="5">
        <v>962.5</v>
      </c>
      <c r="B140" s="6">
        <v>2561633</v>
      </c>
      <c r="C140" s="6">
        <f t="shared" si="2"/>
        <v>4596633</v>
      </c>
      <c r="D140" s="6">
        <v>46056.999999899999</v>
      </c>
      <c r="E140" s="2">
        <v>136</v>
      </c>
    </row>
    <row r="141" spans="1:5" x14ac:dyDescent="0.35">
      <c r="A141" s="5">
        <v>963</v>
      </c>
      <c r="B141" s="6">
        <v>2584691</v>
      </c>
      <c r="C141" s="6">
        <f t="shared" si="2"/>
        <v>4619691</v>
      </c>
      <c r="D141" s="6">
        <v>46177</v>
      </c>
      <c r="E141" s="2">
        <v>137</v>
      </c>
    </row>
    <row r="142" spans="1:5" x14ac:dyDescent="0.35">
      <c r="A142" s="5">
        <v>963.5</v>
      </c>
      <c r="B142" s="6">
        <v>2607809</v>
      </c>
      <c r="C142" s="6">
        <f t="shared" si="2"/>
        <v>4642809</v>
      </c>
      <c r="D142" s="6">
        <v>46295.999999899999</v>
      </c>
      <c r="E142" s="2">
        <v>138</v>
      </c>
    </row>
    <row r="143" spans="1:5" x14ac:dyDescent="0.35">
      <c r="A143" s="5">
        <v>964</v>
      </c>
      <c r="B143" s="6">
        <v>2630987</v>
      </c>
      <c r="C143" s="6">
        <f t="shared" si="2"/>
        <v>4665987</v>
      </c>
      <c r="D143" s="6">
        <v>46415.000000100001</v>
      </c>
      <c r="E143" s="2">
        <v>139</v>
      </c>
    </row>
    <row r="144" spans="1:5" x14ac:dyDescent="0.35">
      <c r="A144" s="5">
        <v>964.5</v>
      </c>
      <c r="B144" s="6">
        <v>2654225</v>
      </c>
      <c r="C144" s="6">
        <f t="shared" si="2"/>
        <v>4689225</v>
      </c>
      <c r="D144" s="6">
        <v>46534</v>
      </c>
      <c r="E144" s="2">
        <v>140</v>
      </c>
    </row>
    <row r="145" spans="1:5" x14ac:dyDescent="0.35">
      <c r="A145" s="5">
        <v>965</v>
      </c>
      <c r="B145" s="6">
        <v>2677522</v>
      </c>
      <c r="C145" s="6">
        <f t="shared" si="2"/>
        <v>4712522</v>
      </c>
      <c r="D145" s="6">
        <v>46654.000000100001</v>
      </c>
      <c r="E145" s="2">
        <v>141</v>
      </c>
    </row>
    <row r="146" spans="1:5" x14ac:dyDescent="0.35">
      <c r="A146" s="5">
        <v>965.5</v>
      </c>
      <c r="B146" s="6">
        <v>2700878</v>
      </c>
      <c r="C146" s="6">
        <f t="shared" si="2"/>
        <v>4735878</v>
      </c>
      <c r="D146" s="6">
        <v>46773</v>
      </c>
      <c r="E146" s="2">
        <v>142</v>
      </c>
    </row>
    <row r="147" spans="1:5" x14ac:dyDescent="0.35">
      <c r="A147" s="5">
        <v>966</v>
      </c>
      <c r="B147" s="6">
        <v>2724295</v>
      </c>
      <c r="C147" s="6">
        <f t="shared" si="2"/>
        <v>4759295</v>
      </c>
      <c r="D147" s="6">
        <v>46892</v>
      </c>
      <c r="E147" s="2">
        <v>143</v>
      </c>
    </row>
    <row r="148" spans="1:5" x14ac:dyDescent="0.35">
      <c r="A148" s="5">
        <v>966.5</v>
      </c>
      <c r="B148" s="6">
        <v>2747771</v>
      </c>
      <c r="C148" s="6">
        <f t="shared" si="2"/>
        <v>4782771</v>
      </c>
      <c r="D148" s="6">
        <v>47012</v>
      </c>
      <c r="E148" s="2">
        <v>144</v>
      </c>
    </row>
    <row r="149" spans="1:5" x14ac:dyDescent="0.35">
      <c r="A149" s="5">
        <v>967</v>
      </c>
      <c r="B149" s="6">
        <v>2771306</v>
      </c>
      <c r="C149" s="6">
        <f t="shared" si="2"/>
        <v>4806306</v>
      </c>
      <c r="D149" s="6">
        <v>47131</v>
      </c>
      <c r="E149" s="2">
        <v>145</v>
      </c>
    </row>
    <row r="150" spans="1:5" x14ac:dyDescent="0.35">
      <c r="A150" s="5">
        <v>967.5</v>
      </c>
      <c r="B150" s="6">
        <v>2794901</v>
      </c>
      <c r="C150" s="6">
        <f t="shared" si="2"/>
        <v>4829901</v>
      </c>
      <c r="D150" s="6">
        <v>47249.999999899999</v>
      </c>
      <c r="E150" s="2">
        <v>146</v>
      </c>
    </row>
    <row r="151" spans="1:5" x14ac:dyDescent="0.35">
      <c r="A151" s="5">
        <v>968</v>
      </c>
      <c r="B151" s="6">
        <v>2818556</v>
      </c>
      <c r="C151" s="6">
        <f t="shared" si="2"/>
        <v>4853556</v>
      </c>
      <c r="D151" s="6">
        <v>47369.000000100001</v>
      </c>
      <c r="E151" s="2">
        <v>147</v>
      </c>
    </row>
    <row r="152" spans="1:5" x14ac:dyDescent="0.35">
      <c r="A152" s="5">
        <v>968.5</v>
      </c>
      <c r="B152" s="6">
        <v>2842271</v>
      </c>
      <c r="C152" s="6">
        <f t="shared" si="2"/>
        <v>4877271</v>
      </c>
      <c r="D152" s="6">
        <v>47488.999999899999</v>
      </c>
      <c r="E152" s="2">
        <v>148</v>
      </c>
    </row>
    <row r="153" spans="1:5" x14ac:dyDescent="0.35">
      <c r="A153" s="5">
        <v>969</v>
      </c>
      <c r="B153" s="6">
        <v>2866046</v>
      </c>
      <c r="C153" s="6">
        <f t="shared" si="2"/>
        <v>4901046</v>
      </c>
      <c r="D153" s="6">
        <v>47608.000000100001</v>
      </c>
      <c r="E153" s="2">
        <v>149</v>
      </c>
    </row>
    <row r="154" spans="1:5" x14ac:dyDescent="0.35">
      <c r="A154" s="5">
        <v>969.5</v>
      </c>
      <c r="B154" s="6">
        <v>2889878</v>
      </c>
      <c r="C154" s="6">
        <f t="shared" si="2"/>
        <v>4924878</v>
      </c>
      <c r="D154" s="6">
        <v>47727</v>
      </c>
      <c r="E154" s="2">
        <v>150</v>
      </c>
    </row>
    <row r="155" spans="1:5" x14ac:dyDescent="0.35">
      <c r="A155" s="5">
        <v>970</v>
      </c>
      <c r="B155" s="6">
        <v>2913772</v>
      </c>
      <c r="C155" s="6">
        <f t="shared" si="2"/>
        <v>4948772</v>
      </c>
      <c r="D155" s="6">
        <v>47847.000000100001</v>
      </c>
      <c r="E155" s="2">
        <v>151</v>
      </c>
    </row>
    <row r="156" spans="1:5" x14ac:dyDescent="0.35">
      <c r="A156" s="5">
        <v>970.5</v>
      </c>
      <c r="B156" s="6">
        <v>2937729</v>
      </c>
      <c r="C156" s="6">
        <f t="shared" si="2"/>
        <v>4972729</v>
      </c>
      <c r="D156" s="6">
        <v>47981</v>
      </c>
      <c r="E156" s="2">
        <v>152</v>
      </c>
    </row>
    <row r="157" spans="1:5" x14ac:dyDescent="0.35">
      <c r="A157" s="5">
        <v>971</v>
      </c>
      <c r="B157" s="6">
        <v>2961753</v>
      </c>
      <c r="C157" s="6">
        <f t="shared" si="2"/>
        <v>4996753</v>
      </c>
      <c r="D157" s="6">
        <v>48113.999999899999</v>
      </c>
      <c r="E157" s="2">
        <v>153</v>
      </c>
    </row>
    <row r="158" spans="1:5" x14ac:dyDescent="0.35">
      <c r="A158" s="5">
        <v>971.5</v>
      </c>
      <c r="B158" s="6">
        <v>2985843</v>
      </c>
      <c r="C158" s="6">
        <f t="shared" si="2"/>
        <v>5020843</v>
      </c>
      <c r="D158" s="6">
        <v>48248</v>
      </c>
      <c r="E158" s="2">
        <v>154</v>
      </c>
    </row>
    <row r="159" spans="1:5" x14ac:dyDescent="0.35">
      <c r="A159" s="5">
        <v>972</v>
      </c>
      <c r="B159" s="6">
        <v>3010001</v>
      </c>
      <c r="C159" s="6">
        <f t="shared" si="2"/>
        <v>5045001</v>
      </c>
      <c r="D159" s="6">
        <v>48382.000000100001</v>
      </c>
      <c r="E159" s="2">
        <v>155</v>
      </c>
    </row>
    <row r="160" spans="1:5" x14ac:dyDescent="0.35">
      <c r="A160" s="5">
        <v>972.5</v>
      </c>
      <c r="B160" s="6">
        <v>3034226</v>
      </c>
      <c r="C160" s="6">
        <f t="shared" si="2"/>
        <v>5069226</v>
      </c>
      <c r="D160" s="6">
        <v>48516</v>
      </c>
      <c r="E160" s="2">
        <v>156</v>
      </c>
    </row>
    <row r="161" spans="1:5" x14ac:dyDescent="0.35">
      <c r="A161" s="5">
        <v>973</v>
      </c>
      <c r="B161" s="6">
        <v>3058517</v>
      </c>
      <c r="C161" s="6">
        <f t="shared" si="2"/>
        <v>5093517</v>
      </c>
      <c r="D161" s="6">
        <v>48650.000000100001</v>
      </c>
      <c r="E161" s="2">
        <v>157</v>
      </c>
    </row>
    <row r="162" spans="1:5" x14ac:dyDescent="0.35">
      <c r="A162" s="5">
        <v>973.5</v>
      </c>
      <c r="B162" s="6">
        <v>3082876</v>
      </c>
      <c r="C162" s="6">
        <f t="shared" si="2"/>
        <v>5117876</v>
      </c>
      <c r="D162" s="6">
        <v>48783.999999899999</v>
      </c>
      <c r="E162" s="2">
        <v>158</v>
      </c>
    </row>
    <row r="163" spans="1:5" x14ac:dyDescent="0.35">
      <c r="A163" s="5">
        <v>974</v>
      </c>
      <c r="B163" s="6">
        <v>3107301</v>
      </c>
      <c r="C163" s="6">
        <f t="shared" si="2"/>
        <v>5142301</v>
      </c>
      <c r="D163" s="6">
        <v>48918</v>
      </c>
      <c r="E163" s="2">
        <v>159</v>
      </c>
    </row>
    <row r="164" spans="1:5" x14ac:dyDescent="0.35">
      <c r="A164" s="5">
        <v>974.5</v>
      </c>
      <c r="B164" s="6">
        <v>3131794</v>
      </c>
      <c r="C164" s="6">
        <f t="shared" si="2"/>
        <v>5166794</v>
      </c>
      <c r="D164" s="6">
        <v>49052.000000100001</v>
      </c>
      <c r="E164" s="2">
        <v>160</v>
      </c>
    </row>
    <row r="165" spans="1:5" x14ac:dyDescent="0.35">
      <c r="A165" s="5">
        <v>975</v>
      </c>
      <c r="B165" s="6">
        <v>3156353</v>
      </c>
      <c r="C165" s="6">
        <f t="shared" si="2"/>
        <v>5191353</v>
      </c>
      <c r="D165" s="6">
        <v>49186</v>
      </c>
      <c r="E165" s="2">
        <v>161</v>
      </c>
    </row>
    <row r="166" spans="1:5" x14ac:dyDescent="0.35">
      <c r="A166" s="5">
        <v>975.5</v>
      </c>
      <c r="B166" s="6">
        <v>3180979</v>
      </c>
      <c r="C166" s="6">
        <f t="shared" si="2"/>
        <v>5215979</v>
      </c>
      <c r="D166" s="6">
        <v>49320.000000100001</v>
      </c>
      <c r="E166" s="2">
        <v>162</v>
      </c>
    </row>
    <row r="167" spans="1:5" x14ac:dyDescent="0.35">
      <c r="A167" s="5">
        <v>976</v>
      </c>
      <c r="B167" s="6">
        <v>3205673</v>
      </c>
      <c r="C167" s="6">
        <f t="shared" si="2"/>
        <v>5240673</v>
      </c>
      <c r="D167" s="6">
        <v>49453.999999899999</v>
      </c>
      <c r="E167" s="2">
        <v>163</v>
      </c>
    </row>
    <row r="168" spans="1:5" x14ac:dyDescent="0.35">
      <c r="A168" s="5">
        <v>976.5</v>
      </c>
      <c r="B168" s="6">
        <v>3230433</v>
      </c>
      <c r="C168" s="6">
        <f t="shared" si="2"/>
        <v>5265433</v>
      </c>
      <c r="D168" s="6">
        <v>49587.000000100001</v>
      </c>
      <c r="E168" s="2">
        <v>164</v>
      </c>
    </row>
    <row r="169" spans="1:5" x14ac:dyDescent="0.35">
      <c r="A169" s="5">
        <v>977</v>
      </c>
      <c r="B169" s="6">
        <v>3255260</v>
      </c>
      <c r="C169" s="6">
        <f t="shared" si="2"/>
        <v>5290260</v>
      </c>
      <c r="D169" s="6">
        <v>49721</v>
      </c>
      <c r="E169" s="2">
        <v>165</v>
      </c>
    </row>
    <row r="170" spans="1:5" x14ac:dyDescent="0.35">
      <c r="A170" s="5">
        <v>977.5</v>
      </c>
      <c r="B170" s="6">
        <v>3280154</v>
      </c>
      <c r="C170" s="6">
        <f t="shared" si="2"/>
        <v>5315154</v>
      </c>
      <c r="D170" s="6">
        <v>49855.000000100001</v>
      </c>
      <c r="E170" s="2">
        <v>166</v>
      </c>
    </row>
    <row r="171" spans="1:5" x14ac:dyDescent="0.35">
      <c r="A171" s="5">
        <v>978</v>
      </c>
      <c r="B171" s="6">
        <v>3305115</v>
      </c>
      <c r="C171" s="6">
        <f t="shared" si="2"/>
        <v>5340115</v>
      </c>
      <c r="D171" s="6">
        <v>49988.999999899999</v>
      </c>
      <c r="E171" s="2">
        <v>167</v>
      </c>
    </row>
    <row r="172" spans="1:5" x14ac:dyDescent="0.35">
      <c r="A172" s="5">
        <v>978.5</v>
      </c>
      <c r="B172" s="6">
        <v>3330143</v>
      </c>
      <c r="C172" s="6">
        <f t="shared" si="2"/>
        <v>5365143</v>
      </c>
      <c r="D172" s="6">
        <v>50123</v>
      </c>
      <c r="E172" s="2">
        <v>168</v>
      </c>
    </row>
    <row r="173" spans="1:5" x14ac:dyDescent="0.35">
      <c r="A173" s="5">
        <v>979</v>
      </c>
      <c r="B173" s="6">
        <v>3355238</v>
      </c>
      <c r="C173" s="6">
        <f t="shared" si="2"/>
        <v>5390238</v>
      </c>
      <c r="D173" s="6">
        <v>50257.000000100001</v>
      </c>
      <c r="E173" s="2">
        <v>169</v>
      </c>
    </row>
    <row r="174" spans="1:5" x14ac:dyDescent="0.35">
      <c r="A174" s="5">
        <v>979.5</v>
      </c>
      <c r="B174" s="6">
        <v>3380401</v>
      </c>
      <c r="C174" s="6">
        <f t="shared" si="2"/>
        <v>5415401</v>
      </c>
      <c r="D174" s="6">
        <v>50391</v>
      </c>
      <c r="E174" s="2">
        <v>170</v>
      </c>
    </row>
    <row r="175" spans="1:5" x14ac:dyDescent="0.35">
      <c r="A175" s="5">
        <v>980</v>
      </c>
      <c r="B175" s="6">
        <v>3405630</v>
      </c>
      <c r="C175" s="6">
        <f t="shared" si="2"/>
        <v>5440630</v>
      </c>
      <c r="D175" s="6">
        <v>50525.000000100001</v>
      </c>
      <c r="E175" s="2">
        <v>171</v>
      </c>
    </row>
    <row r="176" spans="1:5" x14ac:dyDescent="0.35">
      <c r="A176" s="5">
        <v>980.5</v>
      </c>
      <c r="B176" s="6">
        <v>3430929</v>
      </c>
      <c r="C176" s="6">
        <f t="shared" si="2"/>
        <v>5465929</v>
      </c>
      <c r="D176" s="6">
        <v>50674.000000100001</v>
      </c>
      <c r="E176" s="2">
        <v>172</v>
      </c>
    </row>
    <row r="177" spans="1:5" x14ac:dyDescent="0.35">
      <c r="A177" s="5">
        <v>981</v>
      </c>
      <c r="B177" s="6">
        <v>3456303</v>
      </c>
      <c r="C177" s="6">
        <f t="shared" si="2"/>
        <v>5491303</v>
      </c>
      <c r="D177" s="6">
        <v>50824</v>
      </c>
      <c r="E177" s="2">
        <v>173</v>
      </c>
    </row>
    <row r="178" spans="1:5" x14ac:dyDescent="0.35">
      <c r="A178" s="5">
        <v>981.5</v>
      </c>
      <c r="B178" s="6">
        <v>3481753</v>
      </c>
      <c r="C178" s="6">
        <f t="shared" si="2"/>
        <v>5516753</v>
      </c>
      <c r="D178" s="6">
        <v>50973.999999899999</v>
      </c>
      <c r="E178" s="2">
        <v>174</v>
      </c>
    </row>
    <row r="179" spans="1:5" x14ac:dyDescent="0.35">
      <c r="A179" s="5">
        <v>982</v>
      </c>
      <c r="B179" s="6">
        <v>3507278</v>
      </c>
      <c r="C179" s="6">
        <f t="shared" si="2"/>
        <v>5542278</v>
      </c>
      <c r="D179" s="6">
        <v>51122.999999899999</v>
      </c>
      <c r="E179" s="2">
        <v>175</v>
      </c>
    </row>
    <row r="180" spans="1:5" x14ac:dyDescent="0.35">
      <c r="A180" s="5">
        <v>982.5</v>
      </c>
      <c r="B180" s="6">
        <v>3532877</v>
      </c>
      <c r="C180" s="6">
        <f t="shared" si="2"/>
        <v>5567877</v>
      </c>
      <c r="D180" s="6">
        <v>51273.000000100001</v>
      </c>
      <c r="E180" s="2">
        <v>176</v>
      </c>
    </row>
    <row r="181" spans="1:5" x14ac:dyDescent="0.35">
      <c r="A181" s="5">
        <v>983</v>
      </c>
      <c r="B181" s="6">
        <v>3558550</v>
      </c>
      <c r="C181" s="6">
        <f t="shared" si="2"/>
        <v>5593550</v>
      </c>
      <c r="D181" s="6">
        <v>51423</v>
      </c>
      <c r="E181" s="2">
        <v>177</v>
      </c>
    </row>
    <row r="182" spans="1:5" x14ac:dyDescent="0.35">
      <c r="A182" s="5">
        <v>983.5</v>
      </c>
      <c r="B182" s="6">
        <v>3584299</v>
      </c>
      <c r="C182" s="6">
        <f t="shared" si="2"/>
        <v>5619299</v>
      </c>
      <c r="D182" s="6">
        <v>51572</v>
      </c>
      <c r="E182" s="2">
        <v>178</v>
      </c>
    </row>
    <row r="183" spans="1:5" x14ac:dyDescent="0.35">
      <c r="A183" s="5">
        <v>984</v>
      </c>
      <c r="B183" s="6">
        <v>3610123</v>
      </c>
      <c r="C183" s="6">
        <f t="shared" si="2"/>
        <v>5645123</v>
      </c>
      <c r="D183" s="6">
        <v>51721.999999899999</v>
      </c>
      <c r="E183" s="2">
        <v>179</v>
      </c>
    </row>
    <row r="184" spans="1:5" x14ac:dyDescent="0.35">
      <c r="A184" s="5">
        <v>984.5</v>
      </c>
      <c r="B184" s="6">
        <v>3636021</v>
      </c>
      <c r="C184" s="6">
        <f t="shared" si="2"/>
        <v>5671021</v>
      </c>
      <c r="D184" s="6">
        <v>51872.000000100001</v>
      </c>
      <c r="E184" s="2">
        <v>180</v>
      </c>
    </row>
    <row r="185" spans="1:5" x14ac:dyDescent="0.35">
      <c r="A185" s="5">
        <v>985</v>
      </c>
      <c r="B185" s="6">
        <v>3661994</v>
      </c>
      <c r="C185" s="6">
        <f t="shared" si="2"/>
        <v>5696994</v>
      </c>
      <c r="D185" s="6">
        <v>52021.000000100001</v>
      </c>
      <c r="E185" s="2">
        <v>181</v>
      </c>
    </row>
    <row r="186" spans="1:5" x14ac:dyDescent="0.35">
      <c r="A186" s="5">
        <v>985.5</v>
      </c>
      <c r="B186" s="6">
        <v>3688042</v>
      </c>
      <c r="C186" s="6">
        <f t="shared" si="2"/>
        <v>5723042</v>
      </c>
      <c r="D186" s="6">
        <v>52171</v>
      </c>
      <c r="E186" s="2">
        <v>182</v>
      </c>
    </row>
    <row r="187" spans="1:5" x14ac:dyDescent="0.35">
      <c r="A187" s="5">
        <v>986</v>
      </c>
      <c r="B187" s="6">
        <v>3714165</v>
      </c>
      <c r="C187" s="6">
        <f t="shared" si="2"/>
        <v>5749165</v>
      </c>
      <c r="D187" s="6">
        <v>52320.999999899999</v>
      </c>
      <c r="E187" s="2">
        <v>183</v>
      </c>
    </row>
    <row r="188" spans="1:5" x14ac:dyDescent="0.35">
      <c r="A188" s="5">
        <v>986.5</v>
      </c>
      <c r="B188" s="6">
        <v>3740363</v>
      </c>
      <c r="C188" s="6">
        <f t="shared" si="2"/>
        <v>5775363</v>
      </c>
      <c r="D188" s="6">
        <v>52469.999999899999</v>
      </c>
      <c r="E188" s="2">
        <v>184</v>
      </c>
    </row>
    <row r="189" spans="1:5" x14ac:dyDescent="0.35">
      <c r="A189" s="5">
        <v>987</v>
      </c>
      <c r="B189" s="6">
        <v>3766635</v>
      </c>
      <c r="C189" s="6">
        <f t="shared" si="2"/>
        <v>5801635</v>
      </c>
      <c r="D189" s="6">
        <v>52620.000000100001</v>
      </c>
      <c r="E189" s="2">
        <v>185</v>
      </c>
    </row>
    <row r="190" spans="1:5" x14ac:dyDescent="0.35">
      <c r="A190" s="5">
        <v>987.5</v>
      </c>
      <c r="B190" s="6">
        <v>3792982</v>
      </c>
      <c r="C190" s="6">
        <f t="shared" si="2"/>
        <v>5827982</v>
      </c>
      <c r="D190" s="6">
        <v>52769.000000100001</v>
      </c>
      <c r="E190" s="2">
        <v>186</v>
      </c>
    </row>
    <row r="191" spans="1:5" x14ac:dyDescent="0.35">
      <c r="A191" s="5">
        <v>988</v>
      </c>
      <c r="B191" s="6">
        <v>3819405</v>
      </c>
      <c r="C191" s="6">
        <f t="shared" si="2"/>
        <v>5854405</v>
      </c>
      <c r="D191" s="6">
        <v>52919</v>
      </c>
      <c r="E191" s="2">
        <v>187</v>
      </c>
    </row>
    <row r="192" spans="1:5" x14ac:dyDescent="0.35">
      <c r="A192" s="5">
        <v>988.5</v>
      </c>
      <c r="B192" s="6">
        <v>3845902</v>
      </c>
      <c r="C192" s="6">
        <f t="shared" si="2"/>
        <v>5880902</v>
      </c>
      <c r="D192" s="6">
        <v>53068.999999899999</v>
      </c>
      <c r="E192" s="2">
        <v>188</v>
      </c>
    </row>
    <row r="193" spans="1:5" x14ac:dyDescent="0.35">
      <c r="A193" s="5">
        <v>989</v>
      </c>
      <c r="B193" s="6">
        <v>3872474</v>
      </c>
      <c r="C193" s="6">
        <f t="shared" si="2"/>
        <v>5907474</v>
      </c>
      <c r="D193" s="6">
        <v>53217.999999899999</v>
      </c>
      <c r="E193" s="2">
        <v>189</v>
      </c>
    </row>
    <row r="194" spans="1:5" x14ac:dyDescent="0.35">
      <c r="A194" s="5">
        <v>989.5</v>
      </c>
      <c r="B194" s="6">
        <v>3899120</v>
      </c>
      <c r="C194" s="6">
        <f t="shared" si="2"/>
        <v>5934120</v>
      </c>
      <c r="D194" s="6">
        <v>53368.000000100001</v>
      </c>
      <c r="E194" s="2">
        <v>190</v>
      </c>
    </row>
    <row r="195" spans="1:5" x14ac:dyDescent="0.35">
      <c r="A195" s="5">
        <v>990</v>
      </c>
      <c r="B195" s="6">
        <v>3925842</v>
      </c>
      <c r="C195" s="6">
        <f t="shared" si="2"/>
        <v>5960842</v>
      </c>
      <c r="D195" s="6">
        <v>53518</v>
      </c>
      <c r="E195" s="2">
        <v>191</v>
      </c>
    </row>
    <row r="196" spans="1:5" x14ac:dyDescent="0.35">
      <c r="A196" s="5">
        <v>990.5</v>
      </c>
      <c r="B196" s="6">
        <v>3952636</v>
      </c>
      <c r="C196" s="6">
        <f t="shared" si="2"/>
        <v>5987636</v>
      </c>
      <c r="D196" s="6">
        <v>53660</v>
      </c>
      <c r="E196" s="2">
        <v>192</v>
      </c>
    </row>
    <row r="197" spans="1:5" x14ac:dyDescent="0.35">
      <c r="A197" s="5">
        <v>991</v>
      </c>
      <c r="B197" s="6">
        <v>3979502</v>
      </c>
      <c r="C197" s="6">
        <f t="shared" si="2"/>
        <v>6014502</v>
      </c>
      <c r="D197" s="6">
        <v>53802.999999899999</v>
      </c>
      <c r="E197" s="2">
        <v>193</v>
      </c>
    </row>
    <row r="198" spans="1:5" x14ac:dyDescent="0.35">
      <c r="A198" s="5">
        <v>991.5</v>
      </c>
      <c r="B198" s="6">
        <v>4006440</v>
      </c>
      <c r="C198" s="6">
        <f t="shared" ref="C198:C261" si="3">B198+$C$3</f>
        <v>6041440</v>
      </c>
      <c r="D198" s="6">
        <v>53946.000000100001</v>
      </c>
      <c r="E198" s="2">
        <v>194</v>
      </c>
    </row>
    <row r="199" spans="1:5" x14ac:dyDescent="0.35">
      <c r="A199" s="5">
        <v>992</v>
      </c>
      <c r="B199" s="6">
        <v>4033448</v>
      </c>
      <c r="C199" s="6">
        <f t="shared" si="3"/>
        <v>6068448</v>
      </c>
      <c r="D199" s="6">
        <v>54089</v>
      </c>
      <c r="E199" s="2">
        <v>195</v>
      </c>
    </row>
    <row r="200" spans="1:5" x14ac:dyDescent="0.35">
      <c r="A200" s="5">
        <v>992.5</v>
      </c>
      <c r="B200" s="6">
        <v>4060528</v>
      </c>
      <c r="C200" s="6">
        <f t="shared" si="3"/>
        <v>6095528</v>
      </c>
      <c r="D200" s="6">
        <v>54232.000000100001</v>
      </c>
      <c r="E200" s="2">
        <v>196</v>
      </c>
    </row>
    <row r="201" spans="1:5" x14ac:dyDescent="0.35">
      <c r="A201" s="5">
        <v>993</v>
      </c>
      <c r="B201" s="6">
        <v>4087680</v>
      </c>
      <c r="C201" s="6">
        <f t="shared" si="3"/>
        <v>6122680</v>
      </c>
      <c r="D201" s="6">
        <v>54375</v>
      </c>
      <c r="E201" s="2">
        <v>197</v>
      </c>
    </row>
    <row r="202" spans="1:5" x14ac:dyDescent="0.35">
      <c r="A202" s="5">
        <v>993.5</v>
      </c>
      <c r="B202" s="6">
        <v>4114903</v>
      </c>
      <c r="C202" s="6">
        <f t="shared" si="3"/>
        <v>6149903</v>
      </c>
      <c r="D202" s="6">
        <v>54517</v>
      </c>
      <c r="E202" s="2">
        <v>198</v>
      </c>
    </row>
    <row r="203" spans="1:5" x14ac:dyDescent="0.35">
      <c r="A203" s="5">
        <v>994</v>
      </c>
      <c r="B203" s="6">
        <v>4142198</v>
      </c>
      <c r="C203" s="6">
        <f t="shared" si="3"/>
        <v>6177198</v>
      </c>
      <c r="D203" s="6">
        <v>54659.999999899999</v>
      </c>
      <c r="E203" s="2">
        <v>199</v>
      </c>
    </row>
    <row r="204" spans="1:5" x14ac:dyDescent="0.35">
      <c r="A204" s="5">
        <v>994.5</v>
      </c>
      <c r="B204" s="6">
        <v>4169563</v>
      </c>
      <c r="C204" s="6">
        <f t="shared" si="3"/>
        <v>6204563</v>
      </c>
      <c r="D204" s="6">
        <v>54803.000000100001</v>
      </c>
      <c r="E204" s="2">
        <v>200</v>
      </c>
    </row>
    <row r="205" spans="1:5" x14ac:dyDescent="0.35">
      <c r="A205" s="5">
        <v>995</v>
      </c>
      <c r="B205" s="6">
        <v>4197001</v>
      </c>
      <c r="C205" s="6">
        <f t="shared" si="3"/>
        <v>6232001</v>
      </c>
      <c r="D205" s="6">
        <v>54946</v>
      </c>
      <c r="E205" s="2">
        <v>201</v>
      </c>
    </row>
    <row r="206" spans="1:5" x14ac:dyDescent="0.35">
      <c r="A206" s="5">
        <v>995.5</v>
      </c>
      <c r="B206" s="6">
        <v>4224510</v>
      </c>
      <c r="C206" s="6">
        <f t="shared" si="3"/>
        <v>6259510</v>
      </c>
      <c r="D206" s="6">
        <v>55089.000000100001</v>
      </c>
      <c r="E206" s="2">
        <v>202</v>
      </c>
    </row>
    <row r="207" spans="1:5" x14ac:dyDescent="0.35">
      <c r="A207" s="5">
        <v>996</v>
      </c>
      <c r="B207" s="6">
        <v>4252089</v>
      </c>
      <c r="C207" s="6">
        <f t="shared" si="3"/>
        <v>6287089</v>
      </c>
      <c r="D207" s="6">
        <v>55232</v>
      </c>
      <c r="E207" s="2">
        <v>203</v>
      </c>
    </row>
    <row r="208" spans="1:5" x14ac:dyDescent="0.35">
      <c r="A208" s="5">
        <v>996.5</v>
      </c>
      <c r="B208" s="6">
        <v>4279741</v>
      </c>
      <c r="C208" s="6">
        <f t="shared" si="3"/>
        <v>6314741</v>
      </c>
      <c r="D208" s="6">
        <v>55374</v>
      </c>
      <c r="E208" s="2">
        <v>204</v>
      </c>
    </row>
    <row r="209" spans="1:5" x14ac:dyDescent="0.35">
      <c r="A209" s="5">
        <v>997</v>
      </c>
      <c r="B209" s="6">
        <v>4307464</v>
      </c>
      <c r="C209" s="6">
        <f t="shared" si="3"/>
        <v>6342464</v>
      </c>
      <c r="D209" s="6">
        <v>55516.999999899999</v>
      </c>
      <c r="E209" s="2">
        <v>205</v>
      </c>
    </row>
    <row r="210" spans="1:5" x14ac:dyDescent="0.35">
      <c r="A210" s="5">
        <v>997.5</v>
      </c>
      <c r="B210" s="6">
        <v>4335258</v>
      </c>
      <c r="C210" s="6">
        <f t="shared" si="3"/>
        <v>6370258</v>
      </c>
      <c r="D210" s="6">
        <v>55660.000000100001</v>
      </c>
      <c r="E210" s="2">
        <v>206</v>
      </c>
    </row>
    <row r="211" spans="1:5" x14ac:dyDescent="0.35">
      <c r="A211" s="5">
        <v>998</v>
      </c>
      <c r="B211" s="6">
        <v>4363125</v>
      </c>
      <c r="C211" s="6">
        <f t="shared" si="3"/>
        <v>6398125</v>
      </c>
      <c r="D211" s="6">
        <v>55803</v>
      </c>
      <c r="E211" s="2">
        <v>207</v>
      </c>
    </row>
    <row r="212" spans="1:5" x14ac:dyDescent="0.35">
      <c r="A212" s="5">
        <v>998.5</v>
      </c>
      <c r="B212" s="6">
        <v>4391061</v>
      </c>
      <c r="C212" s="6">
        <f t="shared" si="3"/>
        <v>6426061</v>
      </c>
      <c r="D212" s="6">
        <v>55946.000000100001</v>
      </c>
      <c r="E212" s="2">
        <v>208</v>
      </c>
    </row>
    <row r="213" spans="1:5" x14ac:dyDescent="0.35">
      <c r="A213" s="5">
        <v>999</v>
      </c>
      <c r="B213" s="6">
        <v>4419070</v>
      </c>
      <c r="C213" s="6">
        <f t="shared" si="3"/>
        <v>6454070</v>
      </c>
      <c r="D213" s="6">
        <v>56089</v>
      </c>
      <c r="E213" s="2">
        <v>209</v>
      </c>
    </row>
    <row r="214" spans="1:5" x14ac:dyDescent="0.35">
      <c r="A214" s="5">
        <v>999.5</v>
      </c>
      <c r="B214" s="6">
        <v>4447150</v>
      </c>
      <c r="C214" s="6">
        <f t="shared" si="3"/>
        <v>6482150</v>
      </c>
      <c r="D214" s="6">
        <v>56231</v>
      </c>
      <c r="E214" s="2">
        <v>210</v>
      </c>
    </row>
    <row r="215" spans="1:5" x14ac:dyDescent="0.35">
      <c r="A215" s="5">
        <v>1000</v>
      </c>
      <c r="B215" s="6">
        <v>4475301</v>
      </c>
      <c r="C215" s="6">
        <f t="shared" si="3"/>
        <v>6510301</v>
      </c>
      <c r="D215" s="6">
        <v>56373.999999899999</v>
      </c>
      <c r="E215" s="2">
        <v>211</v>
      </c>
    </row>
    <row r="216" spans="1:5" x14ac:dyDescent="0.35">
      <c r="A216" s="5">
        <v>1000.5</v>
      </c>
      <c r="B216" s="6">
        <v>4503527</v>
      </c>
      <c r="C216" s="6">
        <f t="shared" si="3"/>
        <v>6538527</v>
      </c>
      <c r="D216" s="6">
        <v>56529</v>
      </c>
      <c r="E216" s="2">
        <v>212</v>
      </c>
    </row>
    <row r="217" spans="1:5" x14ac:dyDescent="0.35">
      <c r="A217" s="5">
        <v>1001</v>
      </c>
      <c r="B217" s="6">
        <v>4531830</v>
      </c>
      <c r="C217" s="6">
        <f t="shared" si="3"/>
        <v>6566830</v>
      </c>
      <c r="D217" s="6">
        <v>56683.999999899999</v>
      </c>
      <c r="E217" s="2">
        <v>213</v>
      </c>
    </row>
    <row r="218" spans="1:5" x14ac:dyDescent="0.35">
      <c r="A218" s="5">
        <v>1001.5</v>
      </c>
      <c r="B218" s="6">
        <v>4560212</v>
      </c>
      <c r="C218" s="6">
        <f t="shared" si="3"/>
        <v>6595212</v>
      </c>
      <c r="D218" s="6">
        <v>56839.000000100001</v>
      </c>
      <c r="E218" s="2">
        <v>214</v>
      </c>
    </row>
    <row r="219" spans="1:5" x14ac:dyDescent="0.35">
      <c r="A219" s="5">
        <v>1002</v>
      </c>
      <c r="B219" s="6">
        <v>4588670</v>
      </c>
      <c r="C219" s="6">
        <f t="shared" si="3"/>
        <v>6623670</v>
      </c>
      <c r="D219" s="6">
        <v>56995.000000100001</v>
      </c>
      <c r="E219" s="2">
        <v>215</v>
      </c>
    </row>
    <row r="220" spans="1:5" x14ac:dyDescent="0.35">
      <c r="A220" s="5">
        <v>1002.5</v>
      </c>
      <c r="B220" s="6">
        <v>4617206</v>
      </c>
      <c r="C220" s="6">
        <f t="shared" si="3"/>
        <v>6652206</v>
      </c>
      <c r="D220" s="6">
        <v>57150</v>
      </c>
      <c r="E220" s="2">
        <v>216</v>
      </c>
    </row>
    <row r="221" spans="1:5" x14ac:dyDescent="0.35">
      <c r="A221" s="5">
        <v>1003</v>
      </c>
      <c r="B221" s="6">
        <v>4645820</v>
      </c>
      <c r="C221" s="6">
        <f t="shared" si="3"/>
        <v>6680820</v>
      </c>
      <c r="D221" s="6">
        <v>57305.000000100001</v>
      </c>
      <c r="E221" s="2">
        <v>217</v>
      </c>
    </row>
    <row r="222" spans="1:5" x14ac:dyDescent="0.35">
      <c r="A222" s="5">
        <v>1003.5</v>
      </c>
      <c r="B222" s="6">
        <v>4674511</v>
      </c>
      <c r="C222" s="6">
        <f t="shared" si="3"/>
        <v>6709511</v>
      </c>
      <c r="D222" s="6">
        <v>57460</v>
      </c>
      <c r="E222" s="2">
        <v>218</v>
      </c>
    </row>
    <row r="223" spans="1:5" x14ac:dyDescent="0.35">
      <c r="A223" s="5">
        <v>1004</v>
      </c>
      <c r="B223" s="6">
        <v>4703279</v>
      </c>
      <c r="C223" s="6">
        <f t="shared" si="3"/>
        <v>6738279</v>
      </c>
      <c r="D223" s="6">
        <v>57615.000000100001</v>
      </c>
      <c r="E223" s="2">
        <v>219</v>
      </c>
    </row>
    <row r="224" spans="1:5" x14ac:dyDescent="0.35">
      <c r="A224" s="5">
        <v>1004.5</v>
      </c>
      <c r="B224" s="6">
        <v>4732126</v>
      </c>
      <c r="C224" s="6">
        <f t="shared" si="3"/>
        <v>6767126</v>
      </c>
      <c r="D224" s="6">
        <v>57770</v>
      </c>
      <c r="E224" s="2">
        <v>220</v>
      </c>
    </row>
    <row r="225" spans="1:5" x14ac:dyDescent="0.35">
      <c r="A225" s="5">
        <v>1005</v>
      </c>
      <c r="B225" s="6">
        <v>4761049</v>
      </c>
      <c r="C225" s="6">
        <f t="shared" si="3"/>
        <v>6796049</v>
      </c>
      <c r="D225" s="6">
        <v>57925.000000100001</v>
      </c>
      <c r="E225" s="2">
        <v>221</v>
      </c>
    </row>
    <row r="226" spans="1:5" x14ac:dyDescent="0.35">
      <c r="A226" s="5">
        <v>1005.5</v>
      </c>
      <c r="B226" s="6">
        <v>4790050</v>
      </c>
      <c r="C226" s="6">
        <f t="shared" si="3"/>
        <v>6825050</v>
      </c>
      <c r="D226" s="6">
        <v>58080</v>
      </c>
      <c r="E226" s="2">
        <v>222</v>
      </c>
    </row>
    <row r="227" spans="1:5" x14ac:dyDescent="0.35">
      <c r="A227" s="5">
        <v>1006</v>
      </c>
      <c r="B227" s="6">
        <v>4819129</v>
      </c>
      <c r="C227" s="6">
        <f t="shared" si="3"/>
        <v>6854129</v>
      </c>
      <c r="D227" s="6">
        <v>58234.999999899999</v>
      </c>
      <c r="E227" s="2">
        <v>223</v>
      </c>
    </row>
    <row r="228" spans="1:5" x14ac:dyDescent="0.35">
      <c r="A228" s="5">
        <v>1006.5</v>
      </c>
      <c r="B228" s="6">
        <v>4848286</v>
      </c>
      <c r="C228" s="6">
        <f t="shared" si="3"/>
        <v>6883286</v>
      </c>
      <c r="D228" s="6">
        <v>58390</v>
      </c>
      <c r="E228" s="2">
        <v>224</v>
      </c>
    </row>
    <row r="229" spans="1:5" x14ac:dyDescent="0.35">
      <c r="A229" s="5">
        <v>1007</v>
      </c>
      <c r="B229" s="6">
        <v>4877519</v>
      </c>
      <c r="C229" s="6">
        <f t="shared" si="3"/>
        <v>6912519</v>
      </c>
      <c r="D229" s="6">
        <v>58544.999999899999</v>
      </c>
      <c r="E229" s="2">
        <v>225</v>
      </c>
    </row>
    <row r="230" spans="1:5" x14ac:dyDescent="0.35">
      <c r="A230" s="5">
        <v>1007.5</v>
      </c>
      <c r="B230" s="6">
        <v>4906831</v>
      </c>
      <c r="C230" s="6">
        <f t="shared" si="3"/>
        <v>6941831</v>
      </c>
      <c r="D230" s="6">
        <v>58700</v>
      </c>
      <c r="E230" s="2">
        <v>226</v>
      </c>
    </row>
    <row r="231" spans="1:5" x14ac:dyDescent="0.35">
      <c r="A231" s="5">
        <v>1008</v>
      </c>
      <c r="B231" s="6">
        <v>4936219</v>
      </c>
      <c r="C231" s="6">
        <f t="shared" si="3"/>
        <v>6971219</v>
      </c>
      <c r="D231" s="6">
        <v>58854.999999899999</v>
      </c>
      <c r="E231" s="2">
        <v>227</v>
      </c>
    </row>
    <row r="232" spans="1:5" x14ac:dyDescent="0.35">
      <c r="A232" s="5">
        <v>1008.5</v>
      </c>
      <c r="B232" s="6">
        <v>4965686</v>
      </c>
      <c r="C232" s="6">
        <f t="shared" si="3"/>
        <v>7000686</v>
      </c>
      <c r="D232" s="6">
        <v>59010</v>
      </c>
      <c r="E232" s="2">
        <v>228</v>
      </c>
    </row>
    <row r="233" spans="1:5" x14ac:dyDescent="0.35">
      <c r="A233" s="5">
        <v>1009</v>
      </c>
      <c r="B233" s="6">
        <v>4995230</v>
      </c>
      <c r="C233" s="6">
        <f t="shared" si="3"/>
        <v>7030230</v>
      </c>
      <c r="D233" s="6">
        <v>59164.999999899999</v>
      </c>
      <c r="E233" s="2">
        <v>229</v>
      </c>
    </row>
    <row r="234" spans="1:5" x14ac:dyDescent="0.35">
      <c r="A234" s="5">
        <v>1009.5</v>
      </c>
      <c r="B234" s="6">
        <v>5024851</v>
      </c>
      <c r="C234" s="6">
        <f t="shared" si="3"/>
        <v>7059851</v>
      </c>
      <c r="D234" s="6">
        <v>59320.000000100001</v>
      </c>
      <c r="E234" s="2">
        <v>230</v>
      </c>
    </row>
    <row r="235" spans="1:5" x14ac:dyDescent="0.35">
      <c r="A235" s="5">
        <v>1010</v>
      </c>
      <c r="B235" s="6">
        <v>5054550</v>
      </c>
      <c r="C235" s="6">
        <f t="shared" si="3"/>
        <v>7089550</v>
      </c>
      <c r="D235" s="6">
        <v>59474.999999899999</v>
      </c>
      <c r="E235" s="2">
        <v>231</v>
      </c>
    </row>
    <row r="236" spans="1:5" x14ac:dyDescent="0.35">
      <c r="A236" s="5">
        <v>1010.5</v>
      </c>
      <c r="B236" s="6">
        <v>5084326</v>
      </c>
      <c r="C236" s="6">
        <f t="shared" si="3"/>
        <v>7119326</v>
      </c>
      <c r="D236" s="6">
        <v>59628</v>
      </c>
      <c r="E236" s="2">
        <v>232</v>
      </c>
    </row>
    <row r="237" spans="1:5" x14ac:dyDescent="0.35">
      <c r="A237" s="5">
        <v>1011</v>
      </c>
      <c r="B237" s="6">
        <v>5114179</v>
      </c>
      <c r="C237" s="6">
        <f t="shared" si="3"/>
        <v>7149179</v>
      </c>
      <c r="D237" s="6">
        <v>59780.999999899999</v>
      </c>
      <c r="E237" s="2">
        <v>233</v>
      </c>
    </row>
    <row r="238" spans="1:5" x14ac:dyDescent="0.35">
      <c r="A238" s="5">
        <v>1011.5</v>
      </c>
      <c r="B238" s="6">
        <v>5144107</v>
      </c>
      <c r="C238" s="6">
        <f t="shared" si="3"/>
        <v>7179107</v>
      </c>
      <c r="D238" s="6">
        <v>59934</v>
      </c>
      <c r="E238" s="2">
        <v>234</v>
      </c>
    </row>
    <row r="239" spans="1:5" x14ac:dyDescent="0.35">
      <c r="A239" s="5">
        <v>1012</v>
      </c>
      <c r="B239" s="6">
        <v>5174113</v>
      </c>
      <c r="C239" s="6">
        <f t="shared" si="3"/>
        <v>7209113</v>
      </c>
      <c r="D239" s="6">
        <v>60087.000000100001</v>
      </c>
      <c r="E239" s="2">
        <v>235</v>
      </c>
    </row>
    <row r="240" spans="1:5" x14ac:dyDescent="0.35">
      <c r="A240" s="5">
        <v>1012.5</v>
      </c>
      <c r="B240" s="6">
        <v>5204194</v>
      </c>
      <c r="C240" s="6">
        <f t="shared" si="3"/>
        <v>7239194</v>
      </c>
      <c r="D240" s="6">
        <v>60239.999999899999</v>
      </c>
      <c r="E240" s="2">
        <v>236</v>
      </c>
    </row>
    <row r="241" spans="1:5" x14ac:dyDescent="0.35">
      <c r="A241" s="5">
        <v>1013</v>
      </c>
      <c r="B241" s="6">
        <v>5234353</v>
      </c>
      <c r="C241" s="6">
        <f t="shared" si="3"/>
        <v>7269353</v>
      </c>
      <c r="D241" s="6">
        <v>60393</v>
      </c>
      <c r="E241" s="2">
        <v>237</v>
      </c>
    </row>
    <row r="242" spans="1:5" x14ac:dyDescent="0.35">
      <c r="A242" s="5">
        <v>1013.5</v>
      </c>
      <c r="B242" s="6">
        <v>5264587</v>
      </c>
      <c r="C242" s="6">
        <f t="shared" si="3"/>
        <v>7299587</v>
      </c>
      <c r="D242" s="6">
        <v>60546.000000100001</v>
      </c>
      <c r="E242" s="2">
        <v>238</v>
      </c>
    </row>
    <row r="243" spans="1:5" x14ac:dyDescent="0.35">
      <c r="A243" s="5">
        <v>1014</v>
      </c>
      <c r="B243" s="6">
        <v>5294898</v>
      </c>
      <c r="C243" s="6">
        <f t="shared" si="3"/>
        <v>7329898</v>
      </c>
      <c r="D243" s="6">
        <v>60698.999999899999</v>
      </c>
      <c r="E243" s="2">
        <v>239</v>
      </c>
    </row>
    <row r="244" spans="1:5" x14ac:dyDescent="0.35">
      <c r="A244" s="5">
        <v>1014.5</v>
      </c>
      <c r="B244" s="6">
        <v>5325286</v>
      </c>
      <c r="C244" s="6">
        <f t="shared" si="3"/>
        <v>7360286</v>
      </c>
      <c r="D244" s="6">
        <v>60850.999999899999</v>
      </c>
      <c r="E244" s="2">
        <v>240</v>
      </c>
    </row>
    <row r="245" spans="1:5" x14ac:dyDescent="0.35">
      <c r="A245" s="5">
        <v>1015</v>
      </c>
      <c r="B245" s="6">
        <v>5355750</v>
      </c>
      <c r="C245" s="6">
        <f t="shared" si="3"/>
        <v>7390750</v>
      </c>
      <c r="D245" s="6">
        <v>61004</v>
      </c>
      <c r="E245" s="2">
        <v>241</v>
      </c>
    </row>
    <row r="246" spans="1:5" x14ac:dyDescent="0.35">
      <c r="A246" s="5">
        <v>1015.5</v>
      </c>
      <c r="B246" s="6">
        <v>5386290</v>
      </c>
      <c r="C246" s="6">
        <f t="shared" si="3"/>
        <v>7421290</v>
      </c>
      <c r="D246" s="6">
        <v>61157.000000100001</v>
      </c>
      <c r="E246" s="2">
        <v>242</v>
      </c>
    </row>
    <row r="247" spans="1:5" x14ac:dyDescent="0.35">
      <c r="A247" s="5">
        <v>1016</v>
      </c>
      <c r="B247" s="6">
        <v>5416907</v>
      </c>
      <c r="C247" s="6">
        <f t="shared" si="3"/>
        <v>7451907</v>
      </c>
      <c r="D247" s="6">
        <v>61309.999999899999</v>
      </c>
      <c r="E247" s="2">
        <v>243</v>
      </c>
    </row>
    <row r="248" spans="1:5" x14ac:dyDescent="0.35">
      <c r="A248" s="5">
        <v>1016.5</v>
      </c>
      <c r="B248" s="6">
        <v>5447600</v>
      </c>
      <c r="C248" s="6">
        <f t="shared" si="3"/>
        <v>7482600</v>
      </c>
      <c r="D248" s="6">
        <v>61463</v>
      </c>
      <c r="E248" s="2">
        <v>244</v>
      </c>
    </row>
    <row r="249" spans="1:5" x14ac:dyDescent="0.35">
      <c r="A249" s="5">
        <v>1017</v>
      </c>
      <c r="B249" s="6">
        <v>5478370</v>
      </c>
      <c r="C249" s="6">
        <f t="shared" si="3"/>
        <v>7513370</v>
      </c>
      <c r="D249" s="6">
        <v>61616.000000100001</v>
      </c>
      <c r="E249" s="2">
        <v>245</v>
      </c>
    </row>
    <row r="250" spans="1:5" x14ac:dyDescent="0.35">
      <c r="A250" s="5">
        <v>1017.5</v>
      </c>
      <c r="B250" s="6">
        <v>5509216</v>
      </c>
      <c r="C250" s="6">
        <f t="shared" si="3"/>
        <v>7544216</v>
      </c>
      <c r="D250" s="6">
        <v>61768.999999899999</v>
      </c>
      <c r="E250" s="2">
        <v>246</v>
      </c>
    </row>
    <row r="251" spans="1:5" x14ac:dyDescent="0.35">
      <c r="A251" s="5">
        <v>1018</v>
      </c>
      <c r="B251" s="6">
        <v>5540139</v>
      </c>
      <c r="C251" s="6">
        <f t="shared" si="3"/>
        <v>7575139</v>
      </c>
      <c r="D251" s="6">
        <v>61922</v>
      </c>
      <c r="E251" s="2">
        <v>247</v>
      </c>
    </row>
    <row r="252" spans="1:5" x14ac:dyDescent="0.35">
      <c r="A252" s="5">
        <v>1018.5</v>
      </c>
      <c r="B252" s="6">
        <v>5571138</v>
      </c>
      <c r="C252" s="6">
        <f t="shared" si="3"/>
        <v>7606138</v>
      </c>
      <c r="D252" s="6">
        <v>62074.999999899999</v>
      </c>
      <c r="E252" s="2">
        <v>248</v>
      </c>
    </row>
    <row r="253" spans="1:5" x14ac:dyDescent="0.35">
      <c r="A253" s="5">
        <v>1019</v>
      </c>
      <c r="B253" s="6">
        <v>5602213</v>
      </c>
      <c r="C253" s="6">
        <f t="shared" si="3"/>
        <v>7637213</v>
      </c>
      <c r="D253" s="6">
        <v>62227.000000100001</v>
      </c>
      <c r="E253" s="2">
        <v>249</v>
      </c>
    </row>
    <row r="254" spans="1:5" x14ac:dyDescent="0.35">
      <c r="A254" s="5">
        <v>1019.5</v>
      </c>
      <c r="B254" s="6">
        <v>5633365</v>
      </c>
      <c r="C254" s="6">
        <f t="shared" si="3"/>
        <v>7668365</v>
      </c>
      <c r="D254" s="6">
        <v>62379.999999899999</v>
      </c>
      <c r="E254" s="2">
        <v>250</v>
      </c>
    </row>
    <row r="255" spans="1:5" x14ac:dyDescent="0.35">
      <c r="A255" s="5">
        <v>1020</v>
      </c>
      <c r="B255" s="6">
        <v>5664593</v>
      </c>
      <c r="C255" s="6">
        <f t="shared" si="3"/>
        <v>7699593</v>
      </c>
      <c r="D255" s="6">
        <v>62533</v>
      </c>
      <c r="E255" s="2">
        <v>251</v>
      </c>
    </row>
    <row r="256" spans="1:5" x14ac:dyDescent="0.35">
      <c r="A256" s="5">
        <v>1020.5</v>
      </c>
      <c r="B256" s="6">
        <v>5695898</v>
      </c>
      <c r="C256" s="6">
        <f t="shared" si="3"/>
        <v>7730898</v>
      </c>
      <c r="D256" s="6">
        <v>62687.999999899999</v>
      </c>
      <c r="E256" s="2">
        <v>252</v>
      </c>
    </row>
    <row r="257" spans="1:5" x14ac:dyDescent="0.35">
      <c r="A257" s="5">
        <v>1021</v>
      </c>
      <c r="B257" s="6">
        <v>5727281</v>
      </c>
      <c r="C257" s="6">
        <f t="shared" si="3"/>
        <v>7762281</v>
      </c>
      <c r="D257" s="6">
        <v>62841.999999899999</v>
      </c>
      <c r="E257" s="2">
        <v>253</v>
      </c>
    </row>
    <row r="258" spans="1:5" x14ac:dyDescent="0.35">
      <c r="A258" s="5">
        <v>1021.5</v>
      </c>
      <c r="B258" s="6">
        <v>5758741</v>
      </c>
      <c r="C258" s="6">
        <f t="shared" si="3"/>
        <v>7793741</v>
      </c>
      <c r="D258" s="6">
        <v>62997</v>
      </c>
      <c r="E258" s="2">
        <v>254</v>
      </c>
    </row>
    <row r="259" spans="1:5" x14ac:dyDescent="0.35">
      <c r="A259" s="5">
        <v>1022</v>
      </c>
      <c r="B259" s="6">
        <v>5790278</v>
      </c>
      <c r="C259" s="6">
        <f t="shared" si="3"/>
        <v>7825278</v>
      </c>
      <c r="D259" s="6">
        <v>63151</v>
      </c>
      <c r="E259" s="2">
        <v>255</v>
      </c>
    </row>
    <row r="260" spans="1:5" x14ac:dyDescent="0.35">
      <c r="A260" s="5">
        <v>1022.5</v>
      </c>
      <c r="B260" s="6">
        <v>5821892</v>
      </c>
      <c r="C260" s="6">
        <f t="shared" si="3"/>
        <v>7856892</v>
      </c>
      <c r="D260" s="6">
        <v>63305.999999899999</v>
      </c>
      <c r="E260" s="2">
        <v>256</v>
      </c>
    </row>
    <row r="261" spans="1:5" x14ac:dyDescent="0.35">
      <c r="A261" s="5">
        <v>1023</v>
      </c>
      <c r="B261" s="6">
        <v>5853583</v>
      </c>
      <c r="C261" s="6">
        <f t="shared" si="3"/>
        <v>7888583</v>
      </c>
      <c r="D261" s="6">
        <v>63460.000000100001</v>
      </c>
      <c r="E261" s="2">
        <v>257</v>
      </c>
    </row>
    <row r="262" spans="1:5" x14ac:dyDescent="0.35">
      <c r="A262" s="5">
        <v>1023.5</v>
      </c>
      <c r="B262" s="6">
        <v>5885352</v>
      </c>
      <c r="C262" s="6">
        <f t="shared" ref="C262:C325" si="4">B262+$C$3</f>
        <v>7920352</v>
      </c>
      <c r="D262" s="6">
        <v>63615</v>
      </c>
      <c r="E262" s="2">
        <v>258</v>
      </c>
    </row>
    <row r="263" spans="1:5" x14ac:dyDescent="0.35">
      <c r="A263" s="5">
        <v>1024</v>
      </c>
      <c r="B263" s="6">
        <v>5917198</v>
      </c>
      <c r="C263" s="6">
        <f t="shared" si="4"/>
        <v>7952198</v>
      </c>
      <c r="D263" s="6">
        <v>63769</v>
      </c>
      <c r="E263" s="2">
        <v>259</v>
      </c>
    </row>
    <row r="264" spans="1:5" x14ac:dyDescent="0.35">
      <c r="A264" s="5">
        <v>1024.5</v>
      </c>
      <c r="B264" s="6">
        <v>5949121</v>
      </c>
      <c r="C264" s="6">
        <f t="shared" si="4"/>
        <v>7984121</v>
      </c>
      <c r="D264" s="6">
        <v>63923.999999899999</v>
      </c>
      <c r="E264" s="2">
        <v>260</v>
      </c>
    </row>
    <row r="265" spans="1:5" x14ac:dyDescent="0.35">
      <c r="A265" s="5">
        <v>1025</v>
      </c>
      <c r="B265" s="6">
        <v>5981122</v>
      </c>
      <c r="C265" s="6">
        <f t="shared" si="4"/>
        <v>8016122</v>
      </c>
      <c r="D265" s="6">
        <v>64078.000000100001</v>
      </c>
      <c r="E265" s="2">
        <v>261</v>
      </c>
    </row>
    <row r="266" spans="1:5" x14ac:dyDescent="0.35">
      <c r="A266" s="5">
        <v>1025.5</v>
      </c>
      <c r="B266" s="6">
        <v>6013200</v>
      </c>
      <c r="C266" s="6">
        <f t="shared" si="4"/>
        <v>8048200</v>
      </c>
      <c r="D266" s="6">
        <v>64233</v>
      </c>
      <c r="E266" s="2">
        <v>262</v>
      </c>
    </row>
    <row r="267" spans="1:5" x14ac:dyDescent="0.35">
      <c r="A267" s="5">
        <v>1026</v>
      </c>
      <c r="B267" s="6">
        <v>6045355</v>
      </c>
      <c r="C267" s="6">
        <f t="shared" si="4"/>
        <v>8080355</v>
      </c>
      <c r="D267" s="6">
        <v>64387</v>
      </c>
      <c r="E267" s="2">
        <v>263</v>
      </c>
    </row>
    <row r="268" spans="1:5" x14ac:dyDescent="0.35">
      <c r="A268" s="5">
        <v>1026.5</v>
      </c>
      <c r="B268" s="6">
        <v>6077587</v>
      </c>
      <c r="C268" s="6">
        <f t="shared" si="4"/>
        <v>8112587</v>
      </c>
      <c r="D268" s="6">
        <v>64542.000000100001</v>
      </c>
      <c r="E268" s="2">
        <v>264</v>
      </c>
    </row>
    <row r="269" spans="1:5" x14ac:dyDescent="0.35">
      <c r="A269" s="5">
        <v>1027</v>
      </c>
      <c r="B269" s="6">
        <v>6109897</v>
      </c>
      <c r="C269" s="6">
        <f t="shared" si="4"/>
        <v>8144897</v>
      </c>
      <c r="D269" s="6">
        <v>64696.000000100001</v>
      </c>
      <c r="E269" s="2">
        <v>265</v>
      </c>
    </row>
    <row r="270" spans="1:5" x14ac:dyDescent="0.35">
      <c r="A270" s="5">
        <v>1027.5</v>
      </c>
      <c r="B270" s="6">
        <v>6142284</v>
      </c>
      <c r="C270" s="6">
        <f t="shared" si="4"/>
        <v>8177284</v>
      </c>
      <c r="D270" s="6">
        <v>64851</v>
      </c>
      <c r="E270" s="2">
        <v>266</v>
      </c>
    </row>
    <row r="271" spans="1:5" x14ac:dyDescent="0.35">
      <c r="A271" s="5">
        <v>1028</v>
      </c>
      <c r="B271" s="6">
        <v>6174748</v>
      </c>
      <c r="C271" s="6">
        <f t="shared" si="4"/>
        <v>8209748</v>
      </c>
      <c r="D271" s="6">
        <v>65006.000000100001</v>
      </c>
      <c r="E271" s="2">
        <v>267</v>
      </c>
    </row>
    <row r="272" spans="1:5" x14ac:dyDescent="0.35">
      <c r="A272" s="5">
        <v>1028.5</v>
      </c>
      <c r="B272" s="6">
        <v>6207289</v>
      </c>
      <c r="C272" s="6">
        <f t="shared" si="4"/>
        <v>8242289</v>
      </c>
      <c r="D272" s="6">
        <v>65160.000000100001</v>
      </c>
      <c r="E272" s="2">
        <v>268</v>
      </c>
    </row>
    <row r="273" spans="1:5" x14ac:dyDescent="0.35">
      <c r="A273" s="5">
        <v>1029</v>
      </c>
      <c r="B273" s="6">
        <v>6239908</v>
      </c>
      <c r="C273" s="6">
        <f t="shared" si="4"/>
        <v>8274908</v>
      </c>
      <c r="D273" s="6">
        <v>65315</v>
      </c>
      <c r="E273" s="2">
        <v>269</v>
      </c>
    </row>
    <row r="274" spans="1:5" x14ac:dyDescent="0.35">
      <c r="A274" s="5">
        <v>1029.5</v>
      </c>
      <c r="B274" s="6">
        <v>6272604</v>
      </c>
      <c r="C274" s="6">
        <f t="shared" si="4"/>
        <v>8307604</v>
      </c>
      <c r="D274" s="6">
        <v>65469</v>
      </c>
      <c r="E274" s="2">
        <v>270</v>
      </c>
    </row>
    <row r="275" spans="1:5" x14ac:dyDescent="0.35">
      <c r="A275" s="5">
        <v>1030</v>
      </c>
      <c r="B275" s="6">
        <v>6305377</v>
      </c>
      <c r="C275" s="6">
        <f t="shared" si="4"/>
        <v>8340377</v>
      </c>
      <c r="D275" s="6">
        <v>65624.000000100001</v>
      </c>
      <c r="E275" s="2">
        <v>271</v>
      </c>
    </row>
    <row r="276" spans="1:5" x14ac:dyDescent="0.35">
      <c r="A276" s="5">
        <v>1030.5</v>
      </c>
      <c r="B276" s="6">
        <v>6338229</v>
      </c>
      <c r="C276" s="6">
        <f t="shared" si="4"/>
        <v>8373229</v>
      </c>
      <c r="D276" s="6">
        <v>65784</v>
      </c>
      <c r="E276" s="2">
        <v>272</v>
      </c>
    </row>
    <row r="277" spans="1:5" x14ac:dyDescent="0.35">
      <c r="A277" s="5">
        <v>1031</v>
      </c>
      <c r="B277" s="6">
        <v>6371161</v>
      </c>
      <c r="C277" s="6">
        <f t="shared" si="4"/>
        <v>8406161</v>
      </c>
      <c r="D277" s="6">
        <v>65945</v>
      </c>
      <c r="E277" s="2">
        <v>273</v>
      </c>
    </row>
    <row r="278" spans="1:5" x14ac:dyDescent="0.35">
      <c r="A278" s="5">
        <v>1031.5</v>
      </c>
      <c r="B278" s="6">
        <v>6404174</v>
      </c>
      <c r="C278" s="6">
        <f t="shared" si="4"/>
        <v>8439174</v>
      </c>
      <c r="D278" s="6">
        <v>66105.000000100001</v>
      </c>
      <c r="E278" s="2">
        <v>274</v>
      </c>
    </row>
    <row r="279" spans="1:5" x14ac:dyDescent="0.35">
      <c r="A279" s="5">
        <v>1032</v>
      </c>
      <c r="B279" s="6">
        <v>6437266</v>
      </c>
      <c r="C279" s="6">
        <f t="shared" si="4"/>
        <v>8472266</v>
      </c>
      <c r="D279" s="6">
        <v>66266.000000100001</v>
      </c>
      <c r="E279" s="2">
        <v>275</v>
      </c>
    </row>
    <row r="280" spans="1:5" x14ac:dyDescent="0.35">
      <c r="A280" s="5">
        <v>1032.5</v>
      </c>
      <c r="B280" s="6">
        <v>6470439</v>
      </c>
      <c r="C280" s="6">
        <f t="shared" si="4"/>
        <v>8505439</v>
      </c>
      <c r="D280" s="6">
        <v>66425.999999899999</v>
      </c>
      <c r="E280" s="2">
        <v>276</v>
      </c>
    </row>
    <row r="281" spans="1:5" x14ac:dyDescent="0.35">
      <c r="A281" s="5">
        <v>1033</v>
      </c>
      <c r="B281" s="6">
        <v>6503693</v>
      </c>
      <c r="C281" s="6">
        <f t="shared" si="4"/>
        <v>8538693</v>
      </c>
      <c r="D281" s="6">
        <v>66586.999999899999</v>
      </c>
      <c r="E281" s="2">
        <v>277</v>
      </c>
    </row>
    <row r="282" spans="1:5" x14ac:dyDescent="0.35">
      <c r="A282" s="5">
        <v>1033.5</v>
      </c>
      <c r="B282" s="6">
        <v>6537026</v>
      </c>
      <c r="C282" s="6">
        <f t="shared" si="4"/>
        <v>8572026</v>
      </c>
      <c r="D282" s="6">
        <v>66747</v>
      </c>
      <c r="E282" s="2">
        <v>278</v>
      </c>
    </row>
    <row r="283" spans="1:5" x14ac:dyDescent="0.35">
      <c r="A283" s="5">
        <v>1034</v>
      </c>
      <c r="B283" s="6">
        <v>6570440</v>
      </c>
      <c r="C283" s="6">
        <f t="shared" si="4"/>
        <v>8605440</v>
      </c>
      <c r="D283" s="6">
        <v>66908</v>
      </c>
      <c r="E283" s="2">
        <v>279</v>
      </c>
    </row>
    <row r="284" spans="1:5" x14ac:dyDescent="0.35">
      <c r="A284" s="5">
        <v>1034.5</v>
      </c>
      <c r="B284" s="6">
        <v>6603934</v>
      </c>
      <c r="C284" s="6">
        <f t="shared" si="4"/>
        <v>8638934</v>
      </c>
      <c r="D284" s="6">
        <v>67068.000000100001</v>
      </c>
      <c r="E284" s="2">
        <v>280</v>
      </c>
    </row>
    <row r="285" spans="1:5" x14ac:dyDescent="0.35">
      <c r="A285" s="5">
        <v>1035</v>
      </c>
      <c r="B285" s="6">
        <v>6637508</v>
      </c>
      <c r="C285" s="6">
        <f t="shared" si="4"/>
        <v>8672508</v>
      </c>
      <c r="D285" s="6">
        <v>67229.000000100001</v>
      </c>
      <c r="E285" s="2">
        <v>281</v>
      </c>
    </row>
    <row r="286" spans="1:5" x14ac:dyDescent="0.35">
      <c r="A286" s="5">
        <v>1035.5</v>
      </c>
      <c r="B286" s="6">
        <v>6671163</v>
      </c>
      <c r="C286" s="6">
        <f t="shared" si="4"/>
        <v>8706163</v>
      </c>
      <c r="D286" s="6">
        <v>67389</v>
      </c>
      <c r="E286" s="2">
        <v>282</v>
      </c>
    </row>
    <row r="287" spans="1:5" x14ac:dyDescent="0.35">
      <c r="A287" s="5">
        <v>1036</v>
      </c>
      <c r="B287" s="6">
        <v>6704897</v>
      </c>
      <c r="C287" s="6">
        <f t="shared" si="4"/>
        <v>8739897</v>
      </c>
      <c r="D287" s="6">
        <v>67550</v>
      </c>
      <c r="E287" s="2">
        <v>283</v>
      </c>
    </row>
    <row r="288" spans="1:5" x14ac:dyDescent="0.35">
      <c r="A288" s="5">
        <v>1036.5</v>
      </c>
      <c r="B288" s="6">
        <v>6738713</v>
      </c>
      <c r="C288" s="6">
        <f t="shared" si="4"/>
        <v>8773713</v>
      </c>
      <c r="D288" s="6">
        <v>67710.000000100001</v>
      </c>
      <c r="E288" s="2">
        <v>284</v>
      </c>
    </row>
    <row r="289" spans="1:5" x14ac:dyDescent="0.35">
      <c r="A289" s="5">
        <v>1037</v>
      </c>
      <c r="B289" s="6">
        <v>6772608</v>
      </c>
      <c r="C289" s="6">
        <f t="shared" si="4"/>
        <v>8807608</v>
      </c>
      <c r="D289" s="6">
        <v>67871.000000100001</v>
      </c>
      <c r="E289" s="2">
        <v>285</v>
      </c>
    </row>
    <row r="290" spans="1:5" x14ac:dyDescent="0.35">
      <c r="A290" s="5">
        <v>1037.5</v>
      </c>
      <c r="B290" s="6">
        <v>6806583</v>
      </c>
      <c r="C290" s="6">
        <f t="shared" si="4"/>
        <v>8841583</v>
      </c>
      <c r="D290" s="6">
        <v>68030.999999899999</v>
      </c>
      <c r="E290" s="2">
        <v>286</v>
      </c>
    </row>
    <row r="291" spans="1:5" x14ac:dyDescent="0.35">
      <c r="A291" s="5">
        <v>1038</v>
      </c>
      <c r="B291" s="6">
        <v>6840639</v>
      </c>
      <c r="C291" s="6">
        <f t="shared" si="4"/>
        <v>8875639</v>
      </c>
      <c r="D291" s="6">
        <v>68191.999999899999</v>
      </c>
      <c r="E291" s="2">
        <v>287</v>
      </c>
    </row>
    <row r="292" spans="1:5" x14ac:dyDescent="0.35">
      <c r="A292" s="5">
        <v>1038.5</v>
      </c>
      <c r="B292" s="6">
        <v>6874775</v>
      </c>
      <c r="C292" s="6">
        <f t="shared" si="4"/>
        <v>8909775</v>
      </c>
      <c r="D292" s="6">
        <v>68352</v>
      </c>
      <c r="E292" s="2">
        <v>288</v>
      </c>
    </row>
    <row r="293" spans="1:5" x14ac:dyDescent="0.35">
      <c r="A293" s="5">
        <v>1039</v>
      </c>
      <c r="B293" s="6">
        <v>6908992</v>
      </c>
      <c r="C293" s="6">
        <f t="shared" si="4"/>
        <v>8943992</v>
      </c>
      <c r="D293" s="6">
        <v>68513</v>
      </c>
      <c r="E293" s="2">
        <v>289</v>
      </c>
    </row>
    <row r="294" spans="1:5" x14ac:dyDescent="0.35">
      <c r="A294" s="5">
        <v>1039.5</v>
      </c>
      <c r="B294" s="6">
        <v>6943288</v>
      </c>
      <c r="C294" s="6">
        <f t="shared" si="4"/>
        <v>8978288</v>
      </c>
      <c r="D294" s="6">
        <v>68672.999999899999</v>
      </c>
      <c r="E294" s="2">
        <v>290</v>
      </c>
    </row>
    <row r="295" spans="1:5" x14ac:dyDescent="0.35">
      <c r="A295" s="5">
        <v>1040</v>
      </c>
      <c r="B295" s="6">
        <v>6977665</v>
      </c>
      <c r="C295" s="6">
        <f t="shared" si="4"/>
        <v>9012665</v>
      </c>
      <c r="D295" s="6">
        <v>68833.999999899999</v>
      </c>
      <c r="E295" s="2">
        <v>291</v>
      </c>
    </row>
    <row r="296" spans="1:5" x14ac:dyDescent="0.35">
      <c r="A296" s="5">
        <v>1040.5</v>
      </c>
      <c r="B296" s="6">
        <v>7012124</v>
      </c>
      <c r="C296" s="6">
        <f t="shared" si="4"/>
        <v>9047124</v>
      </c>
      <c r="D296" s="6">
        <v>69003</v>
      </c>
      <c r="E296" s="2">
        <v>292</v>
      </c>
    </row>
    <row r="297" spans="1:5" x14ac:dyDescent="0.35">
      <c r="A297" s="5">
        <v>1041</v>
      </c>
      <c r="B297" s="6">
        <v>7046668</v>
      </c>
      <c r="C297" s="6">
        <f t="shared" si="4"/>
        <v>9081668</v>
      </c>
      <c r="D297" s="6">
        <v>69171</v>
      </c>
      <c r="E297" s="2">
        <v>293</v>
      </c>
    </row>
    <row r="298" spans="1:5" x14ac:dyDescent="0.35">
      <c r="A298" s="5">
        <v>1041.5</v>
      </c>
      <c r="B298" s="6">
        <v>7081296</v>
      </c>
      <c r="C298" s="6">
        <f t="shared" si="4"/>
        <v>9116296</v>
      </c>
      <c r="D298" s="6">
        <v>69339.999999899999</v>
      </c>
      <c r="E298" s="2">
        <v>294</v>
      </c>
    </row>
    <row r="299" spans="1:5" x14ac:dyDescent="0.35">
      <c r="A299" s="5">
        <v>1042</v>
      </c>
      <c r="B299" s="6">
        <v>7116008</v>
      </c>
      <c r="C299" s="6">
        <f t="shared" si="4"/>
        <v>9151008</v>
      </c>
      <c r="D299" s="6">
        <v>69509.000000100001</v>
      </c>
      <c r="E299" s="2">
        <v>295</v>
      </c>
    </row>
    <row r="300" spans="1:5" x14ac:dyDescent="0.35">
      <c r="A300" s="5">
        <v>1042.5</v>
      </c>
      <c r="B300" s="6">
        <v>7150804</v>
      </c>
      <c r="C300" s="6">
        <f t="shared" si="4"/>
        <v>9185804</v>
      </c>
      <c r="D300" s="6">
        <v>69677.000000100001</v>
      </c>
      <c r="E300" s="2">
        <v>296</v>
      </c>
    </row>
    <row r="301" spans="1:5" x14ac:dyDescent="0.35">
      <c r="A301" s="5">
        <v>1043</v>
      </c>
      <c r="B301" s="6">
        <v>7185685</v>
      </c>
      <c r="C301" s="6">
        <f t="shared" si="4"/>
        <v>9220685</v>
      </c>
      <c r="D301" s="6">
        <v>69846</v>
      </c>
      <c r="E301" s="2">
        <v>297</v>
      </c>
    </row>
    <row r="302" spans="1:5" x14ac:dyDescent="0.35">
      <c r="A302" s="5">
        <v>1043.5</v>
      </c>
      <c r="B302" s="6">
        <v>7220651</v>
      </c>
      <c r="C302" s="6">
        <f t="shared" si="4"/>
        <v>9255651</v>
      </c>
      <c r="D302" s="6">
        <v>70014.999999899999</v>
      </c>
      <c r="E302" s="2">
        <v>298</v>
      </c>
    </row>
    <row r="303" spans="1:5" x14ac:dyDescent="0.35">
      <c r="A303" s="5">
        <v>1044</v>
      </c>
      <c r="B303" s="6">
        <v>7255700</v>
      </c>
      <c r="C303" s="6">
        <f t="shared" si="4"/>
        <v>9290700</v>
      </c>
      <c r="D303" s="6">
        <v>70184.000000100001</v>
      </c>
      <c r="E303" s="2">
        <v>299</v>
      </c>
    </row>
    <row r="304" spans="1:5" x14ac:dyDescent="0.35">
      <c r="A304" s="5">
        <v>1044.5</v>
      </c>
      <c r="B304" s="6">
        <v>7290834</v>
      </c>
      <c r="C304" s="6">
        <f t="shared" si="4"/>
        <v>9325834</v>
      </c>
      <c r="D304" s="6">
        <v>70352.000000100001</v>
      </c>
      <c r="E304" s="2">
        <v>300</v>
      </c>
    </row>
    <row r="305" spans="1:5" x14ac:dyDescent="0.35">
      <c r="A305" s="5">
        <v>1045</v>
      </c>
      <c r="B305" s="6">
        <v>7326052</v>
      </c>
      <c r="C305" s="6">
        <f t="shared" si="4"/>
        <v>9361052</v>
      </c>
      <c r="D305" s="6">
        <v>70521</v>
      </c>
      <c r="E305" s="2">
        <v>301</v>
      </c>
    </row>
    <row r="306" spans="1:5" x14ac:dyDescent="0.35">
      <c r="A306" s="5">
        <v>1045.5</v>
      </c>
      <c r="B306" s="6">
        <v>7361355</v>
      </c>
      <c r="C306" s="6">
        <f t="shared" si="4"/>
        <v>9396355</v>
      </c>
      <c r="D306" s="6">
        <v>70689.999999899999</v>
      </c>
      <c r="E306" s="2">
        <v>302</v>
      </c>
    </row>
    <row r="307" spans="1:5" x14ac:dyDescent="0.35">
      <c r="A307" s="5">
        <v>1046</v>
      </c>
      <c r="B307" s="6">
        <v>7396742</v>
      </c>
      <c r="C307" s="6">
        <f t="shared" si="4"/>
        <v>9431742</v>
      </c>
      <c r="D307" s="6">
        <v>70857.999999899999</v>
      </c>
      <c r="E307" s="2">
        <v>303</v>
      </c>
    </row>
    <row r="308" spans="1:5" x14ac:dyDescent="0.35">
      <c r="A308" s="5">
        <v>1046.5</v>
      </c>
      <c r="B308" s="6">
        <v>7432213</v>
      </c>
      <c r="C308" s="6">
        <f t="shared" si="4"/>
        <v>9467213</v>
      </c>
      <c r="D308" s="6">
        <v>71027</v>
      </c>
      <c r="E308" s="2">
        <v>304</v>
      </c>
    </row>
    <row r="309" spans="1:5" x14ac:dyDescent="0.35">
      <c r="A309" s="5">
        <v>1047</v>
      </c>
      <c r="B309" s="6">
        <v>7467768</v>
      </c>
      <c r="C309" s="6">
        <f t="shared" si="4"/>
        <v>9502768</v>
      </c>
      <c r="D309" s="6">
        <v>71196</v>
      </c>
      <c r="E309" s="2">
        <v>305</v>
      </c>
    </row>
    <row r="310" spans="1:5" x14ac:dyDescent="0.35">
      <c r="A310" s="5">
        <v>1047.5</v>
      </c>
      <c r="B310" s="6">
        <v>7503408</v>
      </c>
      <c r="C310" s="6">
        <f t="shared" si="4"/>
        <v>9538408</v>
      </c>
      <c r="D310" s="6">
        <v>71364</v>
      </c>
      <c r="E310" s="2">
        <v>306</v>
      </c>
    </row>
    <row r="311" spans="1:5" x14ac:dyDescent="0.35">
      <c r="A311" s="5">
        <v>1048</v>
      </c>
      <c r="B311" s="6">
        <v>7539138</v>
      </c>
      <c r="C311" s="6">
        <f t="shared" si="4"/>
        <v>9574138</v>
      </c>
      <c r="D311" s="6">
        <v>71533.000000100001</v>
      </c>
      <c r="E311" s="2">
        <v>307</v>
      </c>
    </row>
    <row r="312" spans="1:5" x14ac:dyDescent="0.35">
      <c r="A312" s="5">
        <v>1048.5</v>
      </c>
      <c r="B312" s="6">
        <v>7574938</v>
      </c>
      <c r="C312" s="6">
        <f t="shared" si="4"/>
        <v>9609938</v>
      </c>
      <c r="D312" s="6">
        <v>71702</v>
      </c>
      <c r="E312" s="2">
        <v>308</v>
      </c>
    </row>
    <row r="313" spans="1:5" x14ac:dyDescent="0.35">
      <c r="A313" s="5">
        <v>1049</v>
      </c>
      <c r="B313" s="6">
        <v>7610838</v>
      </c>
      <c r="C313" s="6">
        <f t="shared" si="4"/>
        <v>9645838</v>
      </c>
      <c r="D313" s="6">
        <v>71870.999999899999</v>
      </c>
      <c r="E313" s="2">
        <v>309</v>
      </c>
    </row>
    <row r="314" spans="1:5" x14ac:dyDescent="0.35">
      <c r="A314" s="5">
        <v>1049.5</v>
      </c>
      <c r="B314" s="6">
        <v>7646818</v>
      </c>
      <c r="C314" s="6">
        <f t="shared" si="4"/>
        <v>9681818</v>
      </c>
      <c r="D314" s="6">
        <v>72038.999999899999</v>
      </c>
      <c r="E314" s="2">
        <v>310</v>
      </c>
    </row>
    <row r="315" spans="1:5" x14ac:dyDescent="0.35">
      <c r="A315" s="5">
        <v>1050</v>
      </c>
      <c r="B315" s="6">
        <v>7682878</v>
      </c>
      <c r="C315" s="6">
        <f t="shared" si="4"/>
        <v>9717878</v>
      </c>
      <c r="D315" s="6">
        <v>72208.000000100001</v>
      </c>
      <c r="E315" s="2">
        <v>311</v>
      </c>
    </row>
    <row r="316" spans="1:5" x14ac:dyDescent="0.35">
      <c r="A316" s="5">
        <v>1050.5</v>
      </c>
      <c r="B316" s="6">
        <v>7719018</v>
      </c>
      <c r="C316" s="6">
        <f t="shared" si="4"/>
        <v>9754018</v>
      </c>
      <c r="D316" s="6">
        <v>72393</v>
      </c>
      <c r="E316" s="2">
        <v>312</v>
      </c>
    </row>
    <row r="317" spans="1:5" x14ac:dyDescent="0.35">
      <c r="A317" s="5">
        <v>1051</v>
      </c>
      <c r="B317" s="6">
        <v>7755258</v>
      </c>
      <c r="C317" s="6">
        <f t="shared" si="4"/>
        <v>9790258</v>
      </c>
      <c r="D317" s="6">
        <v>72573.999999899999</v>
      </c>
      <c r="E317" s="2">
        <v>313</v>
      </c>
    </row>
    <row r="318" spans="1:5" x14ac:dyDescent="0.35">
      <c r="A318" s="5">
        <v>1051.5</v>
      </c>
      <c r="B318" s="6">
        <v>7791588</v>
      </c>
      <c r="C318" s="6">
        <f t="shared" si="4"/>
        <v>9826588</v>
      </c>
      <c r="D318" s="6">
        <v>72755.000000100001</v>
      </c>
      <c r="E318" s="2">
        <v>314</v>
      </c>
    </row>
    <row r="319" spans="1:5" x14ac:dyDescent="0.35">
      <c r="A319" s="5">
        <v>1052</v>
      </c>
      <c r="B319" s="6">
        <v>7828018</v>
      </c>
      <c r="C319" s="6">
        <f t="shared" si="4"/>
        <v>9863018</v>
      </c>
      <c r="D319" s="6">
        <v>72936</v>
      </c>
      <c r="E319" s="2">
        <v>315</v>
      </c>
    </row>
    <row r="320" spans="1:5" x14ac:dyDescent="0.35">
      <c r="A320" s="5">
        <v>1052.5</v>
      </c>
      <c r="B320" s="6">
        <v>7864528</v>
      </c>
      <c r="C320" s="6">
        <f t="shared" si="4"/>
        <v>9899528</v>
      </c>
      <c r="D320" s="6">
        <v>73117.000000100001</v>
      </c>
      <c r="E320" s="2">
        <v>316</v>
      </c>
    </row>
    <row r="321" spans="1:5" x14ac:dyDescent="0.35">
      <c r="A321" s="5">
        <v>1053</v>
      </c>
      <c r="B321" s="6">
        <v>7901128</v>
      </c>
      <c r="C321" s="6">
        <f t="shared" si="4"/>
        <v>9936128</v>
      </c>
      <c r="D321" s="6">
        <v>73298</v>
      </c>
      <c r="E321" s="2">
        <v>317</v>
      </c>
    </row>
    <row r="322" spans="1:5" x14ac:dyDescent="0.35">
      <c r="A322" s="5">
        <v>1053.5</v>
      </c>
      <c r="B322" s="6">
        <v>7937828</v>
      </c>
      <c r="C322" s="6">
        <f t="shared" si="4"/>
        <v>9972828</v>
      </c>
      <c r="D322" s="6">
        <v>73479.000000100001</v>
      </c>
      <c r="E322" s="2">
        <v>318</v>
      </c>
    </row>
    <row r="323" spans="1:5" x14ac:dyDescent="0.35">
      <c r="A323" s="5">
        <v>1054</v>
      </c>
      <c r="B323" s="6">
        <v>7974608</v>
      </c>
      <c r="C323" s="6">
        <f t="shared" si="4"/>
        <v>10009608</v>
      </c>
      <c r="D323" s="6">
        <v>73660</v>
      </c>
      <c r="E323" s="2">
        <v>319</v>
      </c>
    </row>
    <row r="324" spans="1:5" x14ac:dyDescent="0.35">
      <c r="A324" s="5">
        <v>1054.5</v>
      </c>
      <c r="B324" s="6">
        <v>8011488</v>
      </c>
      <c r="C324" s="6">
        <f t="shared" si="4"/>
        <v>10046488</v>
      </c>
      <c r="D324" s="6">
        <v>73840.999999899999</v>
      </c>
      <c r="E324" s="2">
        <v>320</v>
      </c>
    </row>
    <row r="325" spans="1:5" x14ac:dyDescent="0.35">
      <c r="A325" s="5">
        <v>1055</v>
      </c>
      <c r="B325" s="6">
        <v>8048458</v>
      </c>
      <c r="C325" s="6">
        <f t="shared" si="4"/>
        <v>10083458</v>
      </c>
      <c r="D325" s="6">
        <v>74022</v>
      </c>
      <c r="E325" s="2">
        <v>321</v>
      </c>
    </row>
    <row r="326" spans="1:5" x14ac:dyDescent="0.35">
      <c r="A326" s="5">
        <v>1055.5</v>
      </c>
      <c r="B326" s="6">
        <v>8085508</v>
      </c>
      <c r="C326" s="6">
        <f t="shared" ref="C326:C389" si="5">B326+$C$3</f>
        <v>10120508</v>
      </c>
      <c r="D326" s="6">
        <v>74202.999999899999</v>
      </c>
      <c r="E326" s="2">
        <v>322</v>
      </c>
    </row>
    <row r="327" spans="1:5" x14ac:dyDescent="0.35">
      <c r="A327" s="5">
        <v>1056</v>
      </c>
      <c r="B327" s="6">
        <v>8122657.9999900004</v>
      </c>
      <c r="C327" s="6">
        <f t="shared" si="5"/>
        <v>10157657.999990001</v>
      </c>
      <c r="D327" s="6">
        <v>74384</v>
      </c>
      <c r="E327" s="2">
        <v>323</v>
      </c>
    </row>
    <row r="328" spans="1:5" x14ac:dyDescent="0.35">
      <c r="A328" s="5">
        <v>1056.5</v>
      </c>
      <c r="B328" s="6">
        <v>8159897.9999700002</v>
      </c>
      <c r="C328" s="6">
        <f t="shared" si="5"/>
        <v>10194897.99997</v>
      </c>
      <c r="D328" s="6">
        <v>74564.999999899999</v>
      </c>
      <c r="E328" s="2">
        <v>324</v>
      </c>
    </row>
    <row r="329" spans="1:5" x14ac:dyDescent="0.35">
      <c r="A329" s="5">
        <v>1057</v>
      </c>
      <c r="B329" s="6">
        <v>8197217.9999900004</v>
      </c>
      <c r="C329" s="6">
        <f t="shared" si="5"/>
        <v>10232217.999990001</v>
      </c>
      <c r="D329" s="6">
        <v>74746.000000100001</v>
      </c>
      <c r="E329" s="2">
        <v>325</v>
      </c>
    </row>
    <row r="330" spans="1:5" x14ac:dyDescent="0.35">
      <c r="A330" s="5">
        <v>1057.5</v>
      </c>
      <c r="B330" s="6">
        <v>8234638.0000200002</v>
      </c>
      <c r="C330" s="6">
        <f t="shared" si="5"/>
        <v>10269638.000020001</v>
      </c>
      <c r="D330" s="6">
        <v>74927</v>
      </c>
      <c r="E330" s="2">
        <v>326</v>
      </c>
    </row>
    <row r="331" spans="1:5" x14ac:dyDescent="0.35">
      <c r="A331" s="5">
        <v>1058</v>
      </c>
      <c r="B331" s="6">
        <v>8272148</v>
      </c>
      <c r="C331" s="6">
        <f t="shared" si="5"/>
        <v>10307148</v>
      </c>
      <c r="D331" s="6">
        <v>75108.000000100001</v>
      </c>
      <c r="E331" s="2">
        <v>327</v>
      </c>
    </row>
    <row r="332" spans="1:5" x14ac:dyDescent="0.35">
      <c r="A332" s="5">
        <v>1058.5</v>
      </c>
      <c r="B332" s="6">
        <v>8309748</v>
      </c>
      <c r="C332" s="6">
        <f t="shared" si="5"/>
        <v>10344748</v>
      </c>
      <c r="D332" s="6">
        <v>75289</v>
      </c>
      <c r="E332" s="2">
        <v>328</v>
      </c>
    </row>
    <row r="333" spans="1:5" x14ac:dyDescent="0.35">
      <c r="A333" s="5">
        <v>1059</v>
      </c>
      <c r="B333" s="6">
        <v>8347438.0000400003</v>
      </c>
      <c r="C333" s="6">
        <f t="shared" si="5"/>
        <v>10382438.00004</v>
      </c>
      <c r="D333" s="6">
        <v>75470.000000100001</v>
      </c>
      <c r="E333" s="2">
        <v>329</v>
      </c>
    </row>
    <row r="334" spans="1:5" x14ac:dyDescent="0.35">
      <c r="A334" s="5">
        <v>1059.5</v>
      </c>
      <c r="B334" s="6">
        <v>8385218.0000200002</v>
      </c>
      <c r="C334" s="6">
        <f t="shared" si="5"/>
        <v>10420218.000020001</v>
      </c>
      <c r="D334" s="6">
        <v>75651</v>
      </c>
      <c r="E334" s="2">
        <v>330</v>
      </c>
    </row>
    <row r="335" spans="1:5" x14ac:dyDescent="0.35">
      <c r="A335" s="5">
        <v>1060</v>
      </c>
      <c r="B335" s="6">
        <v>8423088.0000299998</v>
      </c>
      <c r="C335" s="6">
        <f t="shared" si="5"/>
        <v>10458088.00003</v>
      </c>
      <c r="D335" s="6">
        <v>75831.999999899999</v>
      </c>
      <c r="E335" s="2">
        <v>331</v>
      </c>
    </row>
    <row r="336" spans="1:5" x14ac:dyDescent="0.35">
      <c r="A336" s="5">
        <v>1060.5</v>
      </c>
      <c r="B336" s="6">
        <v>8461047.9999899995</v>
      </c>
      <c r="C336" s="6">
        <f t="shared" si="5"/>
        <v>10496047.999989999</v>
      </c>
      <c r="D336" s="6">
        <v>76013</v>
      </c>
      <c r="E336" s="2">
        <v>332</v>
      </c>
    </row>
    <row r="337" spans="1:5" x14ac:dyDescent="0.35">
      <c r="A337" s="5">
        <v>1061</v>
      </c>
      <c r="B337" s="6">
        <v>8499097.9999700002</v>
      </c>
      <c r="C337" s="6">
        <f t="shared" si="5"/>
        <v>10534097.99997</v>
      </c>
      <c r="D337" s="6">
        <v>76193.999999899999</v>
      </c>
      <c r="E337" s="2">
        <v>333</v>
      </c>
    </row>
    <row r="338" spans="1:5" x14ac:dyDescent="0.35">
      <c r="A338" s="5">
        <v>1061.5</v>
      </c>
      <c r="B338" s="6">
        <v>8537247.9999700002</v>
      </c>
      <c r="C338" s="6">
        <f t="shared" si="5"/>
        <v>10572247.99997</v>
      </c>
      <c r="D338" s="6">
        <v>76375</v>
      </c>
      <c r="E338" s="2">
        <v>334</v>
      </c>
    </row>
    <row r="339" spans="1:5" x14ac:dyDescent="0.35">
      <c r="A339" s="5">
        <v>1062</v>
      </c>
      <c r="B339" s="6">
        <v>8575478.0000100005</v>
      </c>
      <c r="C339" s="6">
        <f t="shared" si="5"/>
        <v>10610478.000010001</v>
      </c>
      <c r="D339" s="6">
        <v>76555.999999899999</v>
      </c>
      <c r="E339" s="2">
        <v>335</v>
      </c>
    </row>
    <row r="340" spans="1:5" x14ac:dyDescent="0.35">
      <c r="A340" s="5">
        <v>1062.5</v>
      </c>
      <c r="B340" s="6">
        <v>8613798</v>
      </c>
      <c r="C340" s="6">
        <f t="shared" si="5"/>
        <v>10648798</v>
      </c>
      <c r="D340" s="6">
        <v>76737.000000100001</v>
      </c>
      <c r="E340" s="2">
        <v>336</v>
      </c>
    </row>
    <row r="341" spans="1:5" x14ac:dyDescent="0.35">
      <c r="A341" s="5">
        <v>1063</v>
      </c>
      <c r="B341" s="6">
        <v>8652218</v>
      </c>
      <c r="C341" s="6">
        <f t="shared" si="5"/>
        <v>10687218</v>
      </c>
      <c r="D341" s="6">
        <v>76918</v>
      </c>
      <c r="E341" s="2">
        <v>337</v>
      </c>
    </row>
    <row r="342" spans="1:5" x14ac:dyDescent="0.35">
      <c r="A342" s="5">
        <v>1063.5</v>
      </c>
      <c r="B342" s="6">
        <v>8690717.9999599997</v>
      </c>
      <c r="C342" s="6">
        <f t="shared" si="5"/>
        <v>10725717.99996</v>
      </c>
      <c r="D342" s="6">
        <v>77099.000000100001</v>
      </c>
      <c r="E342" s="2">
        <v>338</v>
      </c>
    </row>
    <row r="343" spans="1:5" x14ac:dyDescent="0.35">
      <c r="A343" s="5">
        <v>1064</v>
      </c>
      <c r="B343" s="6">
        <v>8729308.0000299998</v>
      </c>
      <c r="C343" s="6">
        <f t="shared" si="5"/>
        <v>10764308.00003</v>
      </c>
      <c r="D343" s="6">
        <v>77280</v>
      </c>
      <c r="E343" s="2">
        <v>339</v>
      </c>
    </row>
    <row r="344" spans="1:5" x14ac:dyDescent="0.35">
      <c r="A344" s="5">
        <v>1064.5</v>
      </c>
      <c r="B344" s="6">
        <v>8767998.0000400003</v>
      </c>
      <c r="C344" s="6">
        <f t="shared" si="5"/>
        <v>10802998.00004</v>
      </c>
      <c r="D344" s="6">
        <v>77461.000000100001</v>
      </c>
      <c r="E344" s="2">
        <v>340</v>
      </c>
    </row>
    <row r="345" spans="1:5" x14ac:dyDescent="0.35">
      <c r="A345" s="5">
        <v>1065</v>
      </c>
      <c r="B345" s="6">
        <v>8806768</v>
      </c>
      <c r="C345" s="6">
        <f t="shared" si="5"/>
        <v>10841768</v>
      </c>
      <c r="D345" s="6">
        <v>77642</v>
      </c>
      <c r="E345" s="2">
        <v>341</v>
      </c>
    </row>
    <row r="346" spans="1:5" x14ac:dyDescent="0.35">
      <c r="A346" s="5">
        <v>1065.5</v>
      </c>
      <c r="B346" s="6">
        <v>8845637.9999800008</v>
      </c>
      <c r="C346" s="6">
        <f t="shared" si="5"/>
        <v>10880637.999980001</v>
      </c>
      <c r="D346" s="6">
        <v>77822.999999899999</v>
      </c>
      <c r="E346" s="2">
        <v>342</v>
      </c>
    </row>
    <row r="347" spans="1:5" x14ac:dyDescent="0.35">
      <c r="A347" s="5">
        <v>1066</v>
      </c>
      <c r="B347" s="6">
        <v>8884597.9999899995</v>
      </c>
      <c r="C347" s="6">
        <f t="shared" si="5"/>
        <v>10919597.999989999</v>
      </c>
      <c r="D347" s="6">
        <v>78004</v>
      </c>
      <c r="E347" s="2">
        <v>343</v>
      </c>
    </row>
    <row r="348" spans="1:5" x14ac:dyDescent="0.35">
      <c r="A348" s="5">
        <v>1066.5</v>
      </c>
      <c r="B348" s="6">
        <v>8923637.9999599997</v>
      </c>
      <c r="C348" s="6">
        <f t="shared" si="5"/>
        <v>10958637.99996</v>
      </c>
      <c r="D348" s="6">
        <v>78184.999999899999</v>
      </c>
      <c r="E348" s="2">
        <v>344</v>
      </c>
    </row>
    <row r="349" spans="1:5" x14ac:dyDescent="0.35">
      <c r="A349" s="5">
        <v>1067</v>
      </c>
      <c r="B349" s="6">
        <v>8962778.0000199992</v>
      </c>
      <c r="C349" s="6">
        <f t="shared" si="5"/>
        <v>10997778.000019999</v>
      </c>
      <c r="D349" s="6">
        <v>78366</v>
      </c>
      <c r="E349" s="2">
        <v>345</v>
      </c>
    </row>
    <row r="350" spans="1:5" x14ac:dyDescent="0.35">
      <c r="A350" s="5">
        <v>1067.5</v>
      </c>
      <c r="B350" s="6">
        <v>9002008.0000299998</v>
      </c>
      <c r="C350" s="6">
        <f t="shared" si="5"/>
        <v>11037008.00003</v>
      </c>
      <c r="D350" s="6">
        <v>78546.999999899999</v>
      </c>
      <c r="E350" s="2">
        <v>346</v>
      </c>
    </row>
    <row r="351" spans="1:5" x14ac:dyDescent="0.35">
      <c r="A351" s="5">
        <v>1068</v>
      </c>
      <c r="B351" s="6">
        <v>9041327.9999899995</v>
      </c>
      <c r="C351" s="6">
        <f t="shared" si="5"/>
        <v>11076327.999989999</v>
      </c>
      <c r="D351" s="6">
        <v>78726.999999899999</v>
      </c>
      <c r="E351" s="2">
        <v>347</v>
      </c>
    </row>
    <row r="352" spans="1:5" x14ac:dyDescent="0.35">
      <c r="A352" s="5">
        <v>1068.5</v>
      </c>
      <c r="B352" s="6">
        <v>9080737.9999800008</v>
      </c>
      <c r="C352" s="6">
        <f t="shared" si="5"/>
        <v>11115737.999980001</v>
      </c>
      <c r="D352" s="6">
        <v>78908.000000100001</v>
      </c>
      <c r="E352" s="2">
        <v>348</v>
      </c>
    </row>
    <row r="353" spans="1:5" x14ac:dyDescent="0.35">
      <c r="A353" s="5">
        <v>1069</v>
      </c>
      <c r="B353" s="6">
        <v>9120237.9999899995</v>
      </c>
      <c r="C353" s="6">
        <f t="shared" si="5"/>
        <v>11155237.999989999</v>
      </c>
      <c r="D353" s="6">
        <v>79089</v>
      </c>
      <c r="E353" s="2">
        <v>349</v>
      </c>
    </row>
    <row r="354" spans="1:5" x14ac:dyDescent="0.35">
      <c r="A354" s="5">
        <v>1069.5</v>
      </c>
      <c r="B354" s="6">
        <v>9159828.0000299998</v>
      </c>
      <c r="C354" s="6">
        <f t="shared" si="5"/>
        <v>11194828.00003</v>
      </c>
      <c r="D354" s="6">
        <v>79270.000000100001</v>
      </c>
      <c r="E354" s="2">
        <v>350</v>
      </c>
    </row>
    <row r="355" spans="1:5" x14ac:dyDescent="0.35">
      <c r="A355" s="5">
        <v>1070</v>
      </c>
      <c r="B355" s="6">
        <v>9199508.0000199992</v>
      </c>
      <c r="C355" s="6">
        <f t="shared" si="5"/>
        <v>11234508.000019999</v>
      </c>
      <c r="D355" s="6">
        <v>79451</v>
      </c>
      <c r="E355" s="2">
        <v>351</v>
      </c>
    </row>
    <row r="356" spans="1:5" x14ac:dyDescent="0.35">
      <c r="A356" s="5">
        <v>1070.5</v>
      </c>
      <c r="B356" s="6">
        <v>9239267.9999700002</v>
      </c>
      <c r="C356" s="6">
        <f t="shared" si="5"/>
        <v>11274267.99997</v>
      </c>
      <c r="D356" s="6">
        <v>79616.999999899999</v>
      </c>
      <c r="E356" s="2">
        <v>352</v>
      </c>
    </row>
    <row r="357" spans="1:5" x14ac:dyDescent="0.35">
      <c r="A357" s="5">
        <v>1071</v>
      </c>
      <c r="B357" s="6">
        <v>9279118.0000299998</v>
      </c>
      <c r="C357" s="6">
        <f t="shared" si="5"/>
        <v>11314118.00003</v>
      </c>
      <c r="D357" s="6">
        <v>79787</v>
      </c>
      <c r="E357" s="2">
        <v>353</v>
      </c>
    </row>
    <row r="358" spans="1:5" x14ac:dyDescent="0.35">
      <c r="A358" s="5">
        <v>1071.5</v>
      </c>
      <c r="B358" s="6">
        <v>9319047.9999700002</v>
      </c>
      <c r="C358" s="6">
        <f t="shared" si="5"/>
        <v>11354047.99997</v>
      </c>
      <c r="D358" s="6">
        <v>79957</v>
      </c>
      <c r="E358" s="2">
        <v>354</v>
      </c>
    </row>
    <row r="359" spans="1:5" x14ac:dyDescent="0.35">
      <c r="A359" s="5">
        <v>1072</v>
      </c>
      <c r="B359" s="6">
        <v>9359068.0000199992</v>
      </c>
      <c r="C359" s="6">
        <f t="shared" si="5"/>
        <v>11394068.000019999</v>
      </c>
      <c r="D359" s="6">
        <v>80127.000000100001</v>
      </c>
      <c r="E359" s="2">
        <v>355</v>
      </c>
    </row>
    <row r="360" spans="1:5" x14ac:dyDescent="0.35">
      <c r="A360" s="5">
        <v>1072.5</v>
      </c>
      <c r="B360" s="6">
        <v>9399178.0000199992</v>
      </c>
      <c r="C360" s="6">
        <f t="shared" si="5"/>
        <v>11434178.000019999</v>
      </c>
      <c r="D360" s="6">
        <v>80296.999999899999</v>
      </c>
      <c r="E360" s="2">
        <v>356</v>
      </c>
    </row>
    <row r="361" spans="1:5" x14ac:dyDescent="0.35">
      <c r="A361" s="5">
        <v>1073</v>
      </c>
      <c r="B361" s="6">
        <v>9439367.9999800008</v>
      </c>
      <c r="C361" s="6">
        <f t="shared" si="5"/>
        <v>11474367.999980001</v>
      </c>
      <c r="D361" s="6">
        <v>80468.000000100001</v>
      </c>
      <c r="E361" s="2">
        <v>357</v>
      </c>
    </row>
    <row r="362" spans="1:5" x14ac:dyDescent="0.35">
      <c r="A362" s="5">
        <v>1073.5</v>
      </c>
      <c r="B362" s="6">
        <v>9479647.9999599997</v>
      </c>
      <c r="C362" s="6">
        <f t="shared" si="5"/>
        <v>11514647.99996</v>
      </c>
      <c r="D362" s="6">
        <v>80637.999999899999</v>
      </c>
      <c r="E362" s="2">
        <v>358</v>
      </c>
    </row>
    <row r="363" spans="1:5" x14ac:dyDescent="0.35">
      <c r="A363" s="5">
        <v>1074</v>
      </c>
      <c r="B363" s="6">
        <v>9520007.9999899995</v>
      </c>
      <c r="C363" s="6">
        <f t="shared" si="5"/>
        <v>11555007.999989999</v>
      </c>
      <c r="D363" s="6">
        <v>80807.999999899999</v>
      </c>
      <c r="E363" s="2">
        <v>359</v>
      </c>
    </row>
    <row r="364" spans="1:5" x14ac:dyDescent="0.35">
      <c r="A364" s="5">
        <v>1074.5</v>
      </c>
      <c r="B364" s="6">
        <v>9560447.9999899995</v>
      </c>
      <c r="C364" s="6">
        <f t="shared" si="5"/>
        <v>11595447.999989999</v>
      </c>
      <c r="D364" s="6">
        <v>80978</v>
      </c>
      <c r="E364" s="2">
        <v>360</v>
      </c>
    </row>
    <row r="365" spans="1:5" x14ac:dyDescent="0.35">
      <c r="A365" s="5">
        <v>1075</v>
      </c>
      <c r="B365" s="6">
        <v>9600987.9999899995</v>
      </c>
      <c r="C365" s="6">
        <f t="shared" si="5"/>
        <v>11635987.999989999</v>
      </c>
      <c r="D365" s="6">
        <v>81148</v>
      </c>
      <c r="E365" s="2">
        <v>361</v>
      </c>
    </row>
    <row r="366" spans="1:5" x14ac:dyDescent="0.35">
      <c r="A366" s="5">
        <v>1075.5</v>
      </c>
      <c r="B366" s="6">
        <v>9641597.9999700002</v>
      </c>
      <c r="C366" s="6">
        <f t="shared" si="5"/>
        <v>11676597.99997</v>
      </c>
      <c r="D366" s="6">
        <v>81318.000000100001</v>
      </c>
      <c r="E366" s="2">
        <v>362</v>
      </c>
    </row>
    <row r="367" spans="1:5" x14ac:dyDescent="0.35">
      <c r="A367" s="5">
        <v>1076</v>
      </c>
      <c r="B367" s="6">
        <v>9682297.9999800008</v>
      </c>
      <c r="C367" s="6">
        <f t="shared" si="5"/>
        <v>11717297.999980001</v>
      </c>
      <c r="D367" s="6">
        <v>81488.000000100001</v>
      </c>
      <c r="E367" s="2">
        <v>363</v>
      </c>
    </row>
    <row r="368" spans="1:5" x14ac:dyDescent="0.35">
      <c r="A368" s="5">
        <v>1076.5</v>
      </c>
      <c r="B368" s="6">
        <v>9723088.0000199992</v>
      </c>
      <c r="C368" s="6">
        <f t="shared" si="5"/>
        <v>11758088.000019999</v>
      </c>
      <c r="D368" s="6">
        <v>81657.999999899999</v>
      </c>
      <c r="E368" s="2">
        <v>364</v>
      </c>
    </row>
    <row r="369" spans="1:5" x14ac:dyDescent="0.35">
      <c r="A369" s="5">
        <v>1077</v>
      </c>
      <c r="B369" s="6">
        <v>9763958.0000199992</v>
      </c>
      <c r="C369" s="6">
        <f t="shared" si="5"/>
        <v>11798958.000019999</v>
      </c>
      <c r="D369" s="6">
        <v>81828</v>
      </c>
      <c r="E369" s="2">
        <v>365</v>
      </c>
    </row>
    <row r="370" spans="1:5" x14ac:dyDescent="0.35">
      <c r="A370" s="5">
        <v>1077.5</v>
      </c>
      <c r="B370" s="6">
        <v>9804917.9999700002</v>
      </c>
      <c r="C370" s="6">
        <f t="shared" si="5"/>
        <v>11839917.99997</v>
      </c>
      <c r="D370" s="6">
        <v>81998.999999899999</v>
      </c>
      <c r="E370" s="2">
        <v>366</v>
      </c>
    </row>
    <row r="371" spans="1:5" x14ac:dyDescent="0.35">
      <c r="A371" s="5">
        <v>1078</v>
      </c>
      <c r="B371" s="6">
        <v>9845958.0000400003</v>
      </c>
      <c r="C371" s="6">
        <f t="shared" si="5"/>
        <v>11880958.00004</v>
      </c>
      <c r="D371" s="6">
        <v>82169</v>
      </c>
      <c r="E371" s="2">
        <v>367</v>
      </c>
    </row>
    <row r="372" spans="1:5" x14ac:dyDescent="0.35">
      <c r="A372" s="5">
        <v>1078.5</v>
      </c>
      <c r="B372" s="6">
        <v>9887087.9999700002</v>
      </c>
      <c r="C372" s="6">
        <f t="shared" si="5"/>
        <v>11922087.99997</v>
      </c>
      <c r="D372" s="6">
        <v>82339</v>
      </c>
      <c r="E372" s="2">
        <v>368</v>
      </c>
    </row>
    <row r="373" spans="1:5" x14ac:dyDescent="0.35">
      <c r="A373" s="5">
        <v>1079</v>
      </c>
      <c r="B373" s="6">
        <v>9928298.0000299998</v>
      </c>
      <c r="C373" s="6">
        <f t="shared" si="5"/>
        <v>11963298.00003</v>
      </c>
      <c r="D373" s="6">
        <v>82509</v>
      </c>
      <c r="E373" s="2">
        <v>369</v>
      </c>
    </row>
    <row r="374" spans="1:5" x14ac:dyDescent="0.35">
      <c r="A374" s="5">
        <v>1079.5</v>
      </c>
      <c r="B374" s="6">
        <v>9969598.0000400003</v>
      </c>
      <c r="C374" s="6">
        <f t="shared" si="5"/>
        <v>12004598.00004</v>
      </c>
      <c r="D374" s="6">
        <v>82679.000000100001</v>
      </c>
      <c r="E374" s="2">
        <v>370</v>
      </c>
    </row>
    <row r="375" spans="1:5" x14ac:dyDescent="0.35">
      <c r="A375" s="5">
        <v>1080</v>
      </c>
      <c r="B375" s="6">
        <v>10010978</v>
      </c>
      <c r="C375" s="6">
        <f t="shared" si="5"/>
        <v>12045978</v>
      </c>
      <c r="D375" s="6">
        <v>82848.999999899999</v>
      </c>
      <c r="E375" s="2">
        <v>371</v>
      </c>
    </row>
    <row r="376" spans="1:5" x14ac:dyDescent="0.35">
      <c r="A376" s="5">
        <v>1080.5</v>
      </c>
      <c r="B376" s="6">
        <v>10052448</v>
      </c>
      <c r="C376" s="6">
        <f t="shared" si="5"/>
        <v>12087448</v>
      </c>
      <c r="D376" s="6">
        <v>83007.899999999994</v>
      </c>
      <c r="E376" s="2">
        <v>372</v>
      </c>
    </row>
    <row r="377" spans="1:5" x14ac:dyDescent="0.35">
      <c r="A377" s="5">
        <v>1081</v>
      </c>
      <c r="B377" s="6">
        <v>10093998</v>
      </c>
      <c r="C377" s="6">
        <f t="shared" si="5"/>
        <v>12128998</v>
      </c>
      <c r="D377" s="6">
        <v>83166.799999900002</v>
      </c>
      <c r="E377" s="2">
        <v>373</v>
      </c>
    </row>
    <row r="378" spans="1:5" x14ac:dyDescent="0.35">
      <c r="A378" s="5">
        <v>1081.5</v>
      </c>
      <c r="B378" s="6">
        <v>10135648</v>
      </c>
      <c r="C378" s="6">
        <f t="shared" si="5"/>
        <v>12170648</v>
      </c>
      <c r="D378" s="6">
        <v>83325.7</v>
      </c>
      <c r="E378" s="2">
        <v>374</v>
      </c>
    </row>
    <row r="379" spans="1:5" x14ac:dyDescent="0.35">
      <c r="A379" s="5">
        <v>1082</v>
      </c>
      <c r="B379" s="6">
        <v>10177378</v>
      </c>
      <c r="C379" s="6">
        <f t="shared" si="5"/>
        <v>12212378</v>
      </c>
      <c r="D379" s="6">
        <v>83484.599999900005</v>
      </c>
      <c r="E379" s="2">
        <v>375</v>
      </c>
    </row>
    <row r="380" spans="1:5" x14ac:dyDescent="0.35">
      <c r="A380" s="5">
        <v>1082.5</v>
      </c>
      <c r="B380" s="6">
        <v>10219198</v>
      </c>
      <c r="C380" s="6">
        <f t="shared" si="5"/>
        <v>12254198</v>
      </c>
      <c r="D380" s="6">
        <v>83643.5</v>
      </c>
      <c r="E380" s="2">
        <v>376</v>
      </c>
    </row>
    <row r="381" spans="1:5" x14ac:dyDescent="0.35">
      <c r="A381" s="5">
        <v>1083</v>
      </c>
      <c r="B381" s="6">
        <v>10261098</v>
      </c>
      <c r="C381" s="6">
        <f t="shared" si="5"/>
        <v>12296098</v>
      </c>
      <c r="D381" s="6">
        <v>83802.400000099995</v>
      </c>
      <c r="E381" s="2">
        <v>377</v>
      </c>
    </row>
    <row r="382" spans="1:5" x14ac:dyDescent="0.35">
      <c r="A382" s="5">
        <v>1083.5</v>
      </c>
      <c r="B382" s="6">
        <v>10303098</v>
      </c>
      <c r="C382" s="6">
        <f t="shared" si="5"/>
        <v>12338098</v>
      </c>
      <c r="D382" s="6">
        <v>83961.3</v>
      </c>
      <c r="E382" s="2">
        <v>378</v>
      </c>
    </row>
    <row r="383" spans="1:5" x14ac:dyDescent="0.35">
      <c r="A383" s="5">
        <v>1084</v>
      </c>
      <c r="B383" s="6">
        <v>10345178</v>
      </c>
      <c r="C383" s="6">
        <f t="shared" si="5"/>
        <v>12380178</v>
      </c>
      <c r="D383" s="6">
        <v>84120.200000099998</v>
      </c>
      <c r="E383" s="2">
        <v>379</v>
      </c>
    </row>
    <row r="384" spans="1:5" x14ac:dyDescent="0.35">
      <c r="A384" s="5">
        <v>1084.5</v>
      </c>
      <c r="B384" s="6">
        <v>10387348</v>
      </c>
      <c r="C384" s="6">
        <f t="shared" si="5"/>
        <v>12422348</v>
      </c>
      <c r="D384" s="6">
        <v>84279.1</v>
      </c>
      <c r="E384" s="2">
        <v>380</v>
      </c>
    </row>
    <row r="385" spans="1:5" x14ac:dyDescent="0.35">
      <c r="A385" s="5">
        <v>1085</v>
      </c>
      <c r="B385" s="6">
        <v>10429608</v>
      </c>
      <c r="C385" s="6">
        <f t="shared" si="5"/>
        <v>12464608</v>
      </c>
      <c r="D385" s="6">
        <v>84438.000000100001</v>
      </c>
      <c r="E385" s="2">
        <v>381</v>
      </c>
    </row>
    <row r="386" spans="1:5" x14ac:dyDescent="0.35">
      <c r="A386" s="5">
        <v>1085.5</v>
      </c>
      <c r="B386" s="6">
        <v>10471948</v>
      </c>
      <c r="C386" s="6">
        <f t="shared" si="5"/>
        <v>12506948</v>
      </c>
      <c r="D386" s="6">
        <v>84596.9</v>
      </c>
      <c r="E386" s="2">
        <v>382</v>
      </c>
    </row>
    <row r="387" spans="1:5" x14ac:dyDescent="0.35">
      <c r="A387" s="5">
        <v>1086</v>
      </c>
      <c r="B387" s="6">
        <v>10514388</v>
      </c>
      <c r="C387" s="6">
        <f t="shared" si="5"/>
        <v>12549388</v>
      </c>
      <c r="D387" s="6">
        <v>84755.800000100004</v>
      </c>
      <c r="E387" s="2">
        <v>383</v>
      </c>
    </row>
    <row r="388" spans="1:5" x14ac:dyDescent="0.35">
      <c r="A388" s="5">
        <v>1086.5</v>
      </c>
      <c r="B388" s="6">
        <v>10556908</v>
      </c>
      <c r="C388" s="6">
        <f t="shared" si="5"/>
        <v>12591908</v>
      </c>
      <c r="D388" s="6">
        <v>84914.7</v>
      </c>
      <c r="E388" s="2">
        <v>384</v>
      </c>
    </row>
    <row r="389" spans="1:5" x14ac:dyDescent="0.35">
      <c r="A389" s="5">
        <v>1087</v>
      </c>
      <c r="B389" s="6">
        <v>10599518</v>
      </c>
      <c r="C389" s="6">
        <f t="shared" si="5"/>
        <v>12634518</v>
      </c>
      <c r="D389" s="6">
        <v>85073.600000100007</v>
      </c>
      <c r="E389" s="2">
        <v>385</v>
      </c>
    </row>
    <row r="390" spans="1:5" x14ac:dyDescent="0.35">
      <c r="A390" s="5">
        <v>1087.5</v>
      </c>
      <c r="B390" s="6">
        <v>10642218</v>
      </c>
      <c r="C390" s="6">
        <f t="shared" ref="C390:C453" si="6">B390+$C$3</f>
        <v>12677218</v>
      </c>
      <c r="D390" s="6">
        <v>85232.499999899999</v>
      </c>
      <c r="E390" s="2">
        <v>386</v>
      </c>
    </row>
    <row r="391" spans="1:5" x14ac:dyDescent="0.35">
      <c r="A391" s="5">
        <v>1088</v>
      </c>
      <c r="B391" s="6">
        <v>10684998</v>
      </c>
      <c r="C391" s="6">
        <f t="shared" si="6"/>
        <v>12719998</v>
      </c>
      <c r="D391" s="6">
        <v>85391.400000099995</v>
      </c>
      <c r="E391" s="2">
        <v>387</v>
      </c>
    </row>
    <row r="392" spans="1:5" x14ac:dyDescent="0.35">
      <c r="A392" s="5">
        <v>1088.5</v>
      </c>
      <c r="B392" s="6">
        <v>10727868</v>
      </c>
      <c r="C392" s="6">
        <f t="shared" si="6"/>
        <v>12762868</v>
      </c>
      <c r="D392" s="6">
        <v>85550.299999900002</v>
      </c>
      <c r="E392" s="2">
        <v>388</v>
      </c>
    </row>
    <row r="393" spans="1:5" x14ac:dyDescent="0.35">
      <c r="A393" s="5">
        <v>1089</v>
      </c>
      <c r="B393" s="6">
        <v>10770828</v>
      </c>
      <c r="C393" s="6">
        <f t="shared" si="6"/>
        <v>12805828</v>
      </c>
      <c r="D393" s="6">
        <v>85709.200000099998</v>
      </c>
      <c r="E393" s="2">
        <v>389</v>
      </c>
    </row>
    <row r="394" spans="1:5" x14ac:dyDescent="0.35">
      <c r="A394" s="5">
        <v>1089.5</v>
      </c>
      <c r="B394" s="6">
        <v>10813878</v>
      </c>
      <c r="C394" s="6">
        <f t="shared" si="6"/>
        <v>12848878</v>
      </c>
      <c r="D394" s="6">
        <v>85868.099999900005</v>
      </c>
      <c r="E394" s="2">
        <v>390</v>
      </c>
    </row>
    <row r="395" spans="1:5" x14ac:dyDescent="0.35">
      <c r="A395" s="5">
        <v>1090</v>
      </c>
      <c r="B395" s="6">
        <v>10857008</v>
      </c>
      <c r="C395" s="6">
        <f t="shared" si="6"/>
        <v>12892008</v>
      </c>
      <c r="D395" s="6">
        <v>86027</v>
      </c>
      <c r="E395" s="2">
        <v>391</v>
      </c>
    </row>
    <row r="396" spans="1:5" x14ac:dyDescent="0.35">
      <c r="A396" s="5">
        <v>1090.5</v>
      </c>
      <c r="B396" s="6">
        <v>10900238</v>
      </c>
      <c r="C396" s="6">
        <f t="shared" si="6"/>
        <v>12935238</v>
      </c>
      <c r="D396" s="6">
        <v>86185.899999899993</v>
      </c>
      <c r="E396" s="2">
        <v>392</v>
      </c>
    </row>
    <row r="397" spans="1:5" x14ac:dyDescent="0.35">
      <c r="A397" s="5">
        <v>1091</v>
      </c>
      <c r="B397" s="6">
        <v>10943548</v>
      </c>
      <c r="C397" s="6">
        <f t="shared" si="6"/>
        <v>12978548</v>
      </c>
      <c r="D397" s="6">
        <v>86344.8</v>
      </c>
      <c r="E397" s="2">
        <v>393</v>
      </c>
    </row>
    <row r="398" spans="1:5" x14ac:dyDescent="0.35">
      <c r="A398" s="5">
        <v>1091.5</v>
      </c>
      <c r="B398" s="6">
        <v>10986938</v>
      </c>
      <c r="C398" s="6">
        <f t="shared" si="6"/>
        <v>13021938</v>
      </c>
      <c r="D398" s="6">
        <v>86503.699999899996</v>
      </c>
      <c r="E398" s="2">
        <v>394</v>
      </c>
    </row>
    <row r="399" spans="1:5" x14ac:dyDescent="0.35">
      <c r="A399" s="5">
        <v>1092</v>
      </c>
      <c r="B399" s="6">
        <v>11030418</v>
      </c>
      <c r="C399" s="6">
        <f t="shared" si="6"/>
        <v>13065418</v>
      </c>
      <c r="D399" s="6">
        <v>86662.6</v>
      </c>
      <c r="E399" s="2">
        <v>395</v>
      </c>
    </row>
    <row r="400" spans="1:5" x14ac:dyDescent="0.35">
      <c r="A400" s="5">
        <v>1092.5</v>
      </c>
      <c r="B400" s="6">
        <v>11073988</v>
      </c>
      <c r="C400" s="6">
        <f t="shared" si="6"/>
        <v>13108988</v>
      </c>
      <c r="D400" s="6">
        <v>86821.499999899999</v>
      </c>
      <c r="E400" s="2">
        <v>396</v>
      </c>
    </row>
    <row r="401" spans="1:5" x14ac:dyDescent="0.35">
      <c r="A401" s="5">
        <v>1093</v>
      </c>
      <c r="B401" s="6">
        <v>11117638</v>
      </c>
      <c r="C401" s="6">
        <f t="shared" si="6"/>
        <v>13152638</v>
      </c>
      <c r="D401" s="6">
        <v>86980.4</v>
      </c>
      <c r="E401" s="2">
        <v>397</v>
      </c>
    </row>
    <row r="402" spans="1:5" x14ac:dyDescent="0.35">
      <c r="A402" s="5">
        <v>1093.5</v>
      </c>
      <c r="B402" s="6">
        <v>11161378</v>
      </c>
      <c r="C402" s="6">
        <f t="shared" si="6"/>
        <v>13196378</v>
      </c>
      <c r="D402" s="6">
        <v>87139.299999900002</v>
      </c>
      <c r="E402" s="2">
        <v>398</v>
      </c>
    </row>
    <row r="403" spans="1:5" x14ac:dyDescent="0.35">
      <c r="A403" s="5">
        <v>1094</v>
      </c>
      <c r="B403" s="6">
        <v>11205208</v>
      </c>
      <c r="C403" s="6">
        <f t="shared" si="6"/>
        <v>13240208</v>
      </c>
      <c r="D403" s="6">
        <v>87298.2</v>
      </c>
      <c r="E403" s="2">
        <v>399</v>
      </c>
    </row>
    <row r="404" spans="1:5" x14ac:dyDescent="0.35">
      <c r="A404" s="5">
        <v>1094.5</v>
      </c>
      <c r="B404" s="6">
        <v>11249118</v>
      </c>
      <c r="C404" s="6">
        <f t="shared" si="6"/>
        <v>13284118</v>
      </c>
      <c r="D404" s="6">
        <v>87457.099999900005</v>
      </c>
      <c r="E404" s="2">
        <v>400</v>
      </c>
    </row>
    <row r="405" spans="1:5" x14ac:dyDescent="0.35">
      <c r="A405" s="5">
        <v>1095</v>
      </c>
      <c r="B405" s="6">
        <v>11293118</v>
      </c>
      <c r="C405" s="6">
        <f t="shared" si="6"/>
        <v>13328118</v>
      </c>
      <c r="D405" s="6">
        <v>87616.062980500006</v>
      </c>
      <c r="E405" s="2">
        <v>401</v>
      </c>
    </row>
    <row r="406" spans="1:5" x14ac:dyDescent="0.35">
      <c r="A406" s="5">
        <v>1095.5</v>
      </c>
      <c r="B406" s="6">
        <v>11336955.1197</v>
      </c>
      <c r="C406" s="6">
        <f t="shared" si="6"/>
        <v>13371955.1197</v>
      </c>
      <c r="D406" s="6">
        <v>87761.053272899997</v>
      </c>
      <c r="E406" s="2">
        <v>402</v>
      </c>
    </row>
    <row r="407" spans="1:5" x14ac:dyDescent="0.35">
      <c r="A407" s="5">
        <v>1096</v>
      </c>
      <c r="B407" s="6">
        <v>11380872.807499999</v>
      </c>
      <c r="C407" s="6">
        <f t="shared" si="6"/>
        <v>13415872.807499999</v>
      </c>
      <c r="D407" s="6">
        <v>87923.729009600007</v>
      </c>
      <c r="E407" s="2">
        <v>403</v>
      </c>
    </row>
    <row r="408" spans="1:5" x14ac:dyDescent="0.35">
      <c r="A408" s="5">
        <v>1096.5</v>
      </c>
      <c r="B408" s="6">
        <v>11424872.4439</v>
      </c>
      <c r="C408" s="6">
        <f t="shared" si="6"/>
        <v>13459872.4439</v>
      </c>
      <c r="D408" s="6">
        <v>88069.740139799993</v>
      </c>
      <c r="E408" s="2">
        <v>404</v>
      </c>
    </row>
    <row r="409" spans="1:5" x14ac:dyDescent="0.35">
      <c r="A409" s="5">
        <v>1097</v>
      </c>
      <c r="B409" s="6">
        <v>11468946.247500001</v>
      </c>
      <c r="C409" s="6">
        <f t="shared" si="6"/>
        <v>13503946.247500001</v>
      </c>
      <c r="D409" s="6">
        <v>88240.769954999996</v>
      </c>
      <c r="E409" s="2">
        <v>405</v>
      </c>
    </row>
    <row r="410" spans="1:5" x14ac:dyDescent="0.35">
      <c r="A410" s="5">
        <v>1097.5</v>
      </c>
      <c r="B410" s="6">
        <v>11513107.081700001</v>
      </c>
      <c r="C410" s="6">
        <f t="shared" si="6"/>
        <v>13548107.081700001</v>
      </c>
      <c r="D410" s="6">
        <v>88399.776258600003</v>
      </c>
      <c r="E410" s="2">
        <v>406</v>
      </c>
    </row>
    <row r="411" spans="1:5" x14ac:dyDescent="0.35">
      <c r="A411" s="5">
        <v>1098</v>
      </c>
      <c r="B411" s="6">
        <v>11557346.991699999</v>
      </c>
      <c r="C411" s="6">
        <f t="shared" si="6"/>
        <v>13592346.991699999</v>
      </c>
      <c r="D411" s="6">
        <v>88574.128721999994</v>
      </c>
      <c r="E411" s="2">
        <v>407</v>
      </c>
    </row>
    <row r="412" spans="1:5" x14ac:dyDescent="0.35">
      <c r="A412" s="5">
        <v>1098.5</v>
      </c>
      <c r="B412" s="6">
        <v>11601673.657600001</v>
      </c>
      <c r="C412" s="6">
        <f t="shared" si="6"/>
        <v>13636673.657600001</v>
      </c>
      <c r="D412" s="6">
        <v>88726.568862600005</v>
      </c>
      <c r="E412" s="2">
        <v>408</v>
      </c>
    </row>
    <row r="413" spans="1:5" x14ac:dyDescent="0.35">
      <c r="A413" s="5">
        <v>1099</v>
      </c>
      <c r="B413" s="6">
        <v>11646067.2685</v>
      </c>
      <c r="C413" s="6">
        <f t="shared" si="6"/>
        <v>13681067.2685</v>
      </c>
      <c r="D413" s="6">
        <v>88904.057824899995</v>
      </c>
      <c r="E413" s="2">
        <v>409</v>
      </c>
    </row>
    <row r="414" spans="1:5" x14ac:dyDescent="0.35">
      <c r="A414" s="5">
        <v>1099.5</v>
      </c>
      <c r="B414" s="6">
        <v>11690576.885399999</v>
      </c>
      <c r="C414" s="6">
        <f t="shared" si="6"/>
        <v>13725576.885399999</v>
      </c>
      <c r="D414" s="6">
        <v>89117.533987300005</v>
      </c>
      <c r="E414" s="2">
        <v>410</v>
      </c>
    </row>
    <row r="415" spans="1:5" x14ac:dyDescent="0.35">
      <c r="A415" s="5">
        <v>1100</v>
      </c>
      <c r="B415" s="6">
        <v>11735176.051100001</v>
      </c>
      <c r="C415" s="6">
        <f t="shared" si="6"/>
        <v>13770176.051100001</v>
      </c>
      <c r="D415" s="6">
        <v>89299.865594600007</v>
      </c>
      <c r="E415" s="2">
        <v>411</v>
      </c>
    </row>
    <row r="416" spans="1:5" x14ac:dyDescent="0.35">
      <c r="A416" s="5">
        <v>1100.5</v>
      </c>
      <c r="B416" s="6">
        <v>11779866.8136</v>
      </c>
      <c r="C416" s="6">
        <f t="shared" si="6"/>
        <v>13814866.8136</v>
      </c>
      <c r="D416" s="6">
        <v>89457.946666500007</v>
      </c>
      <c r="E416" s="2">
        <v>412</v>
      </c>
    </row>
    <row r="417" spans="1:5" x14ac:dyDescent="0.35">
      <c r="A417" s="5">
        <v>1101</v>
      </c>
      <c r="B417" s="6">
        <v>11824637.101500001</v>
      </c>
      <c r="C417" s="6">
        <f t="shared" si="6"/>
        <v>13859637.101500001</v>
      </c>
      <c r="D417" s="6">
        <v>89646.317581399999</v>
      </c>
      <c r="E417" s="2">
        <v>413</v>
      </c>
    </row>
    <row r="418" spans="1:5" x14ac:dyDescent="0.35">
      <c r="A418" s="5">
        <v>1101.5</v>
      </c>
      <c r="B418" s="6">
        <v>11869502.2729</v>
      </c>
      <c r="C418" s="6">
        <f t="shared" si="6"/>
        <v>13904502.2729</v>
      </c>
      <c r="D418" s="6">
        <v>89808.464859600004</v>
      </c>
      <c r="E418" s="2">
        <v>414</v>
      </c>
    </row>
    <row r="419" spans="1:5" x14ac:dyDescent="0.35">
      <c r="A419" s="5">
        <v>1102</v>
      </c>
      <c r="B419" s="6">
        <v>11914439.127599999</v>
      </c>
      <c r="C419" s="6">
        <f t="shared" si="6"/>
        <v>13949439.127599999</v>
      </c>
      <c r="D419" s="6">
        <v>89969.500727399995</v>
      </c>
      <c r="E419" s="2">
        <v>415</v>
      </c>
    </row>
    <row r="420" spans="1:5" x14ac:dyDescent="0.35">
      <c r="A420" s="5">
        <v>1102.5</v>
      </c>
      <c r="B420" s="6">
        <v>11959478.534499999</v>
      </c>
      <c r="C420" s="6">
        <f t="shared" si="6"/>
        <v>13994478.534499999</v>
      </c>
      <c r="D420" s="6">
        <v>90157.210661000005</v>
      </c>
      <c r="E420" s="2">
        <v>416</v>
      </c>
    </row>
    <row r="421" spans="1:5" x14ac:dyDescent="0.35">
      <c r="A421" s="5">
        <v>1103</v>
      </c>
      <c r="B421" s="6">
        <v>12004602.443299999</v>
      </c>
      <c r="C421" s="6">
        <f t="shared" si="6"/>
        <v>14039602.443299999</v>
      </c>
      <c r="D421" s="6">
        <v>90358.926894899996</v>
      </c>
      <c r="E421" s="2">
        <v>417</v>
      </c>
    </row>
    <row r="422" spans="1:5" x14ac:dyDescent="0.35">
      <c r="A422" s="5">
        <v>1103.5</v>
      </c>
      <c r="B422" s="6">
        <v>12049826.630100001</v>
      </c>
      <c r="C422" s="6">
        <f t="shared" si="6"/>
        <v>14084826.630100001</v>
      </c>
      <c r="D422" s="6">
        <v>90532.379639699997</v>
      </c>
      <c r="E422" s="2">
        <v>418</v>
      </c>
    </row>
    <row r="423" spans="1:5" x14ac:dyDescent="0.35">
      <c r="A423" s="5">
        <v>1104</v>
      </c>
      <c r="B423" s="6">
        <v>12095140.259</v>
      </c>
      <c r="C423" s="6">
        <f t="shared" si="6"/>
        <v>14130140.259</v>
      </c>
      <c r="D423" s="6">
        <v>90742.850395999994</v>
      </c>
      <c r="E423" s="2">
        <v>419</v>
      </c>
    </row>
    <row r="424" spans="1:5" x14ac:dyDescent="0.35">
      <c r="A424" s="5">
        <v>1104.5</v>
      </c>
      <c r="B424" s="6">
        <v>12140560.319599999</v>
      </c>
      <c r="C424" s="6">
        <f t="shared" si="6"/>
        <v>14175560.319599999</v>
      </c>
      <c r="D424" s="6">
        <v>90940.022114899999</v>
      </c>
      <c r="E424" s="2">
        <v>420</v>
      </c>
    </row>
    <row r="425" spans="1:5" x14ac:dyDescent="0.35">
      <c r="A425" s="5">
        <v>1105</v>
      </c>
      <c r="B425" s="6">
        <v>12186069.168</v>
      </c>
      <c r="C425" s="6">
        <f t="shared" si="6"/>
        <v>14221069.168</v>
      </c>
      <c r="D425" s="6">
        <v>91125.863008300003</v>
      </c>
      <c r="E425" s="2">
        <v>421</v>
      </c>
    </row>
    <row r="426" spans="1:5" x14ac:dyDescent="0.35">
      <c r="A426" s="5">
        <v>1105.5</v>
      </c>
      <c r="B426" s="6">
        <v>12231691.055400001</v>
      </c>
      <c r="C426" s="6">
        <f t="shared" si="6"/>
        <v>14266691.055400001</v>
      </c>
      <c r="D426" s="6">
        <v>91336.5630083</v>
      </c>
      <c r="E426" s="2">
        <v>422</v>
      </c>
    </row>
    <row r="427" spans="1:5" x14ac:dyDescent="0.35">
      <c r="A427" s="5">
        <v>1106</v>
      </c>
      <c r="B427" s="6">
        <v>12277410.0627</v>
      </c>
      <c r="C427" s="6">
        <f t="shared" si="6"/>
        <v>14312410.0627</v>
      </c>
      <c r="D427" s="6">
        <v>91559.714252499994</v>
      </c>
      <c r="E427" s="2">
        <v>423</v>
      </c>
    </row>
    <row r="428" spans="1:5" x14ac:dyDescent="0.35">
      <c r="A428" s="5">
        <v>1106.5</v>
      </c>
      <c r="B428" s="6">
        <v>12323247.800799999</v>
      </c>
      <c r="C428" s="6">
        <f t="shared" si="6"/>
        <v>14358247.800799999</v>
      </c>
      <c r="D428" s="6">
        <v>91788.0772631</v>
      </c>
      <c r="E428" s="2">
        <v>424</v>
      </c>
    </row>
    <row r="429" spans="1:5" x14ac:dyDescent="0.35">
      <c r="A429" s="5">
        <v>1107</v>
      </c>
      <c r="B429" s="6">
        <v>12369192.2433</v>
      </c>
      <c r="C429" s="6">
        <f t="shared" si="6"/>
        <v>14404192.2433</v>
      </c>
      <c r="D429" s="6">
        <v>92005.5959515</v>
      </c>
      <c r="E429" s="2">
        <v>425</v>
      </c>
    </row>
    <row r="430" spans="1:5" x14ac:dyDescent="0.35">
      <c r="A430" s="5">
        <v>1107.5</v>
      </c>
      <c r="B430" s="6">
        <v>12415245.856000001</v>
      </c>
      <c r="C430" s="6">
        <f t="shared" si="6"/>
        <v>14450245.856000001</v>
      </c>
      <c r="D430" s="6">
        <v>92205.349480799996</v>
      </c>
      <c r="E430" s="2">
        <v>426</v>
      </c>
    </row>
    <row r="431" spans="1:5" x14ac:dyDescent="0.35">
      <c r="A431" s="5">
        <v>1108</v>
      </c>
      <c r="B431" s="6">
        <v>12461401.661499999</v>
      </c>
      <c r="C431" s="6">
        <f t="shared" si="6"/>
        <v>14496401.661499999</v>
      </c>
      <c r="D431" s="6">
        <v>92446.709155799996</v>
      </c>
      <c r="E431" s="2">
        <v>427</v>
      </c>
    </row>
    <row r="432" spans="1:5" x14ac:dyDescent="0.35">
      <c r="A432" s="5">
        <v>1108.5</v>
      </c>
      <c r="B432" s="6">
        <v>12507673.6086</v>
      </c>
      <c r="C432" s="6">
        <f t="shared" si="6"/>
        <v>14542673.6086</v>
      </c>
      <c r="D432" s="6">
        <v>92678.404242599994</v>
      </c>
      <c r="E432" s="2">
        <v>428</v>
      </c>
    </row>
    <row r="433" spans="1:5" x14ac:dyDescent="0.35">
      <c r="A433" s="5">
        <v>1109</v>
      </c>
      <c r="B433" s="6">
        <v>12554079.816299999</v>
      </c>
      <c r="C433" s="6">
        <f t="shared" si="6"/>
        <v>14589079.816299999</v>
      </c>
      <c r="D433" s="6">
        <v>92962.604733300002</v>
      </c>
      <c r="E433" s="2">
        <v>429</v>
      </c>
    </row>
    <row r="434" spans="1:5" x14ac:dyDescent="0.35">
      <c r="A434" s="5">
        <v>1109.5</v>
      </c>
      <c r="B434" s="6">
        <v>12600613.938300001</v>
      </c>
      <c r="C434" s="6">
        <f t="shared" si="6"/>
        <v>14635613.938300001</v>
      </c>
      <c r="D434" s="6">
        <v>93165.856599999999</v>
      </c>
      <c r="E434" s="2">
        <v>430</v>
      </c>
    </row>
    <row r="435" spans="1:5" x14ac:dyDescent="0.35">
      <c r="A435" s="5">
        <v>1110</v>
      </c>
      <c r="B435" s="6">
        <v>12647247.2783</v>
      </c>
      <c r="C435" s="6">
        <f t="shared" si="6"/>
        <v>14682247.2783</v>
      </c>
      <c r="D435" s="6">
        <v>93419.180100700003</v>
      </c>
      <c r="E435" s="2">
        <v>431</v>
      </c>
    </row>
    <row r="436" spans="1:5" x14ac:dyDescent="0.35">
      <c r="A436" s="5">
        <v>1110.5</v>
      </c>
      <c r="B436" s="6">
        <v>12694010.344699999</v>
      </c>
      <c r="C436" s="6">
        <f t="shared" si="6"/>
        <v>14729010.344699999</v>
      </c>
      <c r="D436" s="6">
        <v>93634.546067100004</v>
      </c>
      <c r="E436" s="2">
        <v>432</v>
      </c>
    </row>
    <row r="437" spans="1:5" x14ac:dyDescent="0.35">
      <c r="A437" s="5">
        <v>1111</v>
      </c>
      <c r="B437" s="6">
        <v>12740876.285800001</v>
      </c>
      <c r="C437" s="6">
        <f t="shared" si="6"/>
        <v>14775876.285800001</v>
      </c>
      <c r="D437" s="6">
        <v>93886.105813899994</v>
      </c>
      <c r="E437" s="2">
        <v>433</v>
      </c>
    </row>
    <row r="438" spans="1:5" x14ac:dyDescent="0.35">
      <c r="A438" s="5">
        <v>1111.5</v>
      </c>
      <c r="B438" s="6">
        <v>12787856.3157</v>
      </c>
      <c r="C438" s="6">
        <f t="shared" si="6"/>
        <v>14822856.3157</v>
      </c>
      <c r="D438" s="6">
        <v>94064.288130600005</v>
      </c>
      <c r="E438" s="2">
        <v>434</v>
      </c>
    </row>
    <row r="439" spans="1:5" x14ac:dyDescent="0.35">
      <c r="A439" s="5">
        <v>1112</v>
      </c>
      <c r="B439" s="6">
        <v>12834932.789000001</v>
      </c>
      <c r="C439" s="6">
        <f t="shared" si="6"/>
        <v>14869932.789000001</v>
      </c>
      <c r="D439" s="6">
        <v>94285.056626899997</v>
      </c>
      <c r="E439" s="2">
        <v>435</v>
      </c>
    </row>
    <row r="440" spans="1:5" x14ac:dyDescent="0.35">
      <c r="A440" s="5">
        <v>1112.5</v>
      </c>
      <c r="B440" s="6">
        <v>12882121.668400001</v>
      </c>
      <c r="C440" s="6">
        <f t="shared" si="6"/>
        <v>14917121.668400001</v>
      </c>
      <c r="D440" s="6">
        <v>94473.640432800006</v>
      </c>
      <c r="E440" s="2">
        <v>436</v>
      </c>
    </row>
    <row r="441" spans="1:5" x14ac:dyDescent="0.35">
      <c r="A441" s="5">
        <v>1113</v>
      </c>
      <c r="B441" s="6">
        <v>12929400.759400001</v>
      </c>
      <c r="C441" s="6">
        <f t="shared" si="6"/>
        <v>14964400.759400001</v>
      </c>
      <c r="D441" s="6">
        <v>94686.0490498</v>
      </c>
      <c r="E441" s="2">
        <v>437</v>
      </c>
    </row>
    <row r="442" spans="1:5" x14ac:dyDescent="0.35">
      <c r="A442" s="5">
        <v>1113.5</v>
      </c>
      <c r="B442" s="6">
        <v>12976786.5714</v>
      </c>
      <c r="C442" s="6">
        <f t="shared" si="6"/>
        <v>15011786.5714</v>
      </c>
      <c r="D442" s="6">
        <v>94850.912689000004</v>
      </c>
      <c r="E442" s="2">
        <v>438</v>
      </c>
    </row>
    <row r="443" spans="1:5" x14ac:dyDescent="0.35">
      <c r="A443" s="5">
        <v>1114</v>
      </c>
      <c r="B443" s="6">
        <v>13024254.897399999</v>
      </c>
      <c r="C443" s="6">
        <f t="shared" si="6"/>
        <v>15059254.897399999</v>
      </c>
      <c r="D443" s="6">
        <v>95055.888297800004</v>
      </c>
      <c r="E443" s="2">
        <v>439</v>
      </c>
    </row>
    <row r="444" spans="1:5" x14ac:dyDescent="0.35">
      <c r="A444" s="5">
        <v>1114.5</v>
      </c>
      <c r="B444" s="6">
        <v>13071819.6612</v>
      </c>
      <c r="C444" s="6">
        <f t="shared" si="6"/>
        <v>15106819.6612</v>
      </c>
      <c r="D444" s="6">
        <v>95243.583003699998</v>
      </c>
      <c r="E444" s="2">
        <v>440</v>
      </c>
    </row>
    <row r="445" spans="1:5" x14ac:dyDescent="0.35">
      <c r="A445" s="5">
        <v>1115</v>
      </c>
      <c r="B445" s="6">
        <v>13119488.208699999</v>
      </c>
      <c r="C445" s="6">
        <f t="shared" si="6"/>
        <v>15154488.208699999</v>
      </c>
      <c r="D445" s="6">
        <v>95459.938013000006</v>
      </c>
      <c r="E445" s="2">
        <v>441</v>
      </c>
    </row>
    <row r="446" spans="1:5" x14ac:dyDescent="0.35">
      <c r="A446" s="5">
        <v>1115.5</v>
      </c>
      <c r="B446" s="6">
        <v>13167265.487299999</v>
      </c>
      <c r="C446" s="6">
        <f t="shared" si="6"/>
        <v>15202265.487299999</v>
      </c>
      <c r="D446" s="6">
        <v>95643.994737100002</v>
      </c>
      <c r="E446" s="2">
        <v>442</v>
      </c>
    </row>
    <row r="447" spans="1:5" x14ac:dyDescent="0.35">
      <c r="A447" s="5">
        <v>1116</v>
      </c>
      <c r="B447" s="6">
        <v>13215135.3925</v>
      </c>
      <c r="C447" s="6">
        <f t="shared" si="6"/>
        <v>15250135.3925</v>
      </c>
      <c r="D447" s="6">
        <v>95858.778650699998</v>
      </c>
      <c r="E447" s="2">
        <v>443</v>
      </c>
    </row>
    <row r="448" spans="1:5" x14ac:dyDescent="0.35">
      <c r="A448" s="5">
        <v>1116.5</v>
      </c>
      <c r="B448" s="6">
        <v>13263113.8442</v>
      </c>
      <c r="C448" s="6">
        <f t="shared" si="6"/>
        <v>15298113.8442</v>
      </c>
      <c r="D448" s="6">
        <v>96057.271431100002</v>
      </c>
      <c r="E448" s="2">
        <v>444</v>
      </c>
    </row>
    <row r="449" spans="1:5" x14ac:dyDescent="0.35">
      <c r="A449" s="5">
        <v>1117</v>
      </c>
      <c r="B449" s="6">
        <v>13311186.671800001</v>
      </c>
      <c r="C449" s="6">
        <f t="shared" si="6"/>
        <v>15346186.671800001</v>
      </c>
      <c r="D449" s="6">
        <v>96253.025926000002</v>
      </c>
      <c r="E449" s="2">
        <v>445</v>
      </c>
    </row>
    <row r="450" spans="1:5" x14ac:dyDescent="0.35">
      <c r="A450" s="5">
        <v>1117.5</v>
      </c>
      <c r="B450" s="6">
        <v>13359355.630100001</v>
      </c>
      <c r="C450" s="6">
        <f t="shared" si="6"/>
        <v>15394355.630100001</v>
      </c>
      <c r="D450" s="6">
        <v>96415.246936900003</v>
      </c>
      <c r="E450" s="2">
        <v>446</v>
      </c>
    </row>
    <row r="451" spans="1:5" x14ac:dyDescent="0.35">
      <c r="A451" s="5">
        <v>1118</v>
      </c>
      <c r="B451" s="6">
        <v>13407594.2182</v>
      </c>
      <c r="C451" s="6">
        <f t="shared" si="6"/>
        <v>15442594.2182</v>
      </c>
      <c r="D451" s="6">
        <v>96571.050221800004</v>
      </c>
      <c r="E451" s="2">
        <v>447</v>
      </c>
    </row>
    <row r="452" spans="1:5" x14ac:dyDescent="0.35">
      <c r="A452" s="5">
        <v>1118.5</v>
      </c>
      <c r="B452" s="6">
        <v>13455931.7601</v>
      </c>
      <c r="C452" s="6">
        <f t="shared" si="6"/>
        <v>15490931.7601</v>
      </c>
      <c r="D452" s="6">
        <v>96749.281383599999</v>
      </c>
      <c r="E452" s="2">
        <v>448</v>
      </c>
    </row>
    <row r="453" spans="1:5" x14ac:dyDescent="0.35">
      <c r="A453" s="5">
        <v>1119</v>
      </c>
      <c r="B453" s="6">
        <v>13504347.202199999</v>
      </c>
      <c r="C453" s="6">
        <f t="shared" si="6"/>
        <v>15539347.202199999</v>
      </c>
      <c r="D453" s="6">
        <v>96928.449282999994</v>
      </c>
      <c r="E453" s="2">
        <v>449</v>
      </c>
    </row>
    <row r="454" spans="1:5" x14ac:dyDescent="0.35">
      <c r="A454" s="5">
        <v>1119.5</v>
      </c>
      <c r="B454" s="6">
        <v>13552852.0615</v>
      </c>
      <c r="C454" s="6">
        <f t="shared" ref="C454:C517" si="7">B454+$C$3</f>
        <v>15587852.0615</v>
      </c>
      <c r="D454" s="6">
        <v>97084.764578600007</v>
      </c>
      <c r="E454" s="2">
        <v>450</v>
      </c>
    </row>
    <row r="455" spans="1:5" x14ac:dyDescent="0.35">
      <c r="A455" s="5">
        <v>1120</v>
      </c>
      <c r="B455" s="6">
        <v>13601435.3455</v>
      </c>
      <c r="C455" s="6">
        <f t="shared" si="7"/>
        <v>15636435.3455</v>
      </c>
      <c r="D455" s="6">
        <v>97261.276808199997</v>
      </c>
      <c r="E455" s="2">
        <v>451</v>
      </c>
    </row>
    <row r="456" spans="1:5" x14ac:dyDescent="0.35">
      <c r="A456" s="5">
        <v>1120.5</v>
      </c>
      <c r="B456" s="6">
        <v>13650107.556600001</v>
      </c>
      <c r="C456" s="6">
        <f t="shared" si="7"/>
        <v>15685107.556600001</v>
      </c>
      <c r="D456" s="6">
        <v>97422.114923300003</v>
      </c>
      <c r="E456" s="2">
        <v>452</v>
      </c>
    </row>
    <row r="457" spans="1:5" x14ac:dyDescent="0.35">
      <c r="A457" s="5">
        <v>1121</v>
      </c>
      <c r="B457" s="6">
        <v>13698851.756100001</v>
      </c>
      <c r="C457" s="6">
        <f t="shared" si="7"/>
        <v>15733851.756100001</v>
      </c>
      <c r="D457" s="6">
        <v>97588.7930891</v>
      </c>
      <c r="E457" s="2">
        <v>453</v>
      </c>
    </row>
    <row r="458" spans="1:5" x14ac:dyDescent="0.35">
      <c r="A458" s="5">
        <v>1121.5</v>
      </c>
      <c r="B458" s="6">
        <v>13747698.8181</v>
      </c>
      <c r="C458" s="6">
        <f t="shared" si="7"/>
        <v>15782698.8181</v>
      </c>
      <c r="D458" s="6">
        <v>97777.972846499993</v>
      </c>
      <c r="E458" s="2">
        <v>454</v>
      </c>
    </row>
    <row r="459" spans="1:5" x14ac:dyDescent="0.35">
      <c r="A459" s="5">
        <v>1122</v>
      </c>
      <c r="B459" s="6">
        <v>13796635.7687</v>
      </c>
      <c r="C459" s="6">
        <f t="shared" si="7"/>
        <v>15831635.7687</v>
      </c>
      <c r="D459" s="6">
        <v>97983.236039299998</v>
      </c>
      <c r="E459" s="2">
        <v>455</v>
      </c>
    </row>
    <row r="460" spans="1:5" x14ac:dyDescent="0.35">
      <c r="A460" s="5">
        <v>1122.5</v>
      </c>
      <c r="B460" s="6">
        <v>13845676.006899999</v>
      </c>
      <c r="C460" s="6">
        <f t="shared" si="7"/>
        <v>15880676.006899999</v>
      </c>
      <c r="D460" s="6">
        <v>98172.408885600002</v>
      </c>
      <c r="E460" s="2">
        <v>456</v>
      </c>
    </row>
    <row r="461" spans="1:5" x14ac:dyDescent="0.35">
      <c r="A461" s="5">
        <v>1123</v>
      </c>
      <c r="B461" s="6">
        <v>13894813.1592</v>
      </c>
      <c r="C461" s="6">
        <f t="shared" si="7"/>
        <v>15929813.1592</v>
      </c>
      <c r="D461" s="6">
        <v>98389.2402955</v>
      </c>
      <c r="E461" s="2">
        <v>457</v>
      </c>
    </row>
    <row r="462" spans="1:5" x14ac:dyDescent="0.35">
      <c r="A462" s="5">
        <v>1123.5</v>
      </c>
      <c r="B462" s="6">
        <v>13944059.6885</v>
      </c>
      <c r="C462" s="6">
        <f t="shared" si="7"/>
        <v>15979059.6885</v>
      </c>
      <c r="D462" s="6">
        <v>98588.430028999996</v>
      </c>
      <c r="E462" s="2">
        <v>458</v>
      </c>
    </row>
    <row r="463" spans="1:5" x14ac:dyDescent="0.35">
      <c r="A463" s="5">
        <v>1124</v>
      </c>
      <c r="B463" s="6">
        <v>13993404.4922</v>
      </c>
      <c r="C463" s="6">
        <f t="shared" si="7"/>
        <v>16028404.4922</v>
      </c>
      <c r="D463" s="6">
        <v>98804.532014500001</v>
      </c>
      <c r="E463" s="2">
        <v>459</v>
      </c>
    </row>
    <row r="464" spans="1:5" x14ac:dyDescent="0.35">
      <c r="A464" s="5">
        <v>1124.5</v>
      </c>
      <c r="B464" s="6">
        <v>14042853.475</v>
      </c>
      <c r="C464" s="6">
        <f t="shared" si="7"/>
        <v>16077853.475</v>
      </c>
      <c r="D464" s="6">
        <v>99042.734826300002</v>
      </c>
      <c r="E464" s="2">
        <v>460</v>
      </c>
    </row>
    <row r="465" spans="1:5" x14ac:dyDescent="0.35">
      <c r="A465" s="5">
        <v>1125</v>
      </c>
      <c r="B465" s="6">
        <v>14092429.2477</v>
      </c>
      <c r="C465" s="6">
        <f t="shared" si="7"/>
        <v>16127429.2477</v>
      </c>
      <c r="D465" s="6">
        <v>99275.413635699995</v>
      </c>
      <c r="E465" s="2">
        <v>461</v>
      </c>
    </row>
    <row r="466" spans="1:5" x14ac:dyDescent="0.35">
      <c r="A466" s="5">
        <v>1125.5</v>
      </c>
      <c r="B466" s="6">
        <v>14142122.008400001</v>
      </c>
      <c r="C466" s="6">
        <f t="shared" si="7"/>
        <v>16177122.008400001</v>
      </c>
      <c r="D466" s="6">
        <v>99488.648161699995</v>
      </c>
      <c r="E466" s="2">
        <v>462</v>
      </c>
    </row>
    <row r="467" spans="1:5" x14ac:dyDescent="0.35">
      <c r="A467" s="5">
        <v>1126</v>
      </c>
      <c r="B467" s="6">
        <v>14191920.524700001</v>
      </c>
      <c r="C467" s="6">
        <f t="shared" si="7"/>
        <v>16226920.524700001</v>
      </c>
      <c r="D467" s="6">
        <v>99720.660600699994</v>
      </c>
      <c r="E467" s="2">
        <v>463</v>
      </c>
    </row>
    <row r="468" spans="1:5" x14ac:dyDescent="0.35">
      <c r="A468" s="5">
        <v>1126.5</v>
      </c>
      <c r="B468" s="6">
        <v>14241840.7448</v>
      </c>
      <c r="C468" s="6">
        <f t="shared" si="7"/>
        <v>16276840.7448</v>
      </c>
      <c r="D468" s="6">
        <v>99967.917126400003</v>
      </c>
      <c r="E468" s="2">
        <v>464</v>
      </c>
    </row>
    <row r="469" spans="1:5" x14ac:dyDescent="0.35">
      <c r="A469" s="5">
        <v>1127</v>
      </c>
      <c r="B469" s="6">
        <v>14291876.409399999</v>
      </c>
      <c r="C469" s="6">
        <f t="shared" si="7"/>
        <v>16326876.409399999</v>
      </c>
      <c r="D469" s="6">
        <v>100191.84464700001</v>
      </c>
      <c r="E469" s="2">
        <v>465</v>
      </c>
    </row>
    <row r="470" spans="1:5" x14ac:dyDescent="0.35">
      <c r="A470" s="5">
        <v>1127.5</v>
      </c>
      <c r="B470" s="6">
        <v>14342013.776000001</v>
      </c>
      <c r="C470" s="6">
        <f t="shared" si="7"/>
        <v>16377013.776000001</v>
      </c>
      <c r="D470" s="6">
        <v>100391.343458</v>
      </c>
      <c r="E470" s="2">
        <v>466</v>
      </c>
    </row>
    <row r="471" spans="1:5" x14ac:dyDescent="0.35">
      <c r="A471" s="5">
        <v>1128</v>
      </c>
      <c r="B471" s="6">
        <v>14392260.851199999</v>
      </c>
      <c r="C471" s="6">
        <f t="shared" si="7"/>
        <v>16427260.851199999</v>
      </c>
      <c r="D471" s="6">
        <v>100617.153401</v>
      </c>
      <c r="E471" s="2">
        <v>467</v>
      </c>
    </row>
    <row r="472" spans="1:5" x14ac:dyDescent="0.35">
      <c r="A472" s="5">
        <v>1128.5</v>
      </c>
      <c r="B472" s="6">
        <v>14442623.555199999</v>
      </c>
      <c r="C472" s="6">
        <f t="shared" si="7"/>
        <v>16477623.555199999</v>
      </c>
      <c r="D472" s="6">
        <v>100840.93205800001</v>
      </c>
      <c r="E472" s="2">
        <v>468</v>
      </c>
    </row>
    <row r="473" spans="1:5" x14ac:dyDescent="0.35">
      <c r="A473" s="5">
        <v>1129</v>
      </c>
      <c r="B473" s="6">
        <v>14493095.249700001</v>
      </c>
      <c r="C473" s="6">
        <f t="shared" si="7"/>
        <v>16528095.249700001</v>
      </c>
      <c r="D473" s="6">
        <v>101062.553629</v>
      </c>
      <c r="E473" s="2">
        <v>469</v>
      </c>
    </row>
    <row r="474" spans="1:5" x14ac:dyDescent="0.35">
      <c r="A474" s="5">
        <v>1129.5</v>
      </c>
      <c r="B474" s="6">
        <v>14543676.0746</v>
      </c>
      <c r="C474" s="6">
        <f t="shared" si="7"/>
        <v>16578676.0746</v>
      </c>
      <c r="D474" s="6">
        <v>101254.79573899999</v>
      </c>
      <c r="E474" s="2">
        <v>470</v>
      </c>
    </row>
    <row r="475" spans="1:5" x14ac:dyDescent="0.35">
      <c r="A475" s="5">
        <v>1130</v>
      </c>
      <c r="B475" s="6">
        <v>14594353.5141</v>
      </c>
      <c r="C475" s="6">
        <f t="shared" si="7"/>
        <v>16629353.5141</v>
      </c>
      <c r="D475" s="6">
        <v>101477.267989</v>
      </c>
      <c r="E475" s="2">
        <v>471</v>
      </c>
    </row>
    <row r="476" spans="1:5" x14ac:dyDescent="0.35">
      <c r="A476" s="5">
        <v>1130.5</v>
      </c>
      <c r="B476" s="6">
        <v>14645137.2698</v>
      </c>
      <c r="C476" s="6">
        <f t="shared" si="7"/>
        <v>16680137.2698</v>
      </c>
      <c r="D476" s="6">
        <v>101703.973143</v>
      </c>
      <c r="E476" s="2">
        <v>472</v>
      </c>
    </row>
    <row r="477" spans="1:5" x14ac:dyDescent="0.35">
      <c r="A477" s="5">
        <v>1131</v>
      </c>
      <c r="B477" s="6">
        <v>14696039.588</v>
      </c>
      <c r="C477" s="6">
        <f t="shared" si="7"/>
        <v>16731039.588</v>
      </c>
      <c r="D477" s="6">
        <v>101926.941828</v>
      </c>
      <c r="E477" s="2">
        <v>473</v>
      </c>
    </row>
    <row r="478" spans="1:5" x14ac:dyDescent="0.35">
      <c r="A478" s="5">
        <v>1131.5</v>
      </c>
      <c r="B478" s="6">
        <v>14747053.1205</v>
      </c>
      <c r="C478" s="6">
        <f t="shared" si="7"/>
        <v>16782053.120499998</v>
      </c>
      <c r="D478" s="6">
        <v>102120.59304199999</v>
      </c>
      <c r="E478" s="2">
        <v>474</v>
      </c>
    </row>
    <row r="479" spans="1:5" x14ac:dyDescent="0.35">
      <c r="A479" s="5">
        <v>1132</v>
      </c>
      <c r="B479" s="6">
        <v>14798163.2633</v>
      </c>
      <c r="C479" s="6">
        <f t="shared" si="7"/>
        <v>16833163.263300002</v>
      </c>
      <c r="D479" s="6">
        <v>102349.99333300001</v>
      </c>
      <c r="E479" s="2">
        <v>475</v>
      </c>
    </row>
    <row r="480" spans="1:5" x14ac:dyDescent="0.35">
      <c r="A480" s="5">
        <v>1132.5</v>
      </c>
      <c r="B480" s="6">
        <v>14849388.4966</v>
      </c>
      <c r="C480" s="6">
        <f t="shared" si="7"/>
        <v>16884388.496600002</v>
      </c>
      <c r="D480" s="6">
        <v>102544.430029</v>
      </c>
      <c r="E480" s="2">
        <v>476</v>
      </c>
    </row>
    <row r="481" spans="1:5" x14ac:dyDescent="0.35">
      <c r="A481" s="5">
        <v>1133</v>
      </c>
      <c r="B481" s="6">
        <v>14900711.0277</v>
      </c>
      <c r="C481" s="6">
        <f t="shared" si="7"/>
        <v>16935711.0277</v>
      </c>
      <c r="D481" s="6">
        <v>102784.16117599999</v>
      </c>
      <c r="E481" s="2">
        <v>477</v>
      </c>
    </row>
    <row r="482" spans="1:5" x14ac:dyDescent="0.35">
      <c r="A482" s="5">
        <v>1133.5</v>
      </c>
      <c r="B482" s="6">
        <v>14952154.560699999</v>
      </c>
      <c r="C482" s="6">
        <f t="shared" si="7"/>
        <v>16987154.560699999</v>
      </c>
      <c r="D482" s="6">
        <v>102983.93573500001</v>
      </c>
      <c r="E482" s="2">
        <v>478</v>
      </c>
    </row>
    <row r="483" spans="1:5" x14ac:dyDescent="0.35">
      <c r="A483" s="5">
        <v>1134</v>
      </c>
      <c r="B483" s="6">
        <v>15003688.792300001</v>
      </c>
      <c r="C483" s="6">
        <f t="shared" si="7"/>
        <v>17038688.792300001</v>
      </c>
      <c r="D483" s="6">
        <v>103188.82687999999</v>
      </c>
      <c r="E483" s="2">
        <v>479</v>
      </c>
    </row>
    <row r="484" spans="1:5" x14ac:dyDescent="0.35">
      <c r="A484" s="5">
        <v>1134.5</v>
      </c>
      <c r="B484" s="6">
        <v>15055351.329500001</v>
      </c>
      <c r="C484" s="6">
        <f t="shared" si="7"/>
        <v>17090351.329500001</v>
      </c>
      <c r="D484" s="6">
        <v>103426.221726</v>
      </c>
      <c r="E484" s="2">
        <v>480</v>
      </c>
    </row>
    <row r="485" spans="1:5" x14ac:dyDescent="0.35">
      <c r="A485" s="5">
        <v>1135</v>
      </c>
      <c r="B485" s="6">
        <v>15107118.9739</v>
      </c>
      <c r="C485" s="6">
        <f t="shared" si="7"/>
        <v>17142118.973899998</v>
      </c>
      <c r="D485" s="6">
        <v>103670.290905</v>
      </c>
      <c r="E485" s="2">
        <v>481</v>
      </c>
    </row>
    <row r="486" spans="1:5" x14ac:dyDescent="0.35">
      <c r="A486" s="5">
        <v>1135.5</v>
      </c>
      <c r="B486" s="6">
        <v>15159012.9738</v>
      </c>
      <c r="C486" s="6">
        <f t="shared" si="7"/>
        <v>17194012.9738</v>
      </c>
      <c r="D486" s="6">
        <v>104284.72633799999</v>
      </c>
      <c r="E486" s="2">
        <v>482</v>
      </c>
    </row>
    <row r="487" spans="1:5" x14ac:dyDescent="0.35">
      <c r="A487" s="5">
        <v>1136</v>
      </c>
      <c r="B487" s="6">
        <v>15211315.5726</v>
      </c>
      <c r="C487" s="6">
        <f t="shared" si="7"/>
        <v>17246315.5726</v>
      </c>
      <c r="D487" s="6">
        <v>104815.910237</v>
      </c>
      <c r="E487" s="2">
        <v>483</v>
      </c>
    </row>
    <row r="488" spans="1:5" x14ac:dyDescent="0.35">
      <c r="A488" s="5">
        <v>1136.5</v>
      </c>
      <c r="B488" s="6">
        <v>15263817.568299999</v>
      </c>
      <c r="C488" s="6">
        <f t="shared" si="7"/>
        <v>17298817.568300001</v>
      </c>
      <c r="D488" s="6">
        <v>105182.988367</v>
      </c>
      <c r="E488" s="2">
        <v>484</v>
      </c>
    </row>
    <row r="489" spans="1:5" x14ac:dyDescent="0.35">
      <c r="A489" s="5">
        <v>1137</v>
      </c>
      <c r="B489" s="6">
        <v>15316471.2952</v>
      </c>
      <c r="C489" s="6">
        <f t="shared" si="7"/>
        <v>17351471.295199998</v>
      </c>
      <c r="D489" s="6">
        <v>105460.398235</v>
      </c>
      <c r="E489" s="2">
        <v>485</v>
      </c>
    </row>
    <row r="490" spans="1:5" x14ac:dyDescent="0.35">
      <c r="A490" s="5">
        <v>1137.5</v>
      </c>
      <c r="B490" s="6">
        <v>15369288.286499999</v>
      </c>
      <c r="C490" s="6">
        <f t="shared" si="7"/>
        <v>17404288.286499999</v>
      </c>
      <c r="D490" s="6">
        <v>105757.998597</v>
      </c>
      <c r="E490" s="2">
        <v>486</v>
      </c>
    </row>
    <row r="491" spans="1:5" x14ac:dyDescent="0.35">
      <c r="A491" s="5">
        <v>1138</v>
      </c>
      <c r="B491" s="6">
        <v>15422233.171</v>
      </c>
      <c r="C491" s="6">
        <f t="shared" si="7"/>
        <v>17457233.171</v>
      </c>
      <c r="D491" s="6">
        <v>106073.211346</v>
      </c>
      <c r="E491" s="2">
        <v>487</v>
      </c>
    </row>
    <row r="492" spans="1:5" x14ac:dyDescent="0.35">
      <c r="A492" s="5">
        <v>1138.5</v>
      </c>
      <c r="B492" s="6">
        <v>15475338.099099999</v>
      </c>
      <c r="C492" s="6">
        <f t="shared" si="7"/>
        <v>17510338.099100001</v>
      </c>
      <c r="D492" s="6">
        <v>106345.387856</v>
      </c>
      <c r="E492" s="2">
        <v>488</v>
      </c>
    </row>
    <row r="493" spans="1:5" x14ac:dyDescent="0.35">
      <c r="A493" s="5">
        <v>1139</v>
      </c>
      <c r="B493" s="6">
        <v>15528574.404899999</v>
      </c>
      <c r="C493" s="6">
        <f t="shared" si="7"/>
        <v>17563574.404899999</v>
      </c>
      <c r="D493" s="6">
        <v>106649.22394</v>
      </c>
      <c r="E493" s="2">
        <v>489</v>
      </c>
    </row>
    <row r="494" spans="1:5" x14ac:dyDescent="0.35">
      <c r="A494" s="5">
        <v>1139.5</v>
      </c>
      <c r="B494" s="6">
        <v>15581958.2837</v>
      </c>
      <c r="C494" s="6">
        <f t="shared" si="7"/>
        <v>17616958.2837</v>
      </c>
      <c r="D494" s="6">
        <v>106878.598919</v>
      </c>
      <c r="E494" s="2">
        <v>490</v>
      </c>
    </row>
    <row r="495" spans="1:5" x14ac:dyDescent="0.35">
      <c r="A495" s="5">
        <v>1140</v>
      </c>
      <c r="B495" s="6">
        <v>15635449.398700001</v>
      </c>
      <c r="C495" s="6">
        <f t="shared" si="7"/>
        <v>17670449.398699999</v>
      </c>
      <c r="D495" s="6">
        <v>107119.538279</v>
      </c>
      <c r="E495" s="2">
        <v>491</v>
      </c>
    </row>
    <row r="496" spans="1:5" x14ac:dyDescent="0.35">
      <c r="A496" s="5">
        <v>1140.5</v>
      </c>
      <c r="B496" s="6">
        <v>15689102.627</v>
      </c>
      <c r="C496" s="6">
        <f t="shared" si="7"/>
        <v>17724102.627</v>
      </c>
      <c r="D496" s="6">
        <v>107440.358998</v>
      </c>
      <c r="E496" s="2">
        <v>492</v>
      </c>
    </row>
    <row r="497" spans="1:5" x14ac:dyDescent="0.35">
      <c r="A497" s="5">
        <v>1141</v>
      </c>
      <c r="B497" s="6">
        <v>15742879.3814</v>
      </c>
      <c r="C497" s="6">
        <f t="shared" si="7"/>
        <v>17777879.3814</v>
      </c>
      <c r="D497" s="6">
        <v>107706.705134</v>
      </c>
      <c r="E497" s="2">
        <v>493</v>
      </c>
    </row>
    <row r="498" spans="1:5" x14ac:dyDescent="0.35">
      <c r="A498" s="5">
        <v>1141.5</v>
      </c>
      <c r="B498" s="6">
        <v>15796788.639699999</v>
      </c>
      <c r="C498" s="6">
        <f t="shared" si="7"/>
        <v>17831788.639699999</v>
      </c>
      <c r="D498" s="6">
        <v>107924.46806</v>
      </c>
      <c r="E498" s="2">
        <v>494</v>
      </c>
    </row>
    <row r="499" spans="1:5" x14ac:dyDescent="0.35">
      <c r="A499" s="5">
        <v>1142</v>
      </c>
      <c r="B499" s="6">
        <v>15850807.860400001</v>
      </c>
      <c r="C499" s="6">
        <f t="shared" si="7"/>
        <v>17885807.860399999</v>
      </c>
      <c r="D499" s="6">
        <v>108202.970678</v>
      </c>
      <c r="E499" s="2">
        <v>495</v>
      </c>
    </row>
    <row r="500" spans="1:5" x14ac:dyDescent="0.35">
      <c r="A500" s="5">
        <v>1142.5</v>
      </c>
      <c r="B500" s="6">
        <v>15904969.400800001</v>
      </c>
      <c r="C500" s="6">
        <f t="shared" si="7"/>
        <v>17939969.400800001</v>
      </c>
      <c r="D500" s="6">
        <v>108439.693394</v>
      </c>
      <c r="E500" s="2">
        <v>496</v>
      </c>
    </row>
    <row r="501" spans="1:5" x14ac:dyDescent="0.35">
      <c r="A501" s="5">
        <v>1143</v>
      </c>
      <c r="B501" s="6">
        <v>15959245.869200001</v>
      </c>
      <c r="C501" s="6">
        <f t="shared" si="7"/>
        <v>17994245.869199999</v>
      </c>
      <c r="D501" s="6">
        <v>108713.03703799999</v>
      </c>
      <c r="E501" s="2">
        <v>497</v>
      </c>
    </row>
    <row r="502" spans="1:5" x14ac:dyDescent="0.35">
      <c r="A502" s="5">
        <v>1143.5</v>
      </c>
      <c r="B502" s="6">
        <v>16013645.587300001</v>
      </c>
      <c r="C502" s="6">
        <f t="shared" si="7"/>
        <v>18048645.587300003</v>
      </c>
      <c r="D502" s="6">
        <v>108922.239126</v>
      </c>
      <c r="E502" s="2">
        <v>498</v>
      </c>
    </row>
    <row r="503" spans="1:5" x14ac:dyDescent="0.35">
      <c r="A503" s="5">
        <v>1144</v>
      </c>
      <c r="B503" s="6">
        <v>16068161.4319</v>
      </c>
      <c r="C503" s="6">
        <f t="shared" si="7"/>
        <v>18103161.431900002</v>
      </c>
      <c r="D503" s="6">
        <v>109197.800411</v>
      </c>
      <c r="E503" s="2">
        <v>499</v>
      </c>
    </row>
    <row r="504" spans="1:5" x14ac:dyDescent="0.35">
      <c r="A504" s="5">
        <v>1144.5</v>
      </c>
      <c r="B504" s="6">
        <v>16122822.008300001</v>
      </c>
      <c r="C504" s="6">
        <f t="shared" si="7"/>
        <v>18157822.008299999</v>
      </c>
      <c r="D504" s="6">
        <v>109439.029502</v>
      </c>
      <c r="E504" s="2">
        <v>500</v>
      </c>
    </row>
    <row r="505" spans="1:5" x14ac:dyDescent="0.35">
      <c r="A505" s="5">
        <v>1145</v>
      </c>
      <c r="B505" s="6">
        <v>16177600.8697</v>
      </c>
      <c r="C505" s="6">
        <f t="shared" si="7"/>
        <v>18212600.8697</v>
      </c>
      <c r="D505" s="6">
        <v>109719.21845499999</v>
      </c>
      <c r="E505" s="2">
        <v>501</v>
      </c>
    </row>
    <row r="506" spans="1:5" x14ac:dyDescent="0.35">
      <c r="A506" s="5">
        <v>1145.5</v>
      </c>
      <c r="B506" s="6">
        <v>16232520.5802</v>
      </c>
      <c r="C506" s="6">
        <f t="shared" si="7"/>
        <v>18267520.580200002</v>
      </c>
      <c r="D506" s="6">
        <v>109952.862981</v>
      </c>
      <c r="E506" s="2">
        <v>502</v>
      </c>
    </row>
    <row r="507" spans="1:5" x14ac:dyDescent="0.35">
      <c r="A507" s="5">
        <v>1146</v>
      </c>
      <c r="B507" s="6">
        <v>16287557.66</v>
      </c>
      <c r="C507" s="6">
        <f t="shared" si="7"/>
        <v>18322557.66</v>
      </c>
      <c r="D507" s="6">
        <v>110242.033605</v>
      </c>
      <c r="E507" s="2">
        <v>503</v>
      </c>
    </row>
    <row r="508" spans="1:5" x14ac:dyDescent="0.35">
      <c r="A508" s="5">
        <v>1146.5</v>
      </c>
      <c r="B508" s="6">
        <v>16342736.1664</v>
      </c>
      <c r="C508" s="6">
        <f t="shared" si="7"/>
        <v>18377736.1664</v>
      </c>
      <c r="D508" s="6">
        <v>110505.880967</v>
      </c>
      <c r="E508" s="2">
        <v>504</v>
      </c>
    </row>
    <row r="509" spans="1:5" x14ac:dyDescent="0.35">
      <c r="A509" s="5">
        <v>1147</v>
      </c>
      <c r="B509" s="6">
        <v>16398050.2093</v>
      </c>
      <c r="C509" s="6">
        <f t="shared" si="7"/>
        <v>18433050.2093</v>
      </c>
      <c r="D509" s="6">
        <v>110789.935828</v>
      </c>
      <c r="E509" s="2">
        <v>505</v>
      </c>
    </row>
    <row r="510" spans="1:5" x14ac:dyDescent="0.35">
      <c r="A510" s="5">
        <v>1147.5</v>
      </c>
      <c r="B510" s="6">
        <v>16453505.4476</v>
      </c>
      <c r="C510" s="6">
        <f t="shared" si="7"/>
        <v>18488505.4476</v>
      </c>
      <c r="D510" s="6">
        <v>111023.090087</v>
      </c>
      <c r="E510" s="2">
        <v>506</v>
      </c>
    </row>
    <row r="511" spans="1:5" x14ac:dyDescent="0.35">
      <c r="A511" s="5">
        <v>1148</v>
      </c>
      <c r="B511" s="6">
        <v>16509077.2315</v>
      </c>
      <c r="C511" s="6">
        <f t="shared" si="7"/>
        <v>18544077.2315</v>
      </c>
      <c r="D511" s="6">
        <v>111305.98201399999</v>
      </c>
      <c r="E511" s="2">
        <v>507</v>
      </c>
    </row>
    <row r="512" spans="1:5" x14ac:dyDescent="0.35">
      <c r="A512" s="5">
        <v>1148.5</v>
      </c>
      <c r="B512" s="6">
        <v>16564795.915999999</v>
      </c>
      <c r="C512" s="6">
        <f t="shared" si="7"/>
        <v>18599795.916000001</v>
      </c>
      <c r="D512" s="6">
        <v>111557.380729</v>
      </c>
      <c r="E512" s="2">
        <v>508</v>
      </c>
    </row>
    <row r="513" spans="1:5" x14ac:dyDescent="0.35">
      <c r="A513" s="5">
        <v>1149</v>
      </c>
      <c r="B513" s="6">
        <v>16620634.951099999</v>
      </c>
      <c r="C513" s="6">
        <f t="shared" si="7"/>
        <v>18655634.951099999</v>
      </c>
      <c r="D513" s="6">
        <v>111838.762519</v>
      </c>
      <c r="E513" s="2">
        <v>509</v>
      </c>
    </row>
    <row r="514" spans="1:5" x14ac:dyDescent="0.35">
      <c r="A514" s="5">
        <v>1149.5</v>
      </c>
      <c r="B514" s="6">
        <v>16676615.5473</v>
      </c>
      <c r="C514" s="6">
        <f t="shared" si="7"/>
        <v>18711615.5473</v>
      </c>
      <c r="D514" s="6">
        <v>112076.574224</v>
      </c>
      <c r="E514" s="2">
        <v>510</v>
      </c>
    </row>
    <row r="515" spans="1:5" x14ac:dyDescent="0.35">
      <c r="A515" s="5">
        <v>1150</v>
      </c>
      <c r="B515" s="6">
        <v>16732705.187899999</v>
      </c>
      <c r="C515" s="6">
        <f t="shared" si="7"/>
        <v>18767705.187899999</v>
      </c>
      <c r="D515" s="6">
        <v>112323.061057</v>
      </c>
      <c r="E515" s="2">
        <v>511</v>
      </c>
    </row>
    <row r="516" spans="1:5" x14ac:dyDescent="0.35">
      <c r="A516" s="5">
        <v>1150.5</v>
      </c>
      <c r="B516" s="6">
        <v>16788954.337099999</v>
      </c>
      <c r="C516" s="6">
        <f t="shared" si="7"/>
        <v>18823954.337099999</v>
      </c>
      <c r="D516" s="6">
        <v>112626.388706</v>
      </c>
      <c r="E516" s="2">
        <v>512</v>
      </c>
    </row>
    <row r="517" spans="1:5" x14ac:dyDescent="0.35">
      <c r="A517" s="5">
        <v>1151</v>
      </c>
      <c r="B517" s="6">
        <v>16845331.890900001</v>
      </c>
      <c r="C517" s="6">
        <f t="shared" si="7"/>
        <v>18880331.890900001</v>
      </c>
      <c r="D517" s="6">
        <v>112916.817767</v>
      </c>
      <c r="E517" s="2">
        <v>513</v>
      </c>
    </row>
    <row r="518" spans="1:5" x14ac:dyDescent="0.35">
      <c r="A518" s="5">
        <v>1151.5</v>
      </c>
      <c r="B518" s="6">
        <v>16901855.936000001</v>
      </c>
      <c r="C518" s="6">
        <f t="shared" ref="C518:C581" si="8">B518+$C$3</f>
        <v>18936855.936000001</v>
      </c>
      <c r="D518" s="6">
        <v>113194.370027</v>
      </c>
      <c r="E518" s="2">
        <v>514</v>
      </c>
    </row>
    <row r="519" spans="1:5" x14ac:dyDescent="0.35">
      <c r="A519" s="5">
        <v>1152</v>
      </c>
      <c r="B519" s="6">
        <v>16958547.835000001</v>
      </c>
      <c r="C519" s="6">
        <f t="shared" si="8"/>
        <v>18993547.835000001</v>
      </c>
      <c r="D519" s="6">
        <v>113557.451682</v>
      </c>
      <c r="E519" s="2">
        <v>515</v>
      </c>
    </row>
    <row r="520" spans="1:5" x14ac:dyDescent="0.35">
      <c r="A520" s="5">
        <v>1152.5</v>
      </c>
      <c r="B520" s="6">
        <v>17015394.7454</v>
      </c>
      <c r="C520" s="6">
        <f t="shared" si="8"/>
        <v>19050394.7454</v>
      </c>
      <c r="D520" s="6">
        <v>113820.31935600001</v>
      </c>
      <c r="E520" s="2">
        <v>516</v>
      </c>
    </row>
    <row r="521" spans="1:5" x14ac:dyDescent="0.35">
      <c r="A521" s="5">
        <v>1153</v>
      </c>
      <c r="B521" s="6">
        <v>17072358.413199998</v>
      </c>
      <c r="C521" s="6">
        <f t="shared" si="8"/>
        <v>19107358.413199998</v>
      </c>
      <c r="D521" s="6">
        <v>114072.098205</v>
      </c>
      <c r="E521" s="2">
        <v>517</v>
      </c>
    </row>
    <row r="522" spans="1:5" x14ac:dyDescent="0.35">
      <c r="A522" s="5">
        <v>1153.5</v>
      </c>
      <c r="B522" s="6">
        <v>17129472.741700001</v>
      </c>
      <c r="C522" s="6">
        <f t="shared" si="8"/>
        <v>19164472.741700001</v>
      </c>
      <c r="D522" s="6">
        <v>114344.89046900001</v>
      </c>
      <c r="E522" s="2">
        <v>518</v>
      </c>
    </row>
    <row r="523" spans="1:5" x14ac:dyDescent="0.35">
      <c r="A523" s="5">
        <v>1154</v>
      </c>
      <c r="B523" s="6">
        <v>17186706.5317</v>
      </c>
      <c r="C523" s="6">
        <f t="shared" si="8"/>
        <v>19221706.5317</v>
      </c>
      <c r="D523" s="6">
        <v>114616.37527800001</v>
      </c>
      <c r="E523" s="2">
        <v>519</v>
      </c>
    </row>
    <row r="524" spans="1:5" x14ac:dyDescent="0.35">
      <c r="A524" s="5">
        <v>1154.5</v>
      </c>
      <c r="B524" s="6">
        <v>17244078.8737</v>
      </c>
      <c r="C524" s="6">
        <f t="shared" si="8"/>
        <v>19279078.8737</v>
      </c>
      <c r="D524" s="6">
        <v>114873.169855</v>
      </c>
      <c r="E524" s="2">
        <v>520</v>
      </c>
    </row>
    <row r="525" spans="1:5" x14ac:dyDescent="0.35">
      <c r="A525" s="5">
        <v>1155</v>
      </c>
      <c r="B525" s="6">
        <v>17301581.601100001</v>
      </c>
      <c r="C525" s="6">
        <f t="shared" si="8"/>
        <v>19336581.601100001</v>
      </c>
      <c r="D525" s="6">
        <v>115153.16231699999</v>
      </c>
      <c r="E525" s="2">
        <v>521</v>
      </c>
    </row>
    <row r="526" spans="1:5" x14ac:dyDescent="0.35">
      <c r="A526" s="5">
        <v>1155.5</v>
      </c>
      <c r="B526" s="6">
        <v>17359218.671500001</v>
      </c>
      <c r="C526" s="6">
        <f t="shared" si="8"/>
        <v>19394218.671500001</v>
      </c>
      <c r="D526" s="6">
        <v>115387.190214</v>
      </c>
      <c r="E526" s="2">
        <v>522</v>
      </c>
    </row>
    <row r="527" spans="1:5" x14ac:dyDescent="0.35">
      <c r="A527" s="5">
        <v>1156</v>
      </c>
      <c r="B527" s="6">
        <v>17416961.400400002</v>
      </c>
      <c r="C527" s="6">
        <f t="shared" si="8"/>
        <v>19451961.400400002</v>
      </c>
      <c r="D527" s="6">
        <v>115624.363371</v>
      </c>
      <c r="E527" s="2">
        <v>523</v>
      </c>
    </row>
    <row r="528" spans="1:5" x14ac:dyDescent="0.35">
      <c r="A528" s="5">
        <v>1156.5</v>
      </c>
      <c r="B528" s="6">
        <v>17474858.093600001</v>
      </c>
      <c r="C528" s="6">
        <f t="shared" si="8"/>
        <v>19509858.093600001</v>
      </c>
      <c r="D528" s="6">
        <v>115912.138903</v>
      </c>
      <c r="E528" s="2">
        <v>524</v>
      </c>
    </row>
    <row r="529" spans="1:5" x14ac:dyDescent="0.35">
      <c r="A529" s="5">
        <v>1157</v>
      </c>
      <c r="B529" s="6">
        <v>17532876.9881</v>
      </c>
      <c r="C529" s="6">
        <f t="shared" si="8"/>
        <v>19567876.9881</v>
      </c>
      <c r="D529" s="6">
        <v>116204.792031</v>
      </c>
      <c r="E529" s="2">
        <v>525</v>
      </c>
    </row>
    <row r="530" spans="1:5" x14ac:dyDescent="0.35">
      <c r="A530" s="5">
        <v>1157.5</v>
      </c>
      <c r="B530" s="6">
        <v>17591045.054099999</v>
      </c>
      <c r="C530" s="6">
        <f t="shared" si="8"/>
        <v>19626045.054099999</v>
      </c>
      <c r="D530" s="6">
        <v>116466.08469800001</v>
      </c>
      <c r="E530" s="2">
        <v>526</v>
      </c>
    </row>
    <row r="531" spans="1:5" x14ac:dyDescent="0.35">
      <c r="A531" s="5">
        <v>1158</v>
      </c>
      <c r="B531" s="6">
        <v>17649368.798999999</v>
      </c>
      <c r="C531" s="6">
        <f t="shared" si="8"/>
        <v>19684368.798999999</v>
      </c>
      <c r="D531" s="6">
        <v>116849.036052</v>
      </c>
      <c r="E531" s="2">
        <v>527</v>
      </c>
    </row>
    <row r="532" spans="1:5" x14ac:dyDescent="0.35">
      <c r="A532" s="5">
        <v>1158.5</v>
      </c>
      <c r="B532" s="6">
        <v>17707859.773699999</v>
      </c>
      <c r="C532" s="6">
        <f t="shared" si="8"/>
        <v>19742859.773699999</v>
      </c>
      <c r="D532" s="6">
        <v>117105.458411</v>
      </c>
      <c r="E532" s="2">
        <v>528</v>
      </c>
    </row>
    <row r="533" spans="1:5" x14ac:dyDescent="0.35">
      <c r="A533" s="5">
        <v>1159</v>
      </c>
      <c r="B533" s="6">
        <v>17766478.315499999</v>
      </c>
      <c r="C533" s="6">
        <f t="shared" si="8"/>
        <v>19801478.315499999</v>
      </c>
      <c r="D533" s="6">
        <v>117410.21838200001</v>
      </c>
      <c r="E533" s="2">
        <v>529</v>
      </c>
    </row>
    <row r="534" spans="1:5" x14ac:dyDescent="0.35">
      <c r="A534" s="5">
        <v>1159.5</v>
      </c>
      <c r="B534" s="6">
        <v>17825242.887699999</v>
      </c>
      <c r="C534" s="6">
        <f t="shared" si="8"/>
        <v>19860242.887699999</v>
      </c>
      <c r="D534" s="6">
        <v>117683.37018300001</v>
      </c>
      <c r="E534" s="2">
        <v>530</v>
      </c>
    </row>
    <row r="535" spans="1:5" x14ac:dyDescent="0.35">
      <c r="A535" s="5">
        <v>1160</v>
      </c>
      <c r="B535" s="6">
        <v>17884154.129500002</v>
      </c>
      <c r="C535" s="6">
        <f t="shared" si="8"/>
        <v>19919154.129500002</v>
      </c>
      <c r="D535" s="6">
        <v>117993.74399</v>
      </c>
      <c r="E535" s="2">
        <v>531</v>
      </c>
    </row>
    <row r="536" spans="1:5" x14ac:dyDescent="0.35">
      <c r="A536" s="5">
        <v>1160.5</v>
      </c>
      <c r="B536" s="6">
        <v>17943222.914500002</v>
      </c>
      <c r="C536" s="6">
        <f t="shared" si="8"/>
        <v>19978222.914500002</v>
      </c>
      <c r="D536" s="6">
        <v>118275.071603</v>
      </c>
      <c r="E536" s="2">
        <v>532</v>
      </c>
    </row>
    <row r="537" spans="1:5" x14ac:dyDescent="0.35">
      <c r="A537" s="5">
        <v>1161</v>
      </c>
      <c r="B537" s="6">
        <v>18002431.845800001</v>
      </c>
      <c r="C537" s="6">
        <f t="shared" si="8"/>
        <v>20037431.845800001</v>
      </c>
      <c r="D537" s="6">
        <v>118592.58556000001</v>
      </c>
      <c r="E537" s="2">
        <v>533</v>
      </c>
    </row>
    <row r="538" spans="1:5" x14ac:dyDescent="0.35">
      <c r="A538" s="5">
        <v>1161.5</v>
      </c>
      <c r="B538" s="6">
        <v>18061799.8462</v>
      </c>
      <c r="C538" s="6">
        <f t="shared" si="8"/>
        <v>20096799.8462</v>
      </c>
      <c r="D538" s="6">
        <v>118870.49462899999</v>
      </c>
      <c r="E538" s="2">
        <v>534</v>
      </c>
    </row>
    <row r="539" spans="1:5" x14ac:dyDescent="0.35">
      <c r="A539" s="5">
        <v>1162</v>
      </c>
      <c r="B539" s="6">
        <v>18121306.956900001</v>
      </c>
      <c r="C539" s="6">
        <f t="shared" si="8"/>
        <v>20156306.956900001</v>
      </c>
      <c r="D539" s="6">
        <v>119191.525198</v>
      </c>
      <c r="E539" s="2">
        <v>535</v>
      </c>
    </row>
    <row r="540" spans="1:5" x14ac:dyDescent="0.35">
      <c r="A540" s="5">
        <v>1162.5</v>
      </c>
      <c r="B540" s="6">
        <v>18180962.6822</v>
      </c>
      <c r="C540" s="6">
        <f t="shared" si="8"/>
        <v>20215962.6822</v>
      </c>
      <c r="D540" s="6">
        <v>119472.058569</v>
      </c>
      <c r="E540" s="2">
        <v>536</v>
      </c>
    </row>
    <row r="541" spans="1:5" x14ac:dyDescent="0.35">
      <c r="A541" s="5">
        <v>1163</v>
      </c>
      <c r="B541" s="6">
        <v>18240770.931000002</v>
      </c>
      <c r="C541" s="6">
        <f t="shared" si="8"/>
        <v>20275770.931000002</v>
      </c>
      <c r="D541" s="6">
        <v>119795.113163</v>
      </c>
      <c r="E541" s="2">
        <v>537</v>
      </c>
    </row>
    <row r="542" spans="1:5" x14ac:dyDescent="0.35">
      <c r="A542" s="5">
        <v>1163.5</v>
      </c>
      <c r="B542" s="6">
        <v>18300740.141600002</v>
      </c>
      <c r="C542" s="6">
        <f t="shared" si="8"/>
        <v>20335740.141600002</v>
      </c>
      <c r="D542" s="6">
        <v>120072.55273</v>
      </c>
      <c r="E542" s="2">
        <v>538</v>
      </c>
    </row>
    <row r="543" spans="1:5" x14ac:dyDescent="0.35">
      <c r="A543" s="5">
        <v>1164</v>
      </c>
      <c r="B543" s="6">
        <v>18360848.994399998</v>
      </c>
      <c r="C543" s="6">
        <f t="shared" si="8"/>
        <v>20395848.994399998</v>
      </c>
      <c r="D543" s="6">
        <v>120422.264786</v>
      </c>
      <c r="E543" s="2">
        <v>539</v>
      </c>
    </row>
    <row r="544" spans="1:5" x14ac:dyDescent="0.35">
      <c r="A544" s="5">
        <v>1164.5</v>
      </c>
      <c r="B544" s="6">
        <v>18421137.7005</v>
      </c>
      <c r="C544" s="6">
        <f t="shared" si="8"/>
        <v>20456137.7005</v>
      </c>
      <c r="D544" s="6">
        <v>120716.517697</v>
      </c>
      <c r="E544" s="2">
        <v>540</v>
      </c>
    </row>
    <row r="545" spans="1:5" x14ac:dyDescent="0.35">
      <c r="A545" s="5">
        <v>1165</v>
      </c>
      <c r="B545" s="6">
        <v>18481577.945099998</v>
      </c>
      <c r="C545" s="6">
        <f t="shared" si="8"/>
        <v>20516577.945099998</v>
      </c>
      <c r="D545" s="6">
        <v>121098.954457</v>
      </c>
      <c r="E545" s="2">
        <v>541</v>
      </c>
    </row>
    <row r="546" spans="1:5" x14ac:dyDescent="0.35">
      <c r="A546" s="5">
        <v>1165.5</v>
      </c>
      <c r="B546" s="6">
        <v>18542191.956799999</v>
      </c>
      <c r="C546" s="6">
        <f t="shared" si="8"/>
        <v>20577191.956799999</v>
      </c>
      <c r="D546" s="6">
        <v>121398.15025000001</v>
      </c>
      <c r="E546" s="2">
        <v>542</v>
      </c>
    </row>
    <row r="547" spans="1:5" x14ac:dyDescent="0.35">
      <c r="A547" s="5">
        <v>1166</v>
      </c>
      <c r="B547" s="6">
        <v>18602971.719900001</v>
      </c>
      <c r="C547" s="6">
        <f t="shared" si="8"/>
        <v>20637971.719900001</v>
      </c>
      <c r="D547" s="6">
        <v>121792.767756</v>
      </c>
      <c r="E547" s="2">
        <v>543</v>
      </c>
    </row>
    <row r="548" spans="1:5" x14ac:dyDescent="0.35">
      <c r="A548" s="5">
        <v>1166.5</v>
      </c>
      <c r="B548" s="6">
        <v>18663947.105799999</v>
      </c>
      <c r="C548" s="6">
        <f t="shared" si="8"/>
        <v>20698947.105799999</v>
      </c>
      <c r="D548" s="6">
        <v>122102.448561</v>
      </c>
      <c r="E548" s="2">
        <v>544</v>
      </c>
    </row>
    <row r="549" spans="1:5" x14ac:dyDescent="0.35">
      <c r="A549" s="5">
        <v>1167</v>
      </c>
      <c r="B549" s="6">
        <v>18725078.323600002</v>
      </c>
      <c r="C549" s="6">
        <f t="shared" si="8"/>
        <v>20760078.323600002</v>
      </c>
      <c r="D549" s="6">
        <v>122473.7162</v>
      </c>
      <c r="E549" s="2">
        <v>545</v>
      </c>
    </row>
    <row r="550" spans="1:5" x14ac:dyDescent="0.35">
      <c r="A550" s="5">
        <v>1167.5</v>
      </c>
      <c r="B550" s="6">
        <v>18786395.090300001</v>
      </c>
      <c r="C550" s="6">
        <f t="shared" si="8"/>
        <v>20821395.090300001</v>
      </c>
      <c r="D550" s="6">
        <v>122787.17680099999</v>
      </c>
      <c r="E550" s="2">
        <v>546</v>
      </c>
    </row>
    <row r="551" spans="1:5" x14ac:dyDescent="0.35">
      <c r="A551" s="5">
        <v>1168</v>
      </c>
      <c r="B551" s="6">
        <v>18847874.487199999</v>
      </c>
      <c r="C551" s="6">
        <f t="shared" si="8"/>
        <v>20882874.487199999</v>
      </c>
      <c r="D551" s="6">
        <v>123167.88604899999</v>
      </c>
      <c r="E551" s="2">
        <v>547</v>
      </c>
    </row>
    <row r="552" spans="1:5" x14ac:dyDescent="0.35">
      <c r="A552" s="5">
        <v>1168.5</v>
      </c>
      <c r="B552" s="6">
        <v>18909540.416200001</v>
      </c>
      <c r="C552" s="6">
        <f t="shared" si="8"/>
        <v>20944540.416200001</v>
      </c>
      <c r="D552" s="6">
        <v>123492.05166300001</v>
      </c>
      <c r="E552" s="2">
        <v>548</v>
      </c>
    </row>
    <row r="553" spans="1:5" x14ac:dyDescent="0.35">
      <c r="A553" s="5">
        <v>1169</v>
      </c>
      <c r="B553" s="6">
        <v>18971359.9056</v>
      </c>
      <c r="C553" s="6">
        <f t="shared" si="8"/>
        <v>21006359.9056</v>
      </c>
      <c r="D553" s="6">
        <v>123829.42245100001</v>
      </c>
      <c r="E553" s="2">
        <v>549</v>
      </c>
    </row>
    <row r="554" spans="1:5" x14ac:dyDescent="0.35">
      <c r="A554" s="5">
        <v>1169.5</v>
      </c>
      <c r="B554" s="6">
        <v>19033395.601599999</v>
      </c>
      <c r="C554" s="6">
        <f t="shared" si="8"/>
        <v>21068395.601599999</v>
      </c>
      <c r="D554" s="6">
        <v>124275.484063</v>
      </c>
      <c r="E554" s="2">
        <v>550</v>
      </c>
    </row>
    <row r="555" spans="1:5" x14ac:dyDescent="0.35">
      <c r="A555" s="5">
        <v>1170</v>
      </c>
      <c r="B555" s="6">
        <v>19095622.029899999</v>
      </c>
      <c r="C555" s="6">
        <f t="shared" si="8"/>
        <v>21130622.029899999</v>
      </c>
      <c r="D555" s="6">
        <v>124673.046974</v>
      </c>
      <c r="E555" s="2">
        <v>551</v>
      </c>
    </row>
    <row r="556" spans="1:5" x14ac:dyDescent="0.35">
      <c r="A556" s="5">
        <v>1170.5</v>
      </c>
      <c r="B556" s="6">
        <v>19158042.7236</v>
      </c>
      <c r="C556" s="6">
        <f t="shared" si="8"/>
        <v>21193042.7236</v>
      </c>
      <c r="D556" s="6">
        <v>125002.385113</v>
      </c>
      <c r="E556" s="2">
        <v>552</v>
      </c>
    </row>
    <row r="557" spans="1:5" x14ac:dyDescent="0.35">
      <c r="A557" s="5">
        <v>1171</v>
      </c>
      <c r="B557" s="6">
        <v>19220628.809900001</v>
      </c>
      <c r="C557" s="6">
        <f t="shared" si="8"/>
        <v>21255628.809900001</v>
      </c>
      <c r="D557" s="6">
        <v>125393.59398400001</v>
      </c>
      <c r="E557" s="2">
        <v>553</v>
      </c>
    </row>
    <row r="558" spans="1:5" x14ac:dyDescent="0.35">
      <c r="A558" s="5">
        <v>1171.5</v>
      </c>
      <c r="B558" s="6">
        <v>19283415.179699998</v>
      </c>
      <c r="C558" s="6">
        <f t="shared" si="8"/>
        <v>21318415.179699998</v>
      </c>
      <c r="D558" s="6">
        <v>125752.76811200001</v>
      </c>
      <c r="E558" s="2">
        <v>554</v>
      </c>
    </row>
    <row r="559" spans="1:5" x14ac:dyDescent="0.35">
      <c r="A559" s="5">
        <v>1172</v>
      </c>
      <c r="B559" s="6">
        <v>19346370.1734</v>
      </c>
      <c r="C559" s="6">
        <f t="shared" si="8"/>
        <v>21381370.1734</v>
      </c>
      <c r="D559" s="6">
        <v>126109.248934</v>
      </c>
      <c r="E559" s="2">
        <v>555</v>
      </c>
    </row>
    <row r="560" spans="1:5" x14ac:dyDescent="0.35">
      <c r="A560" s="5">
        <v>1172.5</v>
      </c>
      <c r="B560" s="6">
        <v>19409537.088100001</v>
      </c>
      <c r="C560" s="6">
        <f t="shared" si="8"/>
        <v>21444537.088100001</v>
      </c>
      <c r="D560" s="6">
        <v>126506.68507199999</v>
      </c>
      <c r="E560" s="2">
        <v>556</v>
      </c>
    </row>
    <row r="561" spans="1:5" x14ac:dyDescent="0.35">
      <c r="A561" s="5">
        <v>1173</v>
      </c>
      <c r="B561" s="6">
        <v>19472881.442699999</v>
      </c>
      <c r="C561" s="6">
        <f t="shared" si="8"/>
        <v>21507881.442699999</v>
      </c>
      <c r="D561" s="6">
        <v>126903.452099</v>
      </c>
      <c r="E561" s="2">
        <v>557</v>
      </c>
    </row>
    <row r="562" spans="1:5" x14ac:dyDescent="0.35">
      <c r="A562" s="5">
        <v>1173.5</v>
      </c>
      <c r="B562" s="6">
        <v>19536423.464000002</v>
      </c>
      <c r="C562" s="6">
        <f t="shared" si="8"/>
        <v>21571423.464000002</v>
      </c>
      <c r="D562" s="6">
        <v>127257.66207799999</v>
      </c>
      <c r="E562" s="2">
        <v>558</v>
      </c>
    </row>
    <row r="563" spans="1:5" x14ac:dyDescent="0.35">
      <c r="A563" s="5">
        <v>1174</v>
      </c>
      <c r="B563" s="6">
        <v>19600143.501499999</v>
      </c>
      <c r="C563" s="6">
        <f t="shared" si="8"/>
        <v>21635143.501499999</v>
      </c>
      <c r="D563" s="6">
        <v>127655.083703</v>
      </c>
      <c r="E563" s="2">
        <v>559</v>
      </c>
    </row>
    <row r="564" spans="1:5" x14ac:dyDescent="0.35">
      <c r="A564" s="5">
        <v>1174.5</v>
      </c>
      <c r="B564" s="6">
        <v>19664064.9881</v>
      </c>
      <c r="C564" s="6">
        <f t="shared" si="8"/>
        <v>21699064.9881</v>
      </c>
      <c r="D564" s="6">
        <v>128031.32511600001</v>
      </c>
      <c r="E564" s="2">
        <v>560</v>
      </c>
    </row>
    <row r="565" spans="1:5" x14ac:dyDescent="0.35">
      <c r="A565" s="5">
        <v>1175</v>
      </c>
      <c r="B565" s="6">
        <v>19728171.063000001</v>
      </c>
      <c r="C565" s="6">
        <f t="shared" si="8"/>
        <v>21763171.063000001</v>
      </c>
      <c r="D565" s="6">
        <v>128425.96666999999</v>
      </c>
      <c r="E565" s="2">
        <v>561</v>
      </c>
    </row>
    <row r="566" spans="1:5" x14ac:dyDescent="0.35">
      <c r="A566" s="5">
        <v>1175.5</v>
      </c>
      <c r="B566" s="6">
        <v>19792458.720100001</v>
      </c>
      <c r="C566" s="6">
        <f t="shared" si="8"/>
        <v>21827458.720100001</v>
      </c>
      <c r="D566" s="6">
        <v>128767.179817</v>
      </c>
      <c r="E566" s="2">
        <v>562</v>
      </c>
    </row>
    <row r="567" spans="1:5" x14ac:dyDescent="0.35">
      <c r="A567" s="5">
        <v>1176</v>
      </c>
      <c r="B567" s="6">
        <v>19856928.153200001</v>
      </c>
      <c r="C567" s="6">
        <f t="shared" si="8"/>
        <v>21891928.153200001</v>
      </c>
      <c r="D567" s="6">
        <v>129147.38808</v>
      </c>
      <c r="E567" s="2">
        <v>563</v>
      </c>
    </row>
    <row r="568" spans="1:5" x14ac:dyDescent="0.35">
      <c r="A568" s="5">
        <v>1176.5</v>
      </c>
      <c r="B568" s="6">
        <v>19921586.787099998</v>
      </c>
      <c r="C568" s="6">
        <f t="shared" si="8"/>
        <v>21956586.787099998</v>
      </c>
      <c r="D568" s="6">
        <v>129478.171116</v>
      </c>
      <c r="E568" s="2">
        <v>564</v>
      </c>
    </row>
    <row r="569" spans="1:5" x14ac:dyDescent="0.35">
      <c r="A569" s="5">
        <v>1177</v>
      </c>
      <c r="B569" s="6">
        <v>19986408.4531</v>
      </c>
      <c r="C569" s="6">
        <f t="shared" si="8"/>
        <v>22021408.4531</v>
      </c>
      <c r="D569" s="6">
        <v>129833.92337600001</v>
      </c>
      <c r="E569" s="2">
        <v>565</v>
      </c>
    </row>
    <row r="570" spans="1:5" x14ac:dyDescent="0.35">
      <c r="A570" s="5">
        <v>1177.5</v>
      </c>
      <c r="B570" s="6">
        <v>20051404.169799998</v>
      </c>
      <c r="C570" s="6">
        <f t="shared" si="8"/>
        <v>22086404.169799998</v>
      </c>
      <c r="D570" s="6">
        <v>130139.88281</v>
      </c>
      <c r="E570" s="2">
        <v>566</v>
      </c>
    </row>
    <row r="571" spans="1:5" x14ac:dyDescent="0.35">
      <c r="A571" s="5">
        <v>1178</v>
      </c>
      <c r="B571" s="6">
        <v>20116552.044399999</v>
      </c>
      <c r="C571" s="6">
        <f t="shared" si="8"/>
        <v>22151552.044399999</v>
      </c>
      <c r="D571" s="6">
        <v>130489.589272</v>
      </c>
      <c r="E571" s="2">
        <v>567</v>
      </c>
    </row>
    <row r="572" spans="1:5" x14ac:dyDescent="0.35">
      <c r="A572" s="5">
        <v>1178.5</v>
      </c>
      <c r="B572" s="6">
        <v>20181862.099199999</v>
      </c>
      <c r="C572" s="6">
        <f t="shared" si="8"/>
        <v>22216862.099199999</v>
      </c>
      <c r="D572" s="6">
        <v>130795.107789</v>
      </c>
      <c r="E572" s="2">
        <v>568</v>
      </c>
    </row>
    <row r="573" spans="1:5" x14ac:dyDescent="0.35">
      <c r="A573" s="5">
        <v>1179</v>
      </c>
      <c r="B573" s="6">
        <v>20247345.6039</v>
      </c>
      <c r="C573" s="6">
        <f t="shared" si="8"/>
        <v>22282345.6039</v>
      </c>
      <c r="D573" s="6">
        <v>131158.29837599999</v>
      </c>
      <c r="E573" s="2">
        <v>569</v>
      </c>
    </row>
    <row r="574" spans="1:5" x14ac:dyDescent="0.35">
      <c r="A574" s="5">
        <v>1179.5</v>
      </c>
      <c r="B574" s="6">
        <v>20313002.2443</v>
      </c>
      <c r="C574" s="6">
        <f t="shared" si="8"/>
        <v>22348002.2443</v>
      </c>
      <c r="D574" s="6">
        <v>131459.75364899999</v>
      </c>
      <c r="E574" s="2">
        <v>570</v>
      </c>
    </row>
    <row r="575" spans="1:5" x14ac:dyDescent="0.35">
      <c r="A575" s="5">
        <v>1180</v>
      </c>
      <c r="B575" s="6">
        <v>20378809.302000001</v>
      </c>
      <c r="C575" s="6">
        <f t="shared" si="8"/>
        <v>22413809.302000001</v>
      </c>
      <c r="D575" s="6">
        <v>131791.78388800001</v>
      </c>
      <c r="E575" s="2">
        <v>571</v>
      </c>
    </row>
    <row r="576" spans="1:5" x14ac:dyDescent="0.35">
      <c r="A576" s="5">
        <v>1180.5</v>
      </c>
      <c r="B576" s="6">
        <v>20444779.695900001</v>
      </c>
      <c r="C576" s="6">
        <f t="shared" si="8"/>
        <v>22479779.695900001</v>
      </c>
      <c r="D576" s="6">
        <v>132080.8726</v>
      </c>
      <c r="E576" s="2">
        <v>572</v>
      </c>
    </row>
    <row r="577" spans="1:5" x14ac:dyDescent="0.35">
      <c r="A577" s="5">
        <v>1181</v>
      </c>
      <c r="B577" s="6">
        <v>20510893.336100001</v>
      </c>
      <c r="C577" s="6">
        <f t="shared" si="8"/>
        <v>22545893.336100001</v>
      </c>
      <c r="D577" s="6">
        <v>132402.35274599999</v>
      </c>
      <c r="E577" s="2">
        <v>573</v>
      </c>
    </row>
    <row r="578" spans="1:5" x14ac:dyDescent="0.35">
      <c r="A578" s="5">
        <v>1181.5</v>
      </c>
      <c r="B578" s="6">
        <v>20577156.063000001</v>
      </c>
      <c r="C578" s="6">
        <f t="shared" si="8"/>
        <v>22612156.063000001</v>
      </c>
      <c r="D578" s="6">
        <v>132693.90641900001</v>
      </c>
      <c r="E578" s="2">
        <v>574</v>
      </c>
    </row>
    <row r="579" spans="1:5" x14ac:dyDescent="0.35">
      <c r="A579" s="5">
        <v>1182</v>
      </c>
      <c r="B579" s="6">
        <v>20643603.706599999</v>
      </c>
      <c r="C579" s="6">
        <f t="shared" si="8"/>
        <v>22678603.706599999</v>
      </c>
      <c r="D579" s="6">
        <v>133085.74060700001</v>
      </c>
      <c r="E579" s="2">
        <v>575</v>
      </c>
    </row>
    <row r="580" spans="1:5" x14ac:dyDescent="0.35">
      <c r="A580" s="5">
        <v>1182.5</v>
      </c>
      <c r="B580" s="6">
        <v>20710222.403999999</v>
      </c>
      <c r="C580" s="6">
        <f t="shared" si="8"/>
        <v>22745222.403999999</v>
      </c>
      <c r="D580" s="6">
        <v>133380.36274400001</v>
      </c>
      <c r="E580" s="2">
        <v>576</v>
      </c>
    </row>
    <row r="581" spans="1:5" x14ac:dyDescent="0.35">
      <c r="A581" s="5">
        <v>1183</v>
      </c>
      <c r="B581" s="6">
        <v>20776987.057700001</v>
      </c>
      <c r="C581" s="6">
        <f t="shared" si="8"/>
        <v>22811987.057700001</v>
      </c>
      <c r="D581" s="6">
        <v>133699.336977</v>
      </c>
      <c r="E581" s="2">
        <v>577</v>
      </c>
    </row>
    <row r="582" spans="1:5" x14ac:dyDescent="0.35">
      <c r="A582" s="5">
        <v>1183.5</v>
      </c>
      <c r="B582" s="6">
        <v>20843911.985599998</v>
      </c>
      <c r="C582" s="6">
        <f t="shared" ref="C582:C645" si="9">B582+$C$3</f>
        <v>22878911.985599998</v>
      </c>
      <c r="D582" s="6">
        <v>133992.44931200001</v>
      </c>
      <c r="E582" s="2">
        <v>578</v>
      </c>
    </row>
    <row r="583" spans="1:5" x14ac:dyDescent="0.35">
      <c r="A583" s="5">
        <v>1184</v>
      </c>
      <c r="B583" s="6">
        <v>20910985.065200001</v>
      </c>
      <c r="C583" s="6">
        <f t="shared" si="9"/>
        <v>22945985.065200001</v>
      </c>
      <c r="D583" s="6">
        <v>134311.76993400001</v>
      </c>
      <c r="E583" s="2">
        <v>579</v>
      </c>
    </row>
    <row r="584" spans="1:5" x14ac:dyDescent="0.35">
      <c r="A584" s="5">
        <v>1184.5</v>
      </c>
      <c r="B584" s="6">
        <v>20978218.539700001</v>
      </c>
      <c r="C584" s="6">
        <f t="shared" si="9"/>
        <v>23013218.539700001</v>
      </c>
      <c r="D584" s="6">
        <v>134615.19719400001</v>
      </c>
      <c r="E584" s="2">
        <v>580</v>
      </c>
    </row>
    <row r="585" spans="1:5" x14ac:dyDescent="0.35">
      <c r="A585" s="5">
        <v>1185</v>
      </c>
      <c r="B585" s="6">
        <v>21045591.480099998</v>
      </c>
      <c r="C585" s="6">
        <f t="shared" si="9"/>
        <v>23080591.480099998</v>
      </c>
      <c r="D585" s="6">
        <v>134923.27619800001</v>
      </c>
      <c r="E585" s="2">
        <v>581</v>
      </c>
    </row>
    <row r="586" spans="1:5" x14ac:dyDescent="0.35">
      <c r="A586" s="5">
        <v>1185.5</v>
      </c>
      <c r="B586" s="6">
        <v>21113142.578400001</v>
      </c>
      <c r="C586" s="6">
        <f t="shared" si="9"/>
        <v>23148142.578400001</v>
      </c>
      <c r="D586" s="6">
        <v>135256.34584200001</v>
      </c>
      <c r="E586" s="2">
        <v>582</v>
      </c>
    </row>
    <row r="587" spans="1:5" x14ac:dyDescent="0.35">
      <c r="A587" s="5">
        <v>1186</v>
      </c>
      <c r="B587" s="6">
        <v>21180851.024500001</v>
      </c>
      <c r="C587" s="6">
        <f t="shared" si="9"/>
        <v>23215851.024500001</v>
      </c>
      <c r="D587" s="6">
        <v>135597.952292</v>
      </c>
      <c r="E587" s="2">
        <v>583</v>
      </c>
    </row>
    <row r="588" spans="1:5" x14ac:dyDescent="0.35">
      <c r="A588" s="5">
        <v>1186.5</v>
      </c>
      <c r="B588" s="6">
        <v>21248730.337099999</v>
      </c>
      <c r="C588" s="6">
        <f t="shared" si="9"/>
        <v>23283730.337099999</v>
      </c>
      <c r="D588" s="6">
        <v>135912.31758599999</v>
      </c>
      <c r="E588" s="2">
        <v>584</v>
      </c>
    </row>
    <row r="589" spans="1:5" x14ac:dyDescent="0.35">
      <c r="A589" s="5">
        <v>1187</v>
      </c>
      <c r="B589" s="6">
        <v>21316767.159000002</v>
      </c>
      <c r="C589" s="6">
        <f t="shared" si="9"/>
        <v>23351767.159000002</v>
      </c>
      <c r="D589" s="6">
        <v>136249.37223899999</v>
      </c>
      <c r="E589" s="2">
        <v>585</v>
      </c>
    </row>
    <row r="590" spans="1:5" x14ac:dyDescent="0.35">
      <c r="A590" s="5">
        <v>1187.5</v>
      </c>
      <c r="B590" s="6">
        <v>21384972.4652</v>
      </c>
      <c r="C590" s="6">
        <f t="shared" si="9"/>
        <v>23419972.4652</v>
      </c>
      <c r="D590" s="6">
        <v>136567.133179</v>
      </c>
      <c r="E590" s="2">
        <v>586</v>
      </c>
    </row>
    <row r="591" spans="1:5" x14ac:dyDescent="0.35">
      <c r="A591" s="5">
        <v>1188</v>
      </c>
      <c r="B591" s="6">
        <v>21453331.086800002</v>
      </c>
      <c r="C591" s="6">
        <f t="shared" si="9"/>
        <v>23488331.086800002</v>
      </c>
      <c r="D591" s="6">
        <v>136896.57291700001</v>
      </c>
      <c r="E591" s="2">
        <v>587</v>
      </c>
    </row>
    <row r="592" spans="1:5" x14ac:dyDescent="0.35">
      <c r="A592" s="5">
        <v>1188.5</v>
      </c>
      <c r="B592" s="6">
        <v>21521871.173099998</v>
      </c>
      <c r="C592" s="6">
        <f t="shared" si="9"/>
        <v>23556871.173099998</v>
      </c>
      <c r="D592" s="6">
        <v>137232.55636300001</v>
      </c>
      <c r="E592" s="2">
        <v>588</v>
      </c>
    </row>
    <row r="593" spans="1:5" x14ac:dyDescent="0.35">
      <c r="A593" s="5">
        <v>1189</v>
      </c>
      <c r="B593" s="6">
        <v>21590568.3706</v>
      </c>
      <c r="C593" s="6">
        <f t="shared" si="9"/>
        <v>23625568.3706</v>
      </c>
      <c r="D593" s="6">
        <v>137569.81226100001</v>
      </c>
      <c r="E593" s="2">
        <v>589</v>
      </c>
    </row>
    <row r="594" spans="1:5" x14ac:dyDescent="0.35">
      <c r="A594" s="5">
        <v>1189.5</v>
      </c>
      <c r="B594" s="6">
        <v>21659432.8059</v>
      </c>
      <c r="C594" s="6">
        <f t="shared" si="9"/>
        <v>23694432.8059</v>
      </c>
      <c r="D594" s="6">
        <v>137909.76736100001</v>
      </c>
      <c r="E594" s="2">
        <v>590</v>
      </c>
    </row>
    <row r="595" spans="1:5" x14ac:dyDescent="0.35">
      <c r="A595" s="5">
        <v>1190</v>
      </c>
      <c r="B595" s="6">
        <v>21728468.618099999</v>
      </c>
      <c r="C595" s="6">
        <f t="shared" si="9"/>
        <v>23763468.618099999</v>
      </c>
      <c r="D595" s="6">
        <v>138245.64280500001</v>
      </c>
      <c r="E595" s="2">
        <v>591</v>
      </c>
    </row>
    <row r="596" spans="1:5" x14ac:dyDescent="0.35">
      <c r="A596" s="5">
        <v>1190.5</v>
      </c>
      <c r="B596" s="6">
        <v>21797669.268300001</v>
      </c>
      <c r="C596" s="6">
        <f t="shared" si="9"/>
        <v>23832669.268300001</v>
      </c>
      <c r="D596" s="6">
        <v>138549.03915600001</v>
      </c>
      <c r="E596" s="2">
        <v>592</v>
      </c>
    </row>
    <row r="597" spans="1:5" x14ac:dyDescent="0.35">
      <c r="A597" s="5">
        <v>1191</v>
      </c>
      <c r="B597" s="6">
        <v>21867021.7597</v>
      </c>
      <c r="C597" s="6">
        <f t="shared" si="9"/>
        <v>23902021.7597</v>
      </c>
      <c r="D597" s="6">
        <v>138873.096544</v>
      </c>
      <c r="E597" s="2">
        <v>593</v>
      </c>
    </row>
    <row r="598" spans="1:5" x14ac:dyDescent="0.35">
      <c r="A598" s="5">
        <v>1191.5</v>
      </c>
      <c r="B598" s="6">
        <v>21936522.5242</v>
      </c>
      <c r="C598" s="6">
        <f t="shared" si="9"/>
        <v>23971522.5242</v>
      </c>
      <c r="D598" s="6">
        <v>139178.999411</v>
      </c>
      <c r="E598" s="2">
        <v>594</v>
      </c>
    </row>
    <row r="599" spans="1:5" x14ac:dyDescent="0.35">
      <c r="A599" s="5">
        <v>1192</v>
      </c>
      <c r="B599" s="6">
        <v>22006193.914700001</v>
      </c>
      <c r="C599" s="6">
        <f t="shared" si="9"/>
        <v>24041193.914700001</v>
      </c>
      <c r="D599" s="6">
        <v>139519.051764</v>
      </c>
      <c r="E599" s="2">
        <v>595</v>
      </c>
    </row>
    <row r="600" spans="1:5" x14ac:dyDescent="0.35">
      <c r="A600" s="5">
        <v>1192.5</v>
      </c>
      <c r="B600" s="6">
        <v>22076036.441199999</v>
      </c>
      <c r="C600" s="6">
        <f t="shared" si="9"/>
        <v>24111036.441199999</v>
      </c>
      <c r="D600" s="6">
        <v>139842.36098500001</v>
      </c>
      <c r="E600" s="2">
        <v>596</v>
      </c>
    </row>
    <row r="601" spans="1:5" x14ac:dyDescent="0.35">
      <c r="A601" s="5">
        <v>1193</v>
      </c>
      <c r="B601" s="6">
        <v>22146040.282200001</v>
      </c>
      <c r="C601" s="6">
        <f t="shared" si="9"/>
        <v>24181040.282200001</v>
      </c>
      <c r="D601" s="6">
        <v>140183.33291299999</v>
      </c>
      <c r="E601" s="2">
        <v>597</v>
      </c>
    </row>
    <row r="602" spans="1:5" x14ac:dyDescent="0.35">
      <c r="A602" s="5">
        <v>1193.5</v>
      </c>
      <c r="B602" s="6">
        <v>22216214.886500001</v>
      </c>
      <c r="C602" s="6">
        <f t="shared" si="9"/>
        <v>24251214.886500001</v>
      </c>
      <c r="D602" s="6">
        <v>140506.72496799999</v>
      </c>
      <c r="E602" s="2">
        <v>598</v>
      </c>
    </row>
    <row r="603" spans="1:5" x14ac:dyDescent="0.35">
      <c r="A603" s="5">
        <v>1194</v>
      </c>
      <c r="B603" s="6">
        <v>22286551.899700001</v>
      </c>
      <c r="C603" s="6">
        <f t="shared" si="9"/>
        <v>24321551.899700001</v>
      </c>
      <c r="D603" s="6">
        <v>140854.930154</v>
      </c>
      <c r="E603" s="2">
        <v>599</v>
      </c>
    </row>
    <row r="604" spans="1:5" x14ac:dyDescent="0.35">
      <c r="A604" s="5">
        <v>1194.5</v>
      </c>
      <c r="B604" s="6">
        <v>22357051.8761</v>
      </c>
      <c r="C604" s="6">
        <f t="shared" si="9"/>
        <v>24392051.8761</v>
      </c>
      <c r="D604" s="6">
        <v>141193.471811</v>
      </c>
      <c r="E604" s="2">
        <v>600</v>
      </c>
    </row>
    <row r="605" spans="1:5" x14ac:dyDescent="0.35">
      <c r="A605" s="5">
        <v>1195</v>
      </c>
      <c r="B605" s="6">
        <v>22427735.826299999</v>
      </c>
      <c r="C605" s="6">
        <f t="shared" si="9"/>
        <v>24462735.826299999</v>
      </c>
      <c r="D605" s="6">
        <v>141553.99366199999</v>
      </c>
      <c r="E605" s="2">
        <v>601</v>
      </c>
    </row>
    <row r="606" spans="1:5" x14ac:dyDescent="0.35">
      <c r="A606" s="5">
        <v>1195.5</v>
      </c>
      <c r="B606" s="6">
        <v>22498597.8607</v>
      </c>
      <c r="C606" s="6">
        <f t="shared" si="9"/>
        <v>24533597.8607</v>
      </c>
      <c r="D606" s="6">
        <v>141885.12083199999</v>
      </c>
      <c r="E606" s="2">
        <v>602</v>
      </c>
    </row>
    <row r="607" spans="1:5" x14ac:dyDescent="0.35">
      <c r="A607" s="5">
        <v>1196</v>
      </c>
      <c r="B607" s="6">
        <v>22569624.080400001</v>
      </c>
      <c r="C607" s="6">
        <f t="shared" si="9"/>
        <v>24604624.080400001</v>
      </c>
      <c r="D607" s="6">
        <v>142223.74648999999</v>
      </c>
      <c r="E607" s="2">
        <v>603</v>
      </c>
    </row>
    <row r="608" spans="1:5" x14ac:dyDescent="0.35">
      <c r="A608" s="5">
        <v>1196.5</v>
      </c>
      <c r="B608" s="6">
        <v>22640816.464000002</v>
      </c>
      <c r="C608" s="6">
        <f t="shared" si="9"/>
        <v>24675816.464000002</v>
      </c>
      <c r="D608" s="6">
        <v>142536.32829899999</v>
      </c>
      <c r="E608" s="2">
        <v>604</v>
      </c>
    </row>
    <row r="609" spans="1:5" x14ac:dyDescent="0.35">
      <c r="A609" s="5">
        <v>1197</v>
      </c>
      <c r="B609" s="6">
        <v>22712165.759799998</v>
      </c>
      <c r="C609" s="6">
        <f t="shared" si="9"/>
        <v>24747165.759799998</v>
      </c>
      <c r="D609" s="6">
        <v>142870.39796</v>
      </c>
      <c r="E609" s="2">
        <v>605</v>
      </c>
    </row>
    <row r="610" spans="1:5" x14ac:dyDescent="0.35">
      <c r="A610" s="5">
        <v>1197.5</v>
      </c>
      <c r="B610" s="6">
        <v>22783668.333299998</v>
      </c>
      <c r="C610" s="6">
        <f t="shared" si="9"/>
        <v>24818668.333299998</v>
      </c>
      <c r="D610" s="6">
        <v>143189.34828499999</v>
      </c>
      <c r="E610" s="2">
        <v>606</v>
      </c>
    </row>
    <row r="611" spans="1:5" x14ac:dyDescent="0.35">
      <c r="A611" s="5">
        <v>1198</v>
      </c>
      <c r="B611" s="6">
        <v>22855346.373500001</v>
      </c>
      <c r="C611" s="6">
        <f t="shared" si="9"/>
        <v>24890346.373500001</v>
      </c>
      <c r="D611" s="6">
        <v>143531.319162</v>
      </c>
      <c r="E611" s="2">
        <v>607</v>
      </c>
    </row>
    <row r="612" spans="1:5" x14ac:dyDescent="0.35">
      <c r="A612" s="5">
        <v>1198.5</v>
      </c>
      <c r="B612" s="6">
        <v>22927195.683400001</v>
      </c>
      <c r="C612" s="6">
        <f t="shared" si="9"/>
        <v>24962195.683400001</v>
      </c>
      <c r="D612" s="6">
        <v>143855.38641400001</v>
      </c>
      <c r="E612" s="2">
        <v>608</v>
      </c>
    </row>
    <row r="613" spans="1:5" x14ac:dyDescent="0.35">
      <c r="A613" s="5">
        <v>1199</v>
      </c>
      <c r="B613" s="6">
        <v>22999205.030299999</v>
      </c>
      <c r="C613" s="6">
        <f t="shared" si="9"/>
        <v>25034205.030299999</v>
      </c>
      <c r="D613" s="6">
        <v>144191.48427300001</v>
      </c>
      <c r="E613" s="2">
        <v>609</v>
      </c>
    </row>
    <row r="614" spans="1:5" x14ac:dyDescent="0.35">
      <c r="A614" s="5">
        <v>1199.5</v>
      </c>
      <c r="B614" s="6">
        <v>23071381.2962</v>
      </c>
      <c r="C614" s="6">
        <f t="shared" si="9"/>
        <v>25106381.2962</v>
      </c>
      <c r="D614" s="6">
        <v>144503.710891</v>
      </c>
      <c r="E614" s="2">
        <v>610</v>
      </c>
    </row>
    <row r="615" spans="1:5" x14ac:dyDescent="0.35">
      <c r="A615" s="5">
        <v>1200</v>
      </c>
      <c r="B615" s="6">
        <v>23143713.5704</v>
      </c>
      <c r="C615" s="6">
        <f t="shared" si="9"/>
        <v>25178713.5704</v>
      </c>
      <c r="D615" s="6">
        <v>144834.11603800001</v>
      </c>
      <c r="E615" s="2">
        <v>611</v>
      </c>
    </row>
    <row r="616" spans="1:5" x14ac:dyDescent="0.35">
      <c r="A616" s="5">
        <v>1200.5</v>
      </c>
      <c r="B616" s="6">
        <v>23216210.3752</v>
      </c>
      <c r="C616" s="6">
        <f t="shared" si="9"/>
        <v>25251210.3752</v>
      </c>
      <c r="D616" s="6">
        <v>145144.152294</v>
      </c>
      <c r="E616" s="2">
        <v>612</v>
      </c>
    </row>
    <row r="617" spans="1:5" x14ac:dyDescent="0.35">
      <c r="A617" s="5">
        <v>1201</v>
      </c>
      <c r="B617" s="6">
        <v>23288848.8968</v>
      </c>
      <c r="C617" s="6">
        <f t="shared" si="9"/>
        <v>25323848.8968</v>
      </c>
      <c r="D617" s="6">
        <v>145458.02342700001</v>
      </c>
      <c r="E617" s="2">
        <v>613</v>
      </c>
    </row>
    <row r="618" spans="1:5" x14ac:dyDescent="0.35">
      <c r="A618" s="5">
        <v>1201.5</v>
      </c>
      <c r="B618" s="6">
        <v>23361678.5308</v>
      </c>
      <c r="C618" s="6">
        <f t="shared" si="9"/>
        <v>25396678.5308</v>
      </c>
      <c r="D618" s="6">
        <v>145852.82971399999</v>
      </c>
      <c r="E618" s="2">
        <v>614</v>
      </c>
    </row>
    <row r="619" spans="1:5" x14ac:dyDescent="0.35">
      <c r="A619" s="5">
        <v>1202</v>
      </c>
      <c r="B619" s="6">
        <v>23434687.9553</v>
      </c>
      <c r="C619" s="6">
        <f t="shared" si="9"/>
        <v>25469687.9553</v>
      </c>
      <c r="D619" s="6">
        <v>146196.888419</v>
      </c>
      <c r="E619" s="2">
        <v>615</v>
      </c>
    </row>
    <row r="620" spans="1:5" x14ac:dyDescent="0.35">
      <c r="A620" s="5">
        <v>1202.5</v>
      </c>
      <c r="B620" s="6">
        <v>23507875.030699998</v>
      </c>
      <c r="C620" s="6">
        <f t="shared" si="9"/>
        <v>25542875.030699998</v>
      </c>
      <c r="D620" s="6">
        <v>146560.869309</v>
      </c>
      <c r="E620" s="2">
        <v>616</v>
      </c>
    </row>
    <row r="621" spans="1:5" x14ac:dyDescent="0.35">
      <c r="A621" s="5">
        <v>1203</v>
      </c>
      <c r="B621" s="6">
        <v>23581326.434599999</v>
      </c>
      <c r="C621" s="6">
        <f t="shared" si="9"/>
        <v>25616326.434599999</v>
      </c>
      <c r="D621" s="6">
        <v>147143.769027</v>
      </c>
      <c r="E621" s="2">
        <v>617</v>
      </c>
    </row>
    <row r="622" spans="1:5" x14ac:dyDescent="0.35">
      <c r="A622" s="5">
        <v>1203.5</v>
      </c>
      <c r="B622" s="6">
        <v>23654986.152100001</v>
      </c>
      <c r="C622" s="6">
        <f t="shared" si="9"/>
        <v>25689986.152100001</v>
      </c>
      <c r="D622" s="6">
        <v>147480.39845400001</v>
      </c>
      <c r="E622" s="2">
        <v>618</v>
      </c>
    </row>
    <row r="623" spans="1:5" x14ac:dyDescent="0.35">
      <c r="A623" s="5">
        <v>1204</v>
      </c>
      <c r="B623" s="6">
        <v>23728794.510699999</v>
      </c>
      <c r="C623" s="6">
        <f t="shared" si="9"/>
        <v>25763794.510699999</v>
      </c>
      <c r="D623" s="6">
        <v>147803.168649</v>
      </c>
      <c r="E623" s="2">
        <v>619</v>
      </c>
    </row>
    <row r="624" spans="1:5" x14ac:dyDescent="0.35">
      <c r="A624" s="5">
        <v>1204.5</v>
      </c>
      <c r="B624" s="6">
        <v>23802788.094300002</v>
      </c>
      <c r="C624" s="6">
        <f t="shared" si="9"/>
        <v>25837788.094300002</v>
      </c>
      <c r="D624" s="6">
        <v>148147.671845</v>
      </c>
      <c r="E624" s="2">
        <v>620</v>
      </c>
    </row>
    <row r="625" spans="1:5" x14ac:dyDescent="0.35">
      <c r="A625" s="5">
        <v>1205</v>
      </c>
      <c r="B625" s="6">
        <v>23876949.508499999</v>
      </c>
      <c r="C625" s="6">
        <f t="shared" si="9"/>
        <v>25911949.508499999</v>
      </c>
      <c r="D625" s="6">
        <v>148511.01850199999</v>
      </c>
      <c r="E625" s="2">
        <v>621</v>
      </c>
    </row>
    <row r="626" spans="1:5" x14ac:dyDescent="0.35">
      <c r="A626" s="5">
        <v>1205.5</v>
      </c>
      <c r="B626" s="6">
        <v>23951313.9736</v>
      </c>
      <c r="C626" s="6">
        <f t="shared" si="9"/>
        <v>25986313.9736</v>
      </c>
      <c r="D626" s="6">
        <v>148937.65563600001</v>
      </c>
      <c r="E626" s="2">
        <v>622</v>
      </c>
    </row>
    <row r="627" spans="1:5" x14ac:dyDescent="0.35">
      <c r="A627" s="5">
        <v>1206</v>
      </c>
      <c r="B627" s="6">
        <v>24025868.873</v>
      </c>
      <c r="C627" s="6">
        <f t="shared" si="9"/>
        <v>26060868.873</v>
      </c>
      <c r="D627" s="6">
        <v>149292.45340100001</v>
      </c>
      <c r="E627" s="2">
        <v>623</v>
      </c>
    </row>
    <row r="628" spans="1:5" x14ac:dyDescent="0.35">
      <c r="A628" s="5">
        <v>1206.5</v>
      </c>
      <c r="B628" s="6">
        <v>24100601.711599998</v>
      </c>
      <c r="C628" s="6">
        <f t="shared" si="9"/>
        <v>26135601.711599998</v>
      </c>
      <c r="D628" s="6">
        <v>149631.10982499999</v>
      </c>
      <c r="E628" s="2">
        <v>624</v>
      </c>
    </row>
    <row r="629" spans="1:5" x14ac:dyDescent="0.35">
      <c r="A629" s="5">
        <v>1207</v>
      </c>
      <c r="B629" s="6">
        <v>24175487.388900001</v>
      </c>
      <c r="C629" s="6">
        <f t="shared" si="9"/>
        <v>26210487.388900001</v>
      </c>
      <c r="D629" s="6">
        <v>149961.59009700001</v>
      </c>
      <c r="E629" s="2">
        <v>625</v>
      </c>
    </row>
    <row r="630" spans="1:5" x14ac:dyDescent="0.35">
      <c r="A630" s="5">
        <v>1207.5</v>
      </c>
      <c r="B630" s="6">
        <v>24250561.023800001</v>
      </c>
      <c r="C630" s="6">
        <f t="shared" si="9"/>
        <v>26285561.023800001</v>
      </c>
      <c r="D630" s="6">
        <v>150302.99506099999</v>
      </c>
      <c r="E630" s="2">
        <v>626</v>
      </c>
    </row>
    <row r="631" spans="1:5" x14ac:dyDescent="0.35">
      <c r="A631" s="5">
        <v>1208</v>
      </c>
      <c r="B631" s="6">
        <v>24325795.0973</v>
      </c>
      <c r="C631" s="6">
        <f t="shared" si="9"/>
        <v>26360795.0973</v>
      </c>
      <c r="D631" s="6">
        <v>150642.93330199999</v>
      </c>
      <c r="E631" s="2">
        <v>627</v>
      </c>
    </row>
    <row r="632" spans="1:5" x14ac:dyDescent="0.35">
      <c r="A632" s="5">
        <v>1208.5</v>
      </c>
      <c r="B632" s="6">
        <v>24401198.677999999</v>
      </c>
      <c r="C632" s="6">
        <f t="shared" si="9"/>
        <v>26436198.677999999</v>
      </c>
      <c r="D632" s="6">
        <v>150961.188536</v>
      </c>
      <c r="E632" s="2">
        <v>628</v>
      </c>
    </row>
    <row r="633" spans="1:5" x14ac:dyDescent="0.35">
      <c r="A633" s="5">
        <v>1209</v>
      </c>
      <c r="B633" s="6">
        <v>24476760.188999999</v>
      </c>
      <c r="C633" s="6">
        <f t="shared" si="9"/>
        <v>26511760.188999999</v>
      </c>
      <c r="D633" s="6">
        <v>151297.72655200001</v>
      </c>
      <c r="E633" s="2">
        <v>629</v>
      </c>
    </row>
    <row r="634" spans="1:5" x14ac:dyDescent="0.35">
      <c r="A634" s="5">
        <v>1209.5</v>
      </c>
      <c r="B634" s="6">
        <v>24552489.7267</v>
      </c>
      <c r="C634" s="6">
        <f t="shared" si="9"/>
        <v>26587489.7267</v>
      </c>
      <c r="D634" s="6">
        <v>151609.70419700001</v>
      </c>
      <c r="E634" s="2">
        <v>630</v>
      </c>
    </row>
    <row r="635" spans="1:5" x14ac:dyDescent="0.35">
      <c r="A635" s="5">
        <v>1210</v>
      </c>
      <c r="B635" s="6">
        <v>24628375.120900001</v>
      </c>
      <c r="C635" s="6">
        <f t="shared" si="9"/>
        <v>26663375.120900001</v>
      </c>
      <c r="D635" s="6">
        <v>151940.854659</v>
      </c>
      <c r="E635" s="2">
        <v>631</v>
      </c>
    </row>
    <row r="636" spans="1:5" x14ac:dyDescent="0.35">
      <c r="A636" s="5">
        <v>1210.5</v>
      </c>
      <c r="B636" s="6">
        <v>24704411.035300002</v>
      </c>
      <c r="C636" s="6">
        <f t="shared" si="9"/>
        <v>26739411.035300002</v>
      </c>
      <c r="D636" s="6">
        <v>152254.15213</v>
      </c>
      <c r="E636" s="2">
        <v>632</v>
      </c>
    </row>
    <row r="637" spans="1:5" x14ac:dyDescent="0.35">
      <c r="A637" s="5">
        <v>1211</v>
      </c>
      <c r="B637" s="6">
        <v>24780617.3303</v>
      </c>
      <c r="C637" s="6">
        <f t="shared" si="9"/>
        <v>26815617.3303</v>
      </c>
      <c r="D637" s="6">
        <v>152579.70266800001</v>
      </c>
      <c r="E637" s="2">
        <v>633</v>
      </c>
    </row>
    <row r="638" spans="1:5" x14ac:dyDescent="0.35">
      <c r="A638" s="5">
        <v>1211.5</v>
      </c>
      <c r="B638" s="6">
        <v>24856985.701299999</v>
      </c>
      <c r="C638" s="6">
        <f t="shared" si="9"/>
        <v>26891985.701299999</v>
      </c>
      <c r="D638" s="6">
        <v>152883.614673</v>
      </c>
      <c r="E638" s="2">
        <v>634</v>
      </c>
    </row>
    <row r="639" spans="1:5" x14ac:dyDescent="0.35">
      <c r="A639" s="5">
        <v>1212</v>
      </c>
      <c r="B639" s="6">
        <v>24933504.313099999</v>
      </c>
      <c r="C639" s="6">
        <f t="shared" si="9"/>
        <v>26968504.313099999</v>
      </c>
      <c r="D639" s="6">
        <v>153196.46788000001</v>
      </c>
      <c r="E639" s="2">
        <v>635</v>
      </c>
    </row>
    <row r="640" spans="1:5" x14ac:dyDescent="0.35">
      <c r="A640" s="5">
        <v>1212.5</v>
      </c>
      <c r="B640" s="6">
        <v>25010178.227000002</v>
      </c>
      <c r="C640" s="6">
        <f t="shared" si="9"/>
        <v>27045178.227000002</v>
      </c>
      <c r="D640" s="6">
        <v>153489.53056099999</v>
      </c>
      <c r="E640" s="2">
        <v>636</v>
      </c>
    </row>
    <row r="641" spans="1:5" x14ac:dyDescent="0.35">
      <c r="A641" s="5">
        <v>1213</v>
      </c>
      <c r="B641" s="6">
        <v>25086998.123799998</v>
      </c>
      <c r="C641" s="6">
        <f t="shared" si="9"/>
        <v>27121998.123799998</v>
      </c>
      <c r="D641" s="6">
        <v>153793.12508699999</v>
      </c>
      <c r="E641" s="2">
        <v>637</v>
      </c>
    </row>
    <row r="642" spans="1:5" x14ac:dyDescent="0.35">
      <c r="A642" s="5">
        <v>1213.5</v>
      </c>
      <c r="B642" s="6">
        <v>25163954.092500001</v>
      </c>
      <c r="C642" s="6">
        <f t="shared" si="9"/>
        <v>27198954.092500001</v>
      </c>
      <c r="D642" s="6">
        <v>154082.10887900001</v>
      </c>
      <c r="E642" s="2">
        <v>638</v>
      </c>
    </row>
    <row r="643" spans="1:5" x14ac:dyDescent="0.35">
      <c r="A643" s="5">
        <v>1214</v>
      </c>
      <c r="B643" s="6">
        <v>25241070.289900001</v>
      </c>
      <c r="C643" s="6">
        <f t="shared" si="9"/>
        <v>27276070.289900001</v>
      </c>
      <c r="D643" s="6">
        <v>154385.31062100001</v>
      </c>
      <c r="E643" s="2">
        <v>639</v>
      </c>
    </row>
    <row r="644" spans="1:5" x14ac:dyDescent="0.35">
      <c r="A644" s="5">
        <v>1214.5</v>
      </c>
      <c r="B644" s="6">
        <v>25318337.044500001</v>
      </c>
      <c r="C644" s="6">
        <f t="shared" si="9"/>
        <v>27353337.044500001</v>
      </c>
      <c r="D644" s="6">
        <v>154672.072025</v>
      </c>
      <c r="E644" s="2">
        <v>640</v>
      </c>
    </row>
    <row r="645" spans="1:5" x14ac:dyDescent="0.35">
      <c r="A645" s="5">
        <v>1215</v>
      </c>
      <c r="B645" s="6">
        <v>25395747.1699</v>
      </c>
      <c r="C645" s="6">
        <f t="shared" si="9"/>
        <v>27430747.1699</v>
      </c>
      <c r="D645" s="6">
        <v>154967.79023899999</v>
      </c>
      <c r="E645" s="2">
        <v>641</v>
      </c>
    </row>
    <row r="646" spans="1:5" x14ac:dyDescent="0.35">
      <c r="A646" s="5">
        <v>1215.5</v>
      </c>
      <c r="B646" s="6">
        <v>25473302.182500001</v>
      </c>
      <c r="C646" s="6">
        <f t="shared" ref="C646:C676" si="10">B646+$C$3</f>
        <v>27508302.182500001</v>
      </c>
      <c r="D646" s="6">
        <v>155241.25707299999</v>
      </c>
      <c r="E646" s="2">
        <v>642</v>
      </c>
    </row>
    <row r="647" spans="1:5" x14ac:dyDescent="0.35">
      <c r="A647" s="5">
        <v>1216</v>
      </c>
      <c r="B647" s="6">
        <v>25550991.9003</v>
      </c>
      <c r="C647" s="6">
        <f t="shared" si="10"/>
        <v>27585991.9003</v>
      </c>
      <c r="D647" s="6">
        <v>155517.10630700001</v>
      </c>
      <c r="E647" s="2">
        <v>643</v>
      </c>
    </row>
    <row r="648" spans="1:5" x14ac:dyDescent="0.35">
      <c r="A648" s="5">
        <v>1216.5</v>
      </c>
      <c r="B648" s="6">
        <v>25628819.463599999</v>
      </c>
      <c r="C648" s="6">
        <f t="shared" si="10"/>
        <v>27663819.463599999</v>
      </c>
      <c r="D648" s="6">
        <v>155782.47257899999</v>
      </c>
      <c r="E648" s="2">
        <v>644</v>
      </c>
    </row>
    <row r="649" spans="1:5" x14ac:dyDescent="0.35">
      <c r="A649" s="5">
        <v>1217</v>
      </c>
      <c r="B649" s="6">
        <v>25706763.5984</v>
      </c>
      <c r="C649" s="6">
        <f t="shared" si="10"/>
        <v>27741763.5984</v>
      </c>
      <c r="D649" s="6">
        <v>156056.57308500001</v>
      </c>
      <c r="E649" s="2">
        <v>645</v>
      </c>
    </row>
    <row r="650" spans="1:5" x14ac:dyDescent="0.35">
      <c r="A650" s="5">
        <v>1217.5</v>
      </c>
      <c r="B650" s="6">
        <v>25784860.274900001</v>
      </c>
      <c r="C650" s="6">
        <f t="shared" si="10"/>
        <v>27819860.274900001</v>
      </c>
      <c r="D650" s="6">
        <v>156321.02223800001</v>
      </c>
      <c r="E650" s="2">
        <v>646</v>
      </c>
    </row>
    <row r="651" spans="1:5" x14ac:dyDescent="0.35">
      <c r="A651" s="5">
        <v>1218</v>
      </c>
      <c r="B651" s="6">
        <v>25863089.953400001</v>
      </c>
      <c r="C651" s="6">
        <f t="shared" si="10"/>
        <v>27898089.953400001</v>
      </c>
      <c r="D651" s="6">
        <v>156597.72964800001</v>
      </c>
      <c r="E651" s="2">
        <v>647</v>
      </c>
    </row>
    <row r="652" spans="1:5" x14ac:dyDescent="0.35">
      <c r="A652" s="5">
        <v>1218.5</v>
      </c>
      <c r="B652" s="6">
        <v>25941458.096799999</v>
      </c>
      <c r="C652" s="6">
        <f t="shared" si="10"/>
        <v>27976458.096799999</v>
      </c>
      <c r="D652" s="6">
        <v>156865.599843</v>
      </c>
      <c r="E652" s="2">
        <v>648</v>
      </c>
    </row>
    <row r="653" spans="1:5" x14ac:dyDescent="0.35">
      <c r="A653" s="5">
        <v>1219</v>
      </c>
      <c r="B653" s="6">
        <v>26019960.1525</v>
      </c>
      <c r="C653" s="6">
        <f t="shared" si="10"/>
        <v>28054960.1525</v>
      </c>
      <c r="D653" s="6">
        <v>157142.03816299999</v>
      </c>
      <c r="E653" s="2">
        <v>649</v>
      </c>
    </row>
    <row r="654" spans="1:5" x14ac:dyDescent="0.35">
      <c r="A654" s="5">
        <v>1219.5</v>
      </c>
      <c r="B654" s="6">
        <v>26098601.137400001</v>
      </c>
      <c r="C654" s="6">
        <f t="shared" si="10"/>
        <v>28133601.137400001</v>
      </c>
      <c r="D654" s="6">
        <v>157411.95591600001</v>
      </c>
      <c r="E654" s="2">
        <v>650</v>
      </c>
    </row>
    <row r="655" spans="1:5" x14ac:dyDescent="0.35">
      <c r="A655" s="5">
        <v>1220</v>
      </c>
      <c r="B655" s="6">
        <v>26177361.3303</v>
      </c>
      <c r="C655" s="6">
        <f t="shared" si="10"/>
        <v>28212361.3303</v>
      </c>
      <c r="D655" s="6">
        <v>157682.938543</v>
      </c>
      <c r="E655" s="2">
        <v>651</v>
      </c>
    </row>
    <row r="656" spans="1:5" x14ac:dyDescent="0.35">
      <c r="A656" s="5">
        <v>1220.5</v>
      </c>
      <c r="B656" s="6">
        <v>26256279.734900001</v>
      </c>
      <c r="C656" s="6">
        <f t="shared" si="10"/>
        <v>28291279.734900001</v>
      </c>
      <c r="D656" s="6">
        <v>157972.240937</v>
      </c>
      <c r="E656" s="2">
        <v>652</v>
      </c>
    </row>
    <row r="657" spans="1:5" x14ac:dyDescent="0.35">
      <c r="A657" s="5">
        <v>1221</v>
      </c>
      <c r="B657" s="6">
        <v>26335338.448899999</v>
      </c>
      <c r="C657" s="6">
        <f t="shared" si="10"/>
        <v>28370338.448899999</v>
      </c>
      <c r="D657" s="6">
        <v>158262.41940899999</v>
      </c>
      <c r="E657" s="2">
        <v>653</v>
      </c>
    </row>
    <row r="658" spans="1:5" x14ac:dyDescent="0.35">
      <c r="A658" s="5">
        <v>1221.5</v>
      </c>
      <c r="B658" s="6">
        <v>26414542.661400001</v>
      </c>
      <c r="C658" s="6">
        <f t="shared" si="10"/>
        <v>28449542.661400001</v>
      </c>
      <c r="D658" s="6">
        <v>158545.36327999999</v>
      </c>
      <c r="E658" s="2">
        <v>654</v>
      </c>
    </row>
    <row r="659" spans="1:5" x14ac:dyDescent="0.35">
      <c r="A659" s="5">
        <v>1222</v>
      </c>
      <c r="B659" s="6">
        <v>26493891.876200002</v>
      </c>
      <c r="C659" s="6">
        <f t="shared" si="10"/>
        <v>28528891.876200002</v>
      </c>
      <c r="D659" s="6">
        <v>158853.27848000001</v>
      </c>
      <c r="E659" s="2">
        <v>655</v>
      </c>
    </row>
    <row r="660" spans="1:5" x14ac:dyDescent="0.35">
      <c r="A660" s="5">
        <v>1222.5</v>
      </c>
      <c r="B660" s="6">
        <v>26573396.6897</v>
      </c>
      <c r="C660" s="6">
        <f t="shared" si="10"/>
        <v>28608396.6897</v>
      </c>
      <c r="D660" s="6">
        <v>159156.66864700001</v>
      </c>
      <c r="E660" s="2">
        <v>656</v>
      </c>
    </row>
    <row r="661" spans="1:5" x14ac:dyDescent="0.35">
      <c r="A661" s="5">
        <v>1223</v>
      </c>
      <c r="B661" s="6">
        <v>26653037.7258</v>
      </c>
      <c r="C661" s="6">
        <f t="shared" si="10"/>
        <v>28688037.7258</v>
      </c>
      <c r="D661" s="6">
        <v>159461.08498700001</v>
      </c>
      <c r="E661" s="2">
        <v>657</v>
      </c>
    </row>
    <row r="662" spans="1:5" x14ac:dyDescent="0.35">
      <c r="A662" s="5">
        <v>1223.5</v>
      </c>
      <c r="B662" s="6">
        <v>26732851.6098</v>
      </c>
      <c r="C662" s="6">
        <f t="shared" si="10"/>
        <v>28767851.6098</v>
      </c>
      <c r="D662" s="6">
        <v>159773.79995399999</v>
      </c>
      <c r="E662" s="2">
        <v>658</v>
      </c>
    </row>
    <row r="663" spans="1:5" x14ac:dyDescent="0.35">
      <c r="A663" s="5">
        <v>1224</v>
      </c>
      <c r="B663" s="6">
        <v>26812815.841800001</v>
      </c>
      <c r="C663" s="6">
        <f t="shared" si="10"/>
        <v>28847815.841800001</v>
      </c>
      <c r="D663" s="6">
        <v>160079.090975</v>
      </c>
      <c r="E663" s="2">
        <v>659</v>
      </c>
    </row>
    <row r="664" spans="1:5" x14ac:dyDescent="0.35">
      <c r="A664" s="5">
        <v>1224.5</v>
      </c>
      <c r="B664" s="6">
        <v>26892930.1094</v>
      </c>
      <c r="C664" s="6">
        <f t="shared" si="10"/>
        <v>28927930.1094</v>
      </c>
      <c r="D664" s="6">
        <v>160367.378501</v>
      </c>
      <c r="E664" s="2">
        <v>660</v>
      </c>
    </row>
    <row r="665" spans="1:5" x14ac:dyDescent="0.35">
      <c r="A665" s="5">
        <v>1225</v>
      </c>
      <c r="B665" s="6">
        <v>26973186.650800001</v>
      </c>
      <c r="C665" s="6">
        <f t="shared" si="10"/>
        <v>29008186.650800001</v>
      </c>
      <c r="D665" s="6">
        <v>160654.95617699999</v>
      </c>
      <c r="E665" s="2">
        <v>661</v>
      </c>
    </row>
    <row r="666" spans="1:5" x14ac:dyDescent="0.35">
      <c r="A666" s="5">
        <v>1225.5</v>
      </c>
      <c r="B666" s="6">
        <v>27053585.979600001</v>
      </c>
      <c r="C666" s="6">
        <f t="shared" si="10"/>
        <v>29088585.979600001</v>
      </c>
      <c r="D666" s="6">
        <v>160931.24398100001</v>
      </c>
      <c r="E666" s="2">
        <v>662</v>
      </c>
    </row>
    <row r="667" spans="1:5" x14ac:dyDescent="0.35">
      <c r="A667" s="5">
        <v>1226</v>
      </c>
      <c r="B667" s="6">
        <v>27134123.5506</v>
      </c>
      <c r="C667" s="6">
        <f t="shared" si="10"/>
        <v>29169123.5506</v>
      </c>
      <c r="D667" s="6">
        <v>161217.73053</v>
      </c>
      <c r="E667" s="2">
        <v>663</v>
      </c>
    </row>
    <row r="668" spans="1:5" x14ac:dyDescent="0.35">
      <c r="A668" s="5">
        <v>1226.5</v>
      </c>
      <c r="B668" s="6">
        <v>27214787.504500002</v>
      </c>
      <c r="C668" s="6">
        <f t="shared" si="10"/>
        <v>29249787.504500002</v>
      </c>
      <c r="D668" s="6">
        <v>161493.20363</v>
      </c>
      <c r="E668" s="2">
        <v>664</v>
      </c>
    </row>
    <row r="669" spans="1:5" x14ac:dyDescent="0.35">
      <c r="A669" s="5">
        <v>1227</v>
      </c>
      <c r="B669" s="6">
        <v>27295605.9036</v>
      </c>
      <c r="C669" s="6">
        <f t="shared" si="10"/>
        <v>29330605.9036</v>
      </c>
      <c r="D669" s="6">
        <v>161777.41010000001</v>
      </c>
      <c r="E669" s="2">
        <v>665</v>
      </c>
    </row>
    <row r="670" spans="1:5" x14ac:dyDescent="0.35">
      <c r="A670" s="5">
        <v>1227.5</v>
      </c>
      <c r="B670" s="6">
        <v>27376565.713599999</v>
      </c>
      <c r="C670" s="6">
        <f t="shared" si="10"/>
        <v>29411565.713599999</v>
      </c>
      <c r="D670" s="6">
        <v>162052.72404</v>
      </c>
      <c r="E670" s="2">
        <v>666</v>
      </c>
    </row>
    <row r="671" spans="1:5" x14ac:dyDescent="0.35">
      <c r="A671" s="5">
        <v>1228</v>
      </c>
      <c r="B671" s="6">
        <v>27457664.4102</v>
      </c>
      <c r="C671" s="6">
        <f t="shared" si="10"/>
        <v>29492664.4102</v>
      </c>
      <c r="D671" s="6">
        <v>162341.39403900001</v>
      </c>
      <c r="E671" s="2">
        <v>667</v>
      </c>
    </row>
    <row r="672" spans="1:5" x14ac:dyDescent="0.35">
      <c r="A672" s="5">
        <v>1228.5</v>
      </c>
      <c r="B672" s="6">
        <v>27538908.649500001</v>
      </c>
      <c r="C672" s="6">
        <f t="shared" si="10"/>
        <v>29573908.649500001</v>
      </c>
      <c r="D672" s="6">
        <v>162624.46834399999</v>
      </c>
      <c r="E672" s="2">
        <v>668</v>
      </c>
    </row>
    <row r="673" spans="1:5" x14ac:dyDescent="0.35">
      <c r="A673" s="5">
        <v>1229</v>
      </c>
      <c r="B673" s="6">
        <v>27620294.123799998</v>
      </c>
      <c r="C673" s="6">
        <f t="shared" si="10"/>
        <v>29655294.123799998</v>
      </c>
      <c r="D673" s="6">
        <v>162915.78763800001</v>
      </c>
      <c r="E673" s="2">
        <v>669</v>
      </c>
    </row>
    <row r="674" spans="1:5" x14ac:dyDescent="0.35">
      <c r="A674" s="5">
        <v>1229.5</v>
      </c>
      <c r="B674" s="6">
        <v>27701810.300500002</v>
      </c>
      <c r="C674" s="6">
        <f t="shared" si="10"/>
        <v>29736810.300500002</v>
      </c>
      <c r="D674" s="6">
        <v>163204.877389</v>
      </c>
      <c r="E674" s="2">
        <v>670</v>
      </c>
    </row>
    <row r="675" spans="1:5" x14ac:dyDescent="0.35">
      <c r="A675" s="5">
        <v>1230</v>
      </c>
      <c r="B675" s="6">
        <v>27783488.287099998</v>
      </c>
      <c r="C675" s="6">
        <f t="shared" si="10"/>
        <v>29818488.287099998</v>
      </c>
      <c r="D675" s="6">
        <v>163503.986947</v>
      </c>
      <c r="E675" s="2">
        <v>671</v>
      </c>
    </row>
    <row r="676" spans="1:5" x14ac:dyDescent="0.35">
      <c r="A676" s="5">
        <v>1250</v>
      </c>
      <c r="B676" s="6">
        <v>30809525</v>
      </c>
      <c r="C676" s="6">
        <f t="shared" si="10"/>
        <v>32844525</v>
      </c>
      <c r="D676" s="6">
        <v>175800</v>
      </c>
      <c r="E676" s="2">
        <v>672</v>
      </c>
    </row>
    <row r="677" spans="1:5" x14ac:dyDescent="0.35">
      <c r="A677" s="5"/>
      <c r="B677" s="6"/>
      <c r="C677" s="6"/>
      <c r="D677" s="6"/>
      <c r="E677" s="2"/>
    </row>
    <row r="678" spans="1:5" x14ac:dyDescent="0.35">
      <c r="A678" s="5"/>
      <c r="B678" s="6"/>
      <c r="C678" s="6"/>
      <c r="D678" s="6"/>
      <c r="E678" s="2"/>
    </row>
    <row r="679" spans="1:5" x14ac:dyDescent="0.35">
      <c r="A679" s="5"/>
      <c r="B679" s="6"/>
      <c r="C679" s="6"/>
      <c r="D679" s="6"/>
      <c r="E679" s="2"/>
    </row>
    <row r="680" spans="1:5" x14ac:dyDescent="0.35">
      <c r="A680" s="5"/>
      <c r="B680" s="6"/>
      <c r="C680" s="6"/>
      <c r="E680" s="2"/>
    </row>
    <row r="681" spans="1:5" x14ac:dyDescent="0.35">
      <c r="A681" s="5"/>
      <c r="B681" s="6"/>
      <c r="C681" s="6"/>
      <c r="E681" s="2"/>
    </row>
    <row r="682" spans="1:5" x14ac:dyDescent="0.35">
      <c r="A682" s="5"/>
      <c r="B682" s="6"/>
      <c r="C682" s="6"/>
      <c r="E682" s="2"/>
    </row>
    <row r="683" spans="1:5" x14ac:dyDescent="0.35">
      <c r="A683" s="5"/>
      <c r="B683" s="6"/>
      <c r="C683" s="6"/>
      <c r="E683" s="2"/>
    </row>
    <row r="684" spans="1:5" x14ac:dyDescent="0.35">
      <c r="A684" s="5"/>
      <c r="B684" s="6"/>
      <c r="C684" s="6"/>
      <c r="E684" s="2"/>
    </row>
    <row r="685" spans="1:5" x14ac:dyDescent="0.35">
      <c r="A685" s="5"/>
      <c r="B685" s="6"/>
      <c r="C685" s="6"/>
      <c r="E685" s="2"/>
    </row>
    <row r="686" spans="1:5" x14ac:dyDescent="0.35">
      <c r="A686" s="5"/>
      <c r="B686" s="6"/>
      <c r="C686" s="6"/>
      <c r="E686" s="2"/>
    </row>
    <row r="687" spans="1:5" x14ac:dyDescent="0.35">
      <c r="A687" s="5"/>
      <c r="B687" s="6"/>
      <c r="C687" s="6"/>
      <c r="E687" s="2"/>
    </row>
    <row r="688" spans="1:5"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4.5" x14ac:dyDescent="0.35"/>
  <cols>
    <col min="1" max="1" width="41.816406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4" max="14" width="12.26953125" customWidth="1"/>
    <col min="15" max="15" width="13" customWidth="1"/>
    <col min="16" max="16" width="9.81640625" customWidth="1"/>
    <col min="17" max="17" width="10.81640625" customWidth="1"/>
    <col min="18" max="18" width="21.6328125" customWidth="1"/>
  </cols>
  <sheetData>
    <row r="1" spans="1:11" x14ac:dyDescent="0.35">
      <c r="A1" s="1" t="s">
        <v>109</v>
      </c>
      <c r="B1" s="1"/>
    </row>
    <row r="2" spans="1:11" x14ac:dyDescent="0.35">
      <c r="A2" s="1"/>
      <c r="B2" s="1"/>
    </row>
    <row r="3" spans="1:11" ht="16.5" customHeight="1" x14ac:dyDescent="0.35">
      <c r="A3" s="26" t="s">
        <v>51</v>
      </c>
      <c r="B3" s="26"/>
      <c r="C3" s="26"/>
      <c r="D3" s="26"/>
      <c r="E3" s="26"/>
      <c r="F3" s="26"/>
      <c r="G3" s="26"/>
      <c r="H3" s="26"/>
      <c r="I3" s="26"/>
      <c r="J3" s="26"/>
      <c r="K3" s="26"/>
    </row>
    <row r="4" spans="1:11" x14ac:dyDescent="0.35">
      <c r="A4" s="17" t="s">
        <v>39</v>
      </c>
      <c r="B4" s="13" t="s">
        <v>43</v>
      </c>
      <c r="C4" s="1" t="s">
        <v>44</v>
      </c>
    </row>
    <row r="5" spans="1:11" x14ac:dyDescent="0.35">
      <c r="A5" s="27" t="s">
        <v>52</v>
      </c>
      <c r="B5" s="47"/>
      <c r="C5" s="117"/>
      <c r="D5" s="117"/>
      <c r="E5" s="117"/>
      <c r="F5" s="117"/>
      <c r="G5" s="117"/>
      <c r="H5" s="117"/>
    </row>
    <row r="6" spans="1:11" x14ac:dyDescent="0.35">
      <c r="A6" s="16" t="s">
        <v>40</v>
      </c>
      <c r="B6" s="47"/>
      <c r="C6" s="117"/>
      <c r="D6" s="117"/>
      <c r="E6" s="117"/>
      <c r="F6" s="117"/>
      <c r="G6" s="117"/>
      <c r="H6" s="117"/>
    </row>
    <row r="7" spans="1:11" x14ac:dyDescent="0.35">
      <c r="A7" s="16" t="s">
        <v>41</v>
      </c>
      <c r="B7" s="47"/>
      <c r="C7" s="117"/>
      <c r="D7" s="117"/>
      <c r="E7" s="117"/>
      <c r="F7" s="117"/>
      <c r="G7" s="117"/>
      <c r="H7" s="117"/>
    </row>
    <row r="8" spans="1:11" x14ac:dyDescent="0.35">
      <c r="A8" s="16" t="s">
        <v>42</v>
      </c>
      <c r="B8" s="47"/>
      <c r="C8" s="117"/>
      <c r="D8" s="117"/>
      <c r="E8" s="117"/>
      <c r="F8" s="117"/>
      <c r="G8" s="117"/>
      <c r="H8" s="117"/>
    </row>
    <row r="9" spans="1:11" x14ac:dyDescent="0.35">
      <c r="A9" s="16"/>
      <c r="B9" s="2"/>
      <c r="C9"/>
    </row>
    <row r="10" spans="1:11" x14ac:dyDescent="0.35">
      <c r="A10" s="19" t="s">
        <v>46</v>
      </c>
      <c r="B10" s="2"/>
      <c r="C10"/>
    </row>
    <row r="11" spans="1:11" x14ac:dyDescent="0.35">
      <c r="A11" s="20" t="s">
        <v>53</v>
      </c>
    </row>
    <row r="12" spans="1:11" x14ac:dyDescent="0.35">
      <c r="A12" s="22" t="s">
        <v>48</v>
      </c>
      <c r="B12" s="19"/>
    </row>
    <row r="13" spans="1:11" x14ac:dyDescent="0.35">
      <c r="A13" s="21" t="s">
        <v>47</v>
      </c>
    </row>
    <row r="15" spans="1:11" x14ac:dyDescent="0.35">
      <c r="A15" s="1" t="s">
        <v>54</v>
      </c>
      <c r="D15" s="20"/>
    </row>
    <row r="17" spans="1:13" x14ac:dyDescent="0.35">
      <c r="A17" s="1" t="s">
        <v>32</v>
      </c>
      <c r="B17" s="1" t="s">
        <v>111</v>
      </c>
      <c r="C17" s="13" t="s">
        <v>112</v>
      </c>
    </row>
    <row r="18" spans="1:13" x14ac:dyDescent="0.35">
      <c r="A18" t="s">
        <v>110</v>
      </c>
      <c r="B18" s="12">
        <v>5.73</v>
      </c>
      <c r="C18" s="12">
        <v>6</v>
      </c>
      <c r="D18" s="23" t="s">
        <v>141</v>
      </c>
    </row>
    <row r="19" spans="1:13" x14ac:dyDescent="0.35">
      <c r="A19" t="s">
        <v>33</v>
      </c>
      <c r="B19" s="12">
        <v>11</v>
      </c>
      <c r="C19" s="12">
        <v>10.1</v>
      </c>
      <c r="D19" s="11" t="s">
        <v>34</v>
      </c>
    </row>
    <row r="21" spans="1:13" s="1" customFormat="1" x14ac:dyDescent="0.35">
      <c r="A21" s="1" t="s">
        <v>35</v>
      </c>
      <c r="B21" s="1" t="s">
        <v>49</v>
      </c>
      <c r="C21" s="13" t="s">
        <v>5</v>
      </c>
      <c r="D21" s="13" t="s">
        <v>6</v>
      </c>
      <c r="E21" s="13" t="s">
        <v>7</v>
      </c>
      <c r="F21" s="13" t="s">
        <v>8</v>
      </c>
      <c r="G21" s="13" t="s">
        <v>9</v>
      </c>
      <c r="H21" s="13" t="s">
        <v>10</v>
      </c>
      <c r="I21" s="13" t="s">
        <v>11</v>
      </c>
      <c r="J21" s="13" t="s">
        <v>12</v>
      </c>
      <c r="K21" s="13" t="s">
        <v>36</v>
      </c>
      <c r="L21" s="13" t="s">
        <v>37</v>
      </c>
      <c r="M21" s="13" t="s">
        <v>108</v>
      </c>
    </row>
    <row r="22" spans="1:13" x14ac:dyDescent="0.35">
      <c r="A22" s="1" t="s">
        <v>45</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35">
      <c r="A23" s="1" t="s">
        <v>122</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35">
      <c r="A24" s="1" t="s">
        <v>125</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35">
      <c r="A25" t="s">
        <v>117</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35">
      <c r="A26" t="s">
        <v>118</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3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35">
      <c r="A28" s="1" t="s">
        <v>116</v>
      </c>
      <c r="C28"/>
    </row>
    <row r="29" spans="1:13" hidden="1" x14ac:dyDescent="0.35">
      <c r="A29" t="s">
        <v>114</v>
      </c>
      <c r="B29" s="35">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35">
      <c r="A30" t="s">
        <v>115</v>
      </c>
      <c r="B30" s="35">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35">
      <c r="A31" s="1" t="s">
        <v>120</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35">
      <c r="A32" t="s">
        <v>100</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35">
      <c r="A33" t="s">
        <v>101</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35">
      <c r="A34" t="s">
        <v>102</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35">
      <c r="A35" s="1" t="s">
        <v>119</v>
      </c>
      <c r="B35" s="1"/>
      <c r="C35" s="25">
        <f>IF(C22&lt;&gt;"",1.5,"")</f>
        <v>1.5</v>
      </c>
      <c r="D35" s="25">
        <f t="shared" ref="D35:L35" si="6">IF(D22&lt;&gt;"",1.5,"")</f>
        <v>1.5</v>
      </c>
      <c r="E35" s="25">
        <f t="shared" si="6"/>
        <v>1.5</v>
      </c>
      <c r="F35" s="25">
        <f t="shared" si="6"/>
        <v>1.5</v>
      </c>
      <c r="G35" s="25">
        <f t="shared" si="6"/>
        <v>1.5</v>
      </c>
      <c r="H35" s="25">
        <f t="shared" si="6"/>
        <v>1.5</v>
      </c>
      <c r="I35" s="25">
        <f t="shared" si="6"/>
        <v>1.5</v>
      </c>
      <c r="J35" s="25">
        <f t="shared" si="6"/>
        <v>1.5</v>
      </c>
      <c r="K35" s="25">
        <f t="shared" si="6"/>
        <v>1.5</v>
      </c>
      <c r="L35" s="25">
        <f t="shared" si="6"/>
        <v>1.5</v>
      </c>
    </row>
    <row r="36" spans="1:13" x14ac:dyDescent="0.35">
      <c r="A36" s="1" t="s">
        <v>134</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35">
      <c r="A37" t="s">
        <v>0</v>
      </c>
      <c r="B37" s="24"/>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35">
      <c r="A38" t="s">
        <v>1</v>
      </c>
      <c r="B38" s="44">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35">
      <c r="A39" s="1" t="s">
        <v>105</v>
      </c>
      <c r="C39"/>
    </row>
    <row r="40" spans="1:13" x14ac:dyDescent="0.35">
      <c r="A40" s="32" t="s">
        <v>103</v>
      </c>
      <c r="B40" s="1"/>
      <c r="C40" s="25"/>
      <c r="D40" s="25"/>
      <c r="E40" s="25"/>
      <c r="F40" s="25"/>
      <c r="G40" s="25"/>
      <c r="H40" s="25"/>
      <c r="I40" s="25"/>
      <c r="J40" s="25"/>
      <c r="K40" s="25"/>
      <c r="L40" s="25"/>
    </row>
    <row r="41" spans="1:13" x14ac:dyDescent="0.35">
      <c r="A41" s="32" t="s">
        <v>104</v>
      </c>
      <c r="B41" s="1"/>
      <c r="C41" s="31"/>
      <c r="D41" s="31"/>
      <c r="E41" s="31"/>
      <c r="F41" s="31"/>
      <c r="G41" s="31"/>
      <c r="H41" s="31"/>
      <c r="I41" s="31"/>
      <c r="J41" s="31"/>
      <c r="K41" s="31"/>
      <c r="L41" s="31"/>
      <c r="M41" s="33">
        <f>SUM(C41:L41)</f>
        <v>0</v>
      </c>
    </row>
    <row r="42" spans="1:13" hidden="1" x14ac:dyDescent="0.35">
      <c r="A42" s="32" t="s">
        <v>106</v>
      </c>
      <c r="B42" s="1"/>
      <c r="C42" s="25"/>
      <c r="D42" s="25"/>
      <c r="E42" s="25"/>
      <c r="F42" s="25"/>
      <c r="G42" s="25"/>
      <c r="H42" s="25"/>
      <c r="I42" s="25"/>
      <c r="J42" s="25"/>
      <c r="K42" s="25"/>
      <c r="L42" s="25"/>
      <c r="M42" s="34"/>
    </row>
    <row r="43" spans="1:13" hidden="1" x14ac:dyDescent="0.35">
      <c r="A43" s="32" t="s">
        <v>107</v>
      </c>
      <c r="B43" s="1"/>
      <c r="C43" s="31"/>
      <c r="D43" s="31"/>
      <c r="E43" s="31"/>
      <c r="F43" s="31"/>
      <c r="G43" s="31"/>
      <c r="H43" s="31"/>
      <c r="I43" s="31"/>
      <c r="J43" s="31"/>
      <c r="K43" s="31"/>
      <c r="L43" s="31"/>
      <c r="M43" s="33">
        <f>SUM(C43:L43)</f>
        <v>0</v>
      </c>
    </row>
    <row r="44" spans="1:13" x14ac:dyDescent="0.35">
      <c r="A44" s="1" t="s">
        <v>123</v>
      </c>
      <c r="B44" s="1"/>
      <c r="C44"/>
    </row>
    <row r="45" spans="1:13" x14ac:dyDescent="0.3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3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3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35">
      <c r="A48" s="1" t="s">
        <v>135</v>
      </c>
      <c r="B48" s="1"/>
      <c r="C48" s="29"/>
      <c r="D48" s="2"/>
      <c r="E48" s="2"/>
      <c r="F48" s="2"/>
      <c r="G48" s="2"/>
      <c r="H48" s="2"/>
      <c r="I48" s="2"/>
      <c r="J48" s="2"/>
      <c r="K48" s="2"/>
      <c r="L48" s="2"/>
    </row>
    <row r="49" spans="1:18" x14ac:dyDescent="0.35">
      <c r="A49" t="s">
        <v>136</v>
      </c>
      <c r="C49" s="43">
        <f>IF(C45&gt;6.1+4.2,4.2,MAX(C45-6.1,0))</f>
        <v>4.2</v>
      </c>
      <c r="D49" s="43">
        <f t="shared" ref="D49:G49" si="13">IF(D45&gt;6.1+4.2,4.2,MAX(D45-6.1,0))</f>
        <v>4.2</v>
      </c>
      <c r="E49" s="43">
        <f t="shared" si="13"/>
        <v>3.3782273122835065</v>
      </c>
      <c r="F49" s="43">
        <f t="shared" si="13"/>
        <v>2.4112853600768069</v>
      </c>
      <c r="G49" s="43">
        <f t="shared" si="13"/>
        <v>2.4079688711010352</v>
      </c>
      <c r="H49" s="43">
        <v>2</v>
      </c>
      <c r="I49" s="43">
        <v>2</v>
      </c>
      <c r="J49" s="43">
        <v>2</v>
      </c>
      <c r="K49" s="43">
        <v>2</v>
      </c>
      <c r="L49" s="43">
        <v>2</v>
      </c>
      <c r="M49" s="46"/>
      <c r="N49" s="1" t="s">
        <v>128</v>
      </c>
    </row>
    <row r="50" spans="1:18" x14ac:dyDescent="0.35">
      <c r="A50" t="s">
        <v>137</v>
      </c>
      <c r="C50" s="43">
        <f>7.5-IF(C26&lt;$O$51,$P$51,IF(C26&lt;=$O$58,VLOOKUP(C26,$O$51:$P$58,2),0))</f>
        <v>6.867</v>
      </c>
      <c r="D50" s="43">
        <f t="shared" ref="D50:G50" si="14">7.5-IF(D26&lt;$O$51,$P$51,IF(D26&lt;=$O$58,VLOOKUP(D26,$O$51:$P$58,2),0))</f>
        <v>6.867</v>
      </c>
      <c r="E50" s="43">
        <f t="shared" si="14"/>
        <v>6.7829999999999995</v>
      </c>
      <c r="F50" s="43">
        <f t="shared" si="14"/>
        <v>6.7829999999999995</v>
      </c>
      <c r="G50" s="43">
        <f t="shared" si="14"/>
        <v>6.7829999999999995</v>
      </c>
      <c r="H50" s="43">
        <f t="shared" ref="H50:L50" si="15">G50</f>
        <v>6.7829999999999995</v>
      </c>
      <c r="I50" s="43">
        <f t="shared" si="15"/>
        <v>6.7829999999999995</v>
      </c>
      <c r="J50" s="43">
        <f t="shared" si="15"/>
        <v>6.7829999999999995</v>
      </c>
      <c r="K50" s="43">
        <f t="shared" si="15"/>
        <v>6.7829999999999995</v>
      </c>
      <c r="L50" s="43">
        <f t="shared" si="15"/>
        <v>6.7829999999999995</v>
      </c>
      <c r="N50" s="37" t="s">
        <v>129</v>
      </c>
      <c r="O50" s="37" t="s">
        <v>130</v>
      </c>
      <c r="P50" s="38" t="s">
        <v>131</v>
      </c>
      <c r="Q50" s="38" t="s">
        <v>132</v>
      </c>
      <c r="R50" s="37" t="s">
        <v>133</v>
      </c>
    </row>
    <row r="51" spans="1:18" x14ac:dyDescent="0.35">
      <c r="A51" t="s">
        <v>138</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9">
        <v>1025</v>
      </c>
      <c r="O51" s="40">
        <v>5.981122</v>
      </c>
      <c r="P51" s="41">
        <f t="shared" ref="P51:P58" si="17">R51-Q51</f>
        <v>1.2</v>
      </c>
      <c r="Q51" s="42">
        <v>0.125</v>
      </c>
      <c r="R51" s="41">
        <v>1.325</v>
      </c>
    </row>
    <row r="52" spans="1:18" x14ac:dyDescent="0.35">
      <c r="A52" t="s">
        <v>139</v>
      </c>
      <c r="C52" s="25">
        <v>1.5</v>
      </c>
      <c r="D52" s="25">
        <v>1.5</v>
      </c>
      <c r="E52" s="25">
        <v>1.5</v>
      </c>
      <c r="F52" s="25">
        <v>1.5</v>
      </c>
      <c r="G52" s="25">
        <v>1.5</v>
      </c>
      <c r="H52" s="25">
        <v>1.5</v>
      </c>
      <c r="I52" s="25">
        <v>1.5</v>
      </c>
      <c r="J52" s="25">
        <v>1.5</v>
      </c>
      <c r="K52" s="25">
        <v>1.5</v>
      </c>
      <c r="L52" s="25">
        <v>1.5</v>
      </c>
      <c r="N52" s="39">
        <v>1030</v>
      </c>
      <c r="O52" s="40">
        <v>6.305377</v>
      </c>
      <c r="P52" s="41">
        <f t="shared" si="17"/>
        <v>1.117</v>
      </c>
      <c r="Q52" s="42">
        <v>7.0000000000000007E-2</v>
      </c>
      <c r="R52" s="41">
        <v>1.1870000000000001</v>
      </c>
    </row>
    <row r="53" spans="1:18" x14ac:dyDescent="0.35">
      <c r="A53" s="1" t="s">
        <v>140</v>
      </c>
      <c r="B53" s="1"/>
      <c r="D53" s="2"/>
      <c r="E53" s="2"/>
      <c r="F53" s="2"/>
      <c r="G53" s="2"/>
      <c r="H53" s="2"/>
      <c r="I53" s="2"/>
      <c r="J53" s="2"/>
      <c r="K53" s="2"/>
      <c r="L53" s="2"/>
      <c r="N53" s="39">
        <v>1035</v>
      </c>
      <c r="O53" s="40">
        <v>6.6375080000000004</v>
      </c>
      <c r="P53" s="41">
        <f t="shared" si="17"/>
        <v>1.0669999999999999</v>
      </c>
      <c r="Q53" s="42">
        <v>7.0000000000000007E-2</v>
      </c>
      <c r="R53" s="41">
        <v>1.137</v>
      </c>
    </row>
    <row r="54" spans="1:18" x14ac:dyDescent="0.3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9">
        <v>1040</v>
      </c>
      <c r="O54" s="40">
        <v>6.977665</v>
      </c>
      <c r="P54" s="41">
        <f t="shared" si="17"/>
        <v>1.0169999999999999</v>
      </c>
      <c r="Q54" s="42">
        <v>7.0000000000000007E-2</v>
      </c>
      <c r="R54" s="41">
        <v>1.087</v>
      </c>
    </row>
    <row r="55" spans="1:18" x14ac:dyDescent="0.3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9">
        <v>1045</v>
      </c>
      <c r="O55" s="40">
        <v>7.3260519999999998</v>
      </c>
      <c r="P55" s="41">
        <f t="shared" si="17"/>
        <v>0.96699999999999986</v>
      </c>
      <c r="Q55" s="42">
        <v>7.0000000000000007E-2</v>
      </c>
      <c r="R55" s="41">
        <v>1.0369999999999999</v>
      </c>
    </row>
    <row r="56" spans="1:18" x14ac:dyDescent="0.3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9">
        <v>1050</v>
      </c>
      <c r="O56" s="40">
        <v>7.6828779999999997</v>
      </c>
      <c r="P56" s="41">
        <f t="shared" si="17"/>
        <v>0.71700000000000008</v>
      </c>
      <c r="Q56" s="42">
        <v>7.0000000000000007E-2</v>
      </c>
      <c r="R56" s="41">
        <v>0.78700000000000003</v>
      </c>
    </row>
    <row r="57" spans="1:18" x14ac:dyDescent="0.35">
      <c r="A57" s="1" t="s">
        <v>124</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9">
        <v>1075</v>
      </c>
      <c r="O57" s="40">
        <v>9.6009879999900001</v>
      </c>
      <c r="P57" s="41">
        <f t="shared" si="17"/>
        <v>0.63300000000000001</v>
      </c>
      <c r="Q57" s="42">
        <v>0.05</v>
      </c>
      <c r="R57" s="41">
        <v>0.68300000000000005</v>
      </c>
    </row>
    <row r="58" spans="1:18" x14ac:dyDescent="0.35">
      <c r="N58" s="39">
        <v>1090</v>
      </c>
      <c r="O58" s="40">
        <v>10.857008</v>
      </c>
      <c r="P58" s="41">
        <f t="shared" si="17"/>
        <v>0.3</v>
      </c>
      <c r="Q58" s="38"/>
      <c r="R58" s="41">
        <v>0.3</v>
      </c>
    </row>
    <row r="59" spans="1:18" x14ac:dyDescent="0.35">
      <c r="A59" s="1" t="s">
        <v>126</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35">
      <c r="A60" t="s">
        <v>127</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35">
      <c r="D62" s="18"/>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H15"/>
  <sheetViews>
    <sheetView tabSelected="1" zoomScale="150" zoomScaleNormal="150" workbookViewId="0">
      <selection activeCell="C3" sqref="C3"/>
    </sheetView>
  </sheetViews>
  <sheetFormatPr defaultRowHeight="14.5" x14ac:dyDescent="0.35"/>
  <cols>
    <col min="1" max="1" width="8.7265625" style="67"/>
    <col min="2" max="2" width="12.6328125" style="67" customWidth="1"/>
    <col min="3" max="3" width="29.90625" style="66" customWidth="1"/>
    <col min="4" max="4" width="12.453125" style="69" customWidth="1"/>
    <col min="5" max="5" width="15.08984375" style="69" customWidth="1"/>
    <col min="6" max="6" width="10.54296875" style="67" customWidth="1"/>
    <col min="8" max="8" width="32.36328125" customWidth="1"/>
  </cols>
  <sheetData>
    <row r="1" spans="1:8" s="63" customFormat="1" ht="30.5" customHeight="1" x14ac:dyDescent="0.35">
      <c r="A1" s="64" t="s">
        <v>193</v>
      </c>
      <c r="B1" s="64" t="s">
        <v>172</v>
      </c>
      <c r="C1" s="65" t="s">
        <v>173</v>
      </c>
      <c r="D1" s="64" t="s">
        <v>175</v>
      </c>
      <c r="E1" s="64" t="s">
        <v>174</v>
      </c>
      <c r="F1" s="64" t="s">
        <v>176</v>
      </c>
      <c r="H1" s="63" t="s">
        <v>269</v>
      </c>
    </row>
    <row r="2" spans="1:8" x14ac:dyDescent="0.35">
      <c r="H2" t="s">
        <v>270</v>
      </c>
    </row>
    <row r="3" spans="1:8" ht="58" x14ac:dyDescent="0.35">
      <c r="A3" s="67" t="s">
        <v>265</v>
      </c>
      <c r="B3" s="68">
        <v>44385</v>
      </c>
      <c r="C3" s="66" t="s">
        <v>266</v>
      </c>
      <c r="D3" s="69" t="s">
        <v>165</v>
      </c>
      <c r="E3" s="69" t="s">
        <v>165</v>
      </c>
      <c r="F3" s="68">
        <f>B3</f>
        <v>44385</v>
      </c>
    </row>
    <row r="4" spans="1:8" ht="29" x14ac:dyDescent="0.35">
      <c r="A4" s="67" t="s">
        <v>243</v>
      </c>
      <c r="B4" s="68">
        <v>44384</v>
      </c>
      <c r="C4" s="66" t="s">
        <v>267</v>
      </c>
      <c r="D4" s="69" t="s">
        <v>165</v>
      </c>
      <c r="E4" s="69" t="s">
        <v>165</v>
      </c>
      <c r="F4" s="68">
        <v>44384</v>
      </c>
    </row>
    <row r="5" spans="1:8" ht="43.5" x14ac:dyDescent="0.35">
      <c r="A5" s="67" t="s">
        <v>221</v>
      </c>
      <c r="B5" s="68">
        <v>44384</v>
      </c>
      <c r="C5" s="66" t="s">
        <v>268</v>
      </c>
      <c r="D5" s="69" t="s">
        <v>165</v>
      </c>
      <c r="E5" s="69" t="s">
        <v>165</v>
      </c>
      <c r="F5" s="68">
        <v>44384</v>
      </c>
    </row>
    <row r="6" spans="1:8" ht="43.5" x14ac:dyDescent="0.35">
      <c r="A6" s="67" t="s">
        <v>209</v>
      </c>
      <c r="B6" s="68">
        <v>44378</v>
      </c>
      <c r="C6" s="66" t="s">
        <v>210</v>
      </c>
      <c r="D6" s="69" t="s">
        <v>165</v>
      </c>
      <c r="E6" s="69" t="s">
        <v>165</v>
      </c>
      <c r="F6" s="68">
        <v>44378</v>
      </c>
    </row>
    <row r="7" spans="1:8" x14ac:dyDescent="0.35">
      <c r="A7" s="67" t="s">
        <v>207</v>
      </c>
      <c r="B7" s="68">
        <v>44377</v>
      </c>
      <c r="C7" s="66" t="s">
        <v>211</v>
      </c>
      <c r="D7" s="69" t="s">
        <v>165</v>
      </c>
      <c r="E7" s="69" t="s">
        <v>165</v>
      </c>
      <c r="F7" s="68">
        <v>44377</v>
      </c>
    </row>
    <row r="8" spans="1:8" ht="72.5" x14ac:dyDescent="0.35">
      <c r="A8" s="67" t="s">
        <v>205</v>
      </c>
      <c r="B8" s="68">
        <v>44377</v>
      </c>
      <c r="C8" s="66" t="s">
        <v>206</v>
      </c>
      <c r="D8" s="69" t="s">
        <v>165</v>
      </c>
      <c r="E8" s="69" t="s">
        <v>177</v>
      </c>
      <c r="F8" s="68">
        <v>44372</v>
      </c>
    </row>
    <row r="9" spans="1:8" ht="43.5" x14ac:dyDescent="0.35">
      <c r="A9" s="67">
        <v>3.3</v>
      </c>
      <c r="B9" s="68">
        <v>44377</v>
      </c>
      <c r="C9" s="66" t="s">
        <v>195</v>
      </c>
      <c r="D9" s="69" t="s">
        <v>165</v>
      </c>
      <c r="E9" s="69" t="s">
        <v>177</v>
      </c>
      <c r="F9" s="68">
        <v>44372</v>
      </c>
    </row>
    <row r="10" spans="1:8" ht="29" x14ac:dyDescent="0.35">
      <c r="A10" s="67" t="s">
        <v>194</v>
      </c>
      <c r="B10" s="68">
        <v>44377</v>
      </c>
      <c r="C10" s="66" t="s">
        <v>178</v>
      </c>
      <c r="D10" s="69" t="s">
        <v>165</v>
      </c>
      <c r="E10" s="69" t="s">
        <v>165</v>
      </c>
      <c r="F10" s="68">
        <v>44377</v>
      </c>
    </row>
    <row r="11" spans="1:8" ht="116" x14ac:dyDescent="0.35">
      <c r="A11" s="67">
        <v>3.2</v>
      </c>
      <c r="B11" s="68">
        <v>44367</v>
      </c>
      <c r="C11" s="66" t="s">
        <v>186</v>
      </c>
      <c r="D11" s="69" t="s">
        <v>165</v>
      </c>
      <c r="E11" s="69" t="s">
        <v>165</v>
      </c>
      <c r="F11" s="68">
        <v>44367</v>
      </c>
    </row>
    <row r="12" spans="1:8" ht="29" x14ac:dyDescent="0.35">
      <c r="A12" s="67">
        <v>3.1</v>
      </c>
      <c r="B12" s="68">
        <v>44331</v>
      </c>
      <c r="C12" s="66" t="s">
        <v>185</v>
      </c>
      <c r="D12" s="69" t="s">
        <v>165</v>
      </c>
      <c r="E12" s="69" t="s">
        <v>165</v>
      </c>
      <c r="F12" s="68">
        <v>44331</v>
      </c>
    </row>
    <row r="13" spans="1:8" ht="72.5" x14ac:dyDescent="0.35">
      <c r="A13" s="67">
        <v>3</v>
      </c>
      <c r="B13" s="68">
        <v>44319</v>
      </c>
      <c r="C13" s="66" t="s">
        <v>184</v>
      </c>
      <c r="D13" s="69" t="s">
        <v>165</v>
      </c>
      <c r="E13" s="69" t="s">
        <v>179</v>
      </c>
      <c r="F13" s="68">
        <v>44315</v>
      </c>
    </row>
    <row r="14" spans="1:8" ht="29" x14ac:dyDescent="0.35">
      <c r="A14" s="67">
        <v>2</v>
      </c>
      <c r="B14" s="68">
        <v>44307</v>
      </c>
      <c r="C14" s="66" t="s">
        <v>181</v>
      </c>
      <c r="D14" s="69" t="s">
        <v>165</v>
      </c>
      <c r="E14" s="69" t="s">
        <v>180</v>
      </c>
      <c r="F14" s="68">
        <v>44294</v>
      </c>
    </row>
    <row r="15" spans="1:8" ht="29" x14ac:dyDescent="0.35">
      <c r="A15" s="72">
        <v>1</v>
      </c>
      <c r="B15" s="68">
        <v>44291</v>
      </c>
      <c r="C15" s="66" t="s">
        <v>183</v>
      </c>
      <c r="D15" s="69" t="s">
        <v>165</v>
      </c>
      <c r="E15" s="69" t="s">
        <v>182</v>
      </c>
      <c r="F15" s="68">
        <v>44291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A4FD-0126-45E3-A4A0-101CA6AD42E3}">
  <dimension ref="A1:Z136"/>
  <sheetViews>
    <sheetView topLeftCell="A26" zoomScale="150" zoomScaleNormal="150" workbookViewId="0">
      <selection activeCell="H26" sqref="H1:L1048576"/>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10" t="s">
        <v>161</v>
      </c>
      <c r="B3" s="110"/>
      <c r="C3" s="110"/>
      <c r="D3" s="110"/>
      <c r="E3" s="110"/>
      <c r="F3" s="110"/>
      <c r="G3" s="110"/>
      <c r="H3" s="87"/>
      <c r="I3" s="87"/>
      <c r="J3" s="87"/>
      <c r="K3" s="87"/>
    </row>
    <row r="4" spans="1:11" x14ac:dyDescent="0.35">
      <c r="A4" s="60" t="s">
        <v>39</v>
      </c>
      <c r="B4" s="60" t="s">
        <v>43</v>
      </c>
      <c r="C4" s="111" t="s">
        <v>44</v>
      </c>
      <c r="D4" s="112"/>
      <c r="E4" s="112"/>
      <c r="F4" s="112"/>
      <c r="G4" s="113"/>
    </row>
    <row r="5" spans="1:11" x14ac:dyDescent="0.35">
      <c r="A5" s="88" t="s">
        <v>52</v>
      </c>
      <c r="B5" s="88"/>
      <c r="C5" s="114"/>
      <c r="D5" s="114"/>
      <c r="E5" s="114"/>
      <c r="F5" s="114"/>
      <c r="G5" s="114"/>
    </row>
    <row r="6" spans="1:11" x14ac:dyDescent="0.35">
      <c r="A6" s="86" t="s">
        <v>40</v>
      </c>
      <c r="B6" s="86"/>
      <c r="C6" s="108"/>
      <c r="D6" s="108"/>
      <c r="E6" s="108"/>
      <c r="F6" s="108"/>
      <c r="G6" s="108"/>
    </row>
    <row r="7" spans="1:11" x14ac:dyDescent="0.35">
      <c r="A7" s="86" t="s">
        <v>41</v>
      </c>
      <c r="B7" s="86"/>
      <c r="C7" s="108"/>
      <c r="D7" s="108"/>
      <c r="E7" s="108"/>
      <c r="F7" s="108"/>
      <c r="G7" s="108"/>
    </row>
    <row r="8" spans="1:11" x14ac:dyDescent="0.35">
      <c r="A8" s="86" t="s">
        <v>42</v>
      </c>
      <c r="B8" s="86"/>
      <c r="C8" s="108"/>
      <c r="D8" s="108"/>
      <c r="E8" s="108"/>
      <c r="F8" s="108"/>
      <c r="G8" s="108"/>
    </row>
    <row r="9" spans="1:11" x14ac:dyDescent="0.35">
      <c r="A9" s="86" t="s">
        <v>157</v>
      </c>
      <c r="B9" s="86"/>
      <c r="C9" s="108"/>
      <c r="D9" s="108"/>
      <c r="E9" s="108"/>
      <c r="F9" s="108"/>
      <c r="G9" s="108"/>
    </row>
    <row r="10" spans="1:11" x14ac:dyDescent="0.35">
      <c r="A10" s="86" t="s">
        <v>170</v>
      </c>
      <c r="B10" s="86"/>
      <c r="C10" s="109"/>
      <c r="D10" s="109"/>
      <c r="E10" s="109"/>
      <c r="F10" s="109"/>
      <c r="G10" s="109"/>
    </row>
    <row r="11" spans="1:11" x14ac:dyDescent="0.35">
      <c r="A11" s="86"/>
      <c r="B11" s="86"/>
      <c r="C11" s="109"/>
      <c r="D11" s="109"/>
      <c r="E11" s="109"/>
      <c r="F11" s="109"/>
      <c r="G11" s="109"/>
    </row>
    <row r="12" spans="1:11" x14ac:dyDescent="0.35">
      <c r="A12" s="16"/>
      <c r="B12" s="2"/>
      <c r="C12"/>
    </row>
    <row r="13" spans="1:11" x14ac:dyDescent="0.35">
      <c r="A13" s="19" t="s">
        <v>46</v>
      </c>
      <c r="B13" s="2"/>
      <c r="C13"/>
    </row>
    <row r="14" spans="1:11" x14ac:dyDescent="0.35">
      <c r="A14" s="20" t="s">
        <v>220</v>
      </c>
    </row>
    <row r="15" spans="1:11" x14ac:dyDescent="0.35">
      <c r="A15" s="22" t="s">
        <v>201</v>
      </c>
      <c r="B15" s="19"/>
    </row>
    <row r="16" spans="1:11" x14ac:dyDescent="0.35">
      <c r="A16" s="21" t="s">
        <v>47</v>
      </c>
    </row>
    <row r="18" spans="1:14" x14ac:dyDescent="0.35">
      <c r="A18" s="1" t="s">
        <v>54</v>
      </c>
      <c r="D18" s="20" t="s">
        <v>166</v>
      </c>
    </row>
    <row r="20" spans="1:14" x14ac:dyDescent="0.35">
      <c r="A20" s="1" t="s">
        <v>32</v>
      </c>
      <c r="B20" s="1" t="s">
        <v>111</v>
      </c>
      <c r="C20" s="13" t="s">
        <v>112</v>
      </c>
    </row>
    <row r="21" spans="1:14" x14ac:dyDescent="0.35">
      <c r="A21" t="s">
        <v>110</v>
      </c>
      <c r="B21" s="12">
        <v>5.73</v>
      </c>
      <c r="C21" s="12">
        <v>6</v>
      </c>
      <c r="D21" s="23" t="s">
        <v>113</v>
      </c>
    </row>
    <row r="22" spans="1:14" x14ac:dyDescent="0.35">
      <c r="A22" t="s">
        <v>144</v>
      </c>
      <c r="B22" s="12">
        <v>11</v>
      </c>
      <c r="C22" s="12">
        <v>10.1</v>
      </c>
      <c r="D22" s="11" t="s">
        <v>34</v>
      </c>
    </row>
    <row r="23" spans="1:14" x14ac:dyDescent="0.35">
      <c r="A23" t="s">
        <v>208</v>
      </c>
      <c r="B23" s="71">
        <v>3525</v>
      </c>
      <c r="C23" s="71">
        <v>1020</v>
      </c>
      <c r="D23" s="11"/>
    </row>
    <row r="24" spans="1:14" x14ac:dyDescent="0.35">
      <c r="A24" t="s">
        <v>190</v>
      </c>
      <c r="B24" s="12">
        <f>VLOOKUP(B23,'Powell-Elevation-Area'!$A$5:$B$689,2)/1000000</f>
        <v>5.9265762500000001</v>
      </c>
      <c r="C24" s="12">
        <f>VLOOKUP(C23,'Mead-Elevation-Area'!$A$5:$B$689,2)/1000000</f>
        <v>5.664593</v>
      </c>
      <c r="D24" s="11"/>
      <c r="E24" s="46"/>
    </row>
    <row r="26" spans="1:14" s="1" customFormat="1" x14ac:dyDescent="0.35">
      <c r="A26" s="56" t="s">
        <v>35</v>
      </c>
      <c r="B26" s="56" t="s">
        <v>49</v>
      </c>
      <c r="C26" s="57" t="s">
        <v>5</v>
      </c>
      <c r="D26" s="57" t="s">
        <v>6</v>
      </c>
      <c r="E26" s="57" t="s">
        <v>7</v>
      </c>
      <c r="F26" s="57" t="s">
        <v>8</v>
      </c>
      <c r="G26" s="57" t="s">
        <v>9</v>
      </c>
      <c r="H26" s="57" t="s">
        <v>10</v>
      </c>
      <c r="I26" s="57" t="s">
        <v>11</v>
      </c>
      <c r="J26" s="57" t="s">
        <v>12</v>
      </c>
      <c r="K26" s="57" t="s">
        <v>36</v>
      </c>
      <c r="L26" s="57" t="s">
        <v>37</v>
      </c>
      <c r="M26" s="57" t="s">
        <v>108</v>
      </c>
      <c r="N26" s="57" t="s">
        <v>187</v>
      </c>
    </row>
    <row r="27" spans="1:14" x14ac:dyDescent="0.35">
      <c r="A27" s="1" t="s">
        <v>45</v>
      </c>
      <c r="B27" s="1"/>
      <c r="C27" s="45"/>
      <c r="D27" s="45"/>
      <c r="E27" s="45"/>
      <c r="F27" s="45"/>
      <c r="G27" s="45"/>
      <c r="H27" s="45"/>
      <c r="I27" s="45"/>
      <c r="J27" s="45"/>
      <c r="K27" s="45"/>
      <c r="L27" s="45"/>
    </row>
    <row r="28" spans="1:14" x14ac:dyDescent="0.35">
      <c r="A28" s="1" t="s">
        <v>122</v>
      </c>
      <c r="B28" s="1"/>
      <c r="C28" s="12" t="str">
        <f>IF(C$27&lt;&gt;"",0.8,"")</f>
        <v/>
      </c>
      <c r="D28" s="12" t="str">
        <f t="shared" ref="D28:L28" si="0">IF(D$27&lt;&gt;"",0.8,"")</f>
        <v/>
      </c>
      <c r="E28" s="12" t="str">
        <f t="shared" si="0"/>
        <v/>
      </c>
      <c r="F28" s="12" t="str">
        <f t="shared" si="0"/>
        <v/>
      </c>
      <c r="G28" s="12" t="str">
        <f t="shared" si="0"/>
        <v/>
      </c>
      <c r="H28" s="12" t="str">
        <f t="shared" si="0"/>
        <v/>
      </c>
      <c r="I28" s="12" t="str">
        <f t="shared" si="0"/>
        <v/>
      </c>
      <c r="J28" s="12" t="str">
        <f t="shared" si="0"/>
        <v/>
      </c>
      <c r="K28" s="12" t="str">
        <f t="shared" si="0"/>
        <v/>
      </c>
      <c r="L28" s="12" t="str">
        <f t="shared" si="0"/>
        <v/>
      </c>
    </row>
    <row r="29" spans="1:14" x14ac:dyDescent="0.35">
      <c r="A29" s="1" t="s">
        <v>125</v>
      </c>
      <c r="B29" s="14">
        <f>SUM(B30:B35)-SUM(B22:C22)</f>
        <v>0</v>
      </c>
      <c r="C29" s="14" t="str">
        <f>IF(C$27&lt;&gt;"",SUM(B22:C22),"")</f>
        <v/>
      </c>
      <c r="D29" s="14" t="str">
        <f>IF(D$27&lt;&gt;"",C127,"")</f>
        <v/>
      </c>
      <c r="E29" s="14" t="str">
        <f t="shared" ref="E29:L29" si="1">IF(E$27&lt;&gt;"",D127,"")</f>
        <v/>
      </c>
      <c r="F29" s="14" t="str">
        <f t="shared" si="1"/>
        <v/>
      </c>
      <c r="G29" s="14" t="str">
        <f t="shared" si="1"/>
        <v/>
      </c>
      <c r="H29" s="14" t="str">
        <f t="shared" si="1"/>
        <v/>
      </c>
      <c r="I29" s="14" t="str">
        <f t="shared" si="1"/>
        <v/>
      </c>
      <c r="J29" s="14" t="str">
        <f t="shared" si="1"/>
        <v/>
      </c>
      <c r="K29" s="14" t="str">
        <f t="shared" si="1"/>
        <v/>
      </c>
      <c r="L29" s="14" t="str">
        <f t="shared" si="1"/>
        <v/>
      </c>
    </row>
    <row r="30" spans="1:14" x14ac:dyDescent="0.35">
      <c r="A30" t="str">
        <f t="shared" ref="A30:A35" si="2">IF(A6="","","    "&amp;A6&amp;" Balance")</f>
        <v xml:space="preserve">    Upper Basin Balance</v>
      </c>
      <c r="B30" s="54">
        <f>B22-B24</f>
        <v>5.0734237499999999</v>
      </c>
      <c r="C30" s="14" t="str">
        <f>IF(OR(C$27="",$A30=""),"",B30)</f>
        <v/>
      </c>
      <c r="D30" s="14" t="str">
        <f>IF(OR(D$27="",$A30=""),"",C121)</f>
        <v/>
      </c>
      <c r="E30" s="14" t="str">
        <f t="shared" ref="E30:L30" si="3">IF(OR(E$27="",$A30=""),"",D121)</f>
        <v/>
      </c>
      <c r="F30" s="14" t="str">
        <f t="shared" si="3"/>
        <v/>
      </c>
      <c r="G30" s="14" t="str">
        <f t="shared" si="3"/>
        <v/>
      </c>
      <c r="H30" s="14" t="str">
        <f t="shared" si="3"/>
        <v/>
      </c>
      <c r="I30" s="14" t="str">
        <f t="shared" si="3"/>
        <v/>
      </c>
      <c r="J30" s="14" t="str">
        <f t="shared" si="3"/>
        <v/>
      </c>
      <c r="K30" s="14" t="str">
        <f t="shared" si="3"/>
        <v/>
      </c>
      <c r="L30" s="14" t="str">
        <f t="shared" si="3"/>
        <v/>
      </c>
      <c r="N30" t="s">
        <v>192</v>
      </c>
    </row>
    <row r="31" spans="1:14" x14ac:dyDescent="0.35">
      <c r="A31" t="str">
        <f t="shared" si="2"/>
        <v xml:space="preserve">    Lower Basin Balance</v>
      </c>
      <c r="B31" s="54">
        <f>C22-C24-B32</f>
        <v>4.2614069999999993</v>
      </c>
      <c r="C31" s="14" t="str">
        <f t="shared" ref="C31:C35" si="4">IF(OR(C$27="",$A31=""),"",B31)</f>
        <v/>
      </c>
      <c r="D31" s="14" t="str">
        <f t="shared" ref="D31:L35" si="5">IF(OR(D$27="",$A31=""),"",C122)</f>
        <v/>
      </c>
      <c r="E31" s="14" t="str">
        <f t="shared" si="5"/>
        <v/>
      </c>
      <c r="F31" s="14" t="str">
        <f t="shared" si="5"/>
        <v/>
      </c>
      <c r="G31" s="14" t="str">
        <f t="shared" si="5"/>
        <v/>
      </c>
      <c r="H31" s="14" t="str">
        <f t="shared" si="5"/>
        <v/>
      </c>
      <c r="I31" s="14" t="str">
        <f t="shared" si="5"/>
        <v/>
      </c>
      <c r="J31" s="14" t="str">
        <f t="shared" si="5"/>
        <v/>
      </c>
      <c r="K31" s="14" t="str">
        <f t="shared" si="5"/>
        <v/>
      </c>
      <c r="L31" s="14" t="str">
        <f t="shared" si="5"/>
        <v/>
      </c>
      <c r="N31" t="s">
        <v>189</v>
      </c>
    </row>
    <row r="32" spans="1:14" x14ac:dyDescent="0.35">
      <c r="A32" t="str">
        <f t="shared" si="2"/>
        <v xml:space="preserve">    Mexico Balance</v>
      </c>
      <c r="B32" s="70">
        <v>0.17399999999999999</v>
      </c>
      <c r="C32" s="58" t="str">
        <f t="shared" si="4"/>
        <v/>
      </c>
      <c r="D32" s="58" t="str">
        <f t="shared" si="5"/>
        <v/>
      </c>
      <c r="E32" s="58" t="str">
        <f t="shared" si="5"/>
        <v/>
      </c>
      <c r="F32" s="58" t="str">
        <f t="shared" si="5"/>
        <v/>
      </c>
      <c r="G32" s="58" t="str">
        <f t="shared" si="5"/>
        <v/>
      </c>
      <c r="H32" s="14" t="str">
        <f t="shared" si="5"/>
        <v/>
      </c>
      <c r="I32" s="14" t="str">
        <f t="shared" si="5"/>
        <v/>
      </c>
      <c r="J32" s="14" t="str">
        <f t="shared" si="5"/>
        <v/>
      </c>
      <c r="K32" s="14" t="str">
        <f t="shared" si="5"/>
        <v/>
      </c>
      <c r="L32" s="14" t="str">
        <f t="shared" si="5"/>
        <v/>
      </c>
      <c r="N32" t="s">
        <v>188</v>
      </c>
    </row>
    <row r="33" spans="1:14" x14ac:dyDescent="0.35">
      <c r="A33" t="str">
        <f t="shared" si="2"/>
        <v xml:space="preserve">    Mohave &amp; Havasu Evap &amp; ET Balance</v>
      </c>
      <c r="B33" s="55">
        <v>0</v>
      </c>
      <c r="C33" s="14" t="str">
        <f t="shared" si="4"/>
        <v/>
      </c>
      <c r="D33" s="14" t="str">
        <f t="shared" si="5"/>
        <v/>
      </c>
      <c r="E33" s="14" t="str">
        <f t="shared" si="5"/>
        <v/>
      </c>
      <c r="F33" s="14" t="str">
        <f t="shared" si="5"/>
        <v/>
      </c>
      <c r="G33" s="14" t="str">
        <f t="shared" si="5"/>
        <v/>
      </c>
      <c r="H33" s="14" t="str">
        <f t="shared" si="5"/>
        <v/>
      </c>
      <c r="I33" s="14" t="str">
        <f t="shared" si="5"/>
        <v/>
      </c>
      <c r="J33" s="14" t="str">
        <f t="shared" si="5"/>
        <v/>
      </c>
      <c r="K33" s="14" t="str">
        <f t="shared" si="5"/>
        <v/>
      </c>
      <c r="L33" s="14" t="str">
        <f t="shared" si="5"/>
        <v/>
      </c>
    </row>
    <row r="34" spans="1:14" x14ac:dyDescent="0.35">
      <c r="A34" t="str">
        <f t="shared" si="2"/>
        <v xml:space="preserve">    Shared, Reserve Balance</v>
      </c>
      <c r="B34" s="54">
        <f>SUM(B24:C24)</f>
        <v>11.59116925</v>
      </c>
      <c r="C34" s="14" t="str">
        <f t="shared" si="4"/>
        <v/>
      </c>
      <c r="D34" s="14" t="str">
        <f t="shared" si="5"/>
        <v/>
      </c>
      <c r="E34" s="14" t="str">
        <f t="shared" si="5"/>
        <v/>
      </c>
      <c r="F34" s="14" t="str">
        <f t="shared" si="5"/>
        <v/>
      </c>
      <c r="G34" s="14" t="str">
        <f t="shared" si="5"/>
        <v/>
      </c>
      <c r="H34" s="14" t="str">
        <f t="shared" si="5"/>
        <v/>
      </c>
      <c r="I34" s="14" t="str">
        <f t="shared" si="5"/>
        <v/>
      </c>
      <c r="J34" s="14" t="str">
        <f t="shared" si="5"/>
        <v/>
      </c>
      <c r="K34" s="14" t="str">
        <f t="shared" si="5"/>
        <v/>
      </c>
      <c r="L34" s="14" t="str">
        <f t="shared" si="5"/>
        <v/>
      </c>
      <c r="N34" t="s">
        <v>191</v>
      </c>
    </row>
    <row r="35" spans="1:14" x14ac:dyDescent="0.35">
      <c r="A35" t="str">
        <f t="shared" si="2"/>
        <v/>
      </c>
      <c r="B35" s="55"/>
      <c r="C35" s="14" t="str">
        <f t="shared" si="4"/>
        <v/>
      </c>
      <c r="D35" s="14" t="str">
        <f t="shared" si="5"/>
        <v/>
      </c>
      <c r="E35" s="14" t="str">
        <f t="shared" si="5"/>
        <v/>
      </c>
      <c r="F35" s="14" t="str">
        <f t="shared" si="5"/>
        <v/>
      </c>
      <c r="G35" s="14" t="str">
        <f t="shared" si="5"/>
        <v/>
      </c>
      <c r="H35" s="14" t="str">
        <f t="shared" si="5"/>
        <v/>
      </c>
      <c r="I35" s="14" t="str">
        <f t="shared" si="5"/>
        <v/>
      </c>
      <c r="J35" s="14" t="str">
        <f t="shared" si="5"/>
        <v/>
      </c>
      <c r="K35" s="14" t="str">
        <f t="shared" si="5"/>
        <v/>
      </c>
      <c r="L35" s="14" t="str">
        <f t="shared" si="5"/>
        <v/>
      </c>
    </row>
    <row r="36" spans="1:14" x14ac:dyDescent="0.35">
      <c r="A36" s="1" t="s">
        <v>218</v>
      </c>
      <c r="C36"/>
    </row>
    <row r="37" spans="1:14" x14ac:dyDescent="0.35">
      <c r="A37" t="s">
        <v>114</v>
      </c>
      <c r="C37" s="14" t="str">
        <f>IF(C$27&lt;&gt;"",B22,"")</f>
        <v/>
      </c>
      <c r="D37" s="14" t="str">
        <f>IF(D$27&lt;&gt;"",C129,"")</f>
        <v/>
      </c>
      <c r="E37" s="14" t="str">
        <f t="shared" ref="E37:G38" si="6">IF(E$27&lt;&gt;"",D129,"")</f>
        <v/>
      </c>
      <c r="F37" s="14" t="str">
        <f t="shared" si="6"/>
        <v/>
      </c>
      <c r="G37" s="14" t="str">
        <f t="shared" si="6"/>
        <v/>
      </c>
      <c r="H37" s="14" t="str">
        <f t="shared" ref="H37:H38" si="7">IF(H$27&lt;&gt;"",G129,"")</f>
        <v/>
      </c>
      <c r="I37" s="14" t="str">
        <f t="shared" ref="I37:I38" si="8">IF(I$27&lt;&gt;"",H129,"")</f>
        <v/>
      </c>
      <c r="J37" s="14" t="str">
        <f t="shared" ref="J37:J38" si="9">IF(J$27&lt;&gt;"",I129,"")</f>
        <v/>
      </c>
      <c r="K37" s="14" t="str">
        <f t="shared" ref="K37:K38" si="10">IF(K$27&lt;&gt;"",J129,"")</f>
        <v/>
      </c>
      <c r="L37" s="14" t="str">
        <f t="shared" ref="L37:L38" si="11">IF(L$27&lt;&gt;"",K129,"")</f>
        <v/>
      </c>
    </row>
    <row r="38" spans="1:14" x14ac:dyDescent="0.35">
      <c r="A38" t="s">
        <v>115</v>
      </c>
      <c r="C38" s="14" t="str">
        <f>IF(C$27&lt;&gt;"",C22,"")</f>
        <v/>
      </c>
      <c r="D38" s="14" t="str">
        <f>IF(D$27&lt;&gt;"",C130,"")</f>
        <v/>
      </c>
      <c r="E38" s="14" t="str">
        <f t="shared" si="6"/>
        <v/>
      </c>
      <c r="F38" s="14" t="str">
        <f t="shared" si="6"/>
        <v/>
      </c>
      <c r="G38" s="14" t="str">
        <f t="shared" si="6"/>
        <v/>
      </c>
      <c r="H38" s="14" t="str">
        <f t="shared" si="7"/>
        <v/>
      </c>
      <c r="I38" s="14" t="str">
        <f t="shared" si="8"/>
        <v/>
      </c>
      <c r="J38" s="14" t="str">
        <f t="shared" si="9"/>
        <v/>
      </c>
      <c r="K38" s="14" t="str">
        <f t="shared" si="10"/>
        <v/>
      </c>
      <c r="L38" s="14" t="str">
        <f t="shared" si="11"/>
        <v/>
      </c>
    </row>
    <row r="39" spans="1:14" x14ac:dyDescent="0.35">
      <c r="A39" s="1" t="s">
        <v>120</v>
      </c>
      <c r="B39" s="1"/>
      <c r="C39" s="14" t="str">
        <f>IF(C$27&lt;&gt;"",VLOOKUP(C37*1000000,'Powell-Elevation-Area'!$B$5:$D$689,3)*$B$21/1000000 + VLOOKUP(C38*1000000,'Mead-Elevation-Area'!$B$5:$D$676,3)*$C$21/1000000,"")</f>
        <v/>
      </c>
      <c r="D39" s="14" t="str">
        <f>IF(D$27&lt;&gt;"",VLOOKUP(D37*1000000,'Powell-Elevation-Area'!$B$5:$D$689,3)*$B$21/1000000 + VLOOKUP(D38*1000000,'Mead-Elevation-Area'!$B$5:$D$676,3)*$C$21/1000000,"")</f>
        <v/>
      </c>
      <c r="E39" s="14" t="str">
        <f>IF(E$27&lt;&gt;"",VLOOKUP(E37*1000000,'Powell-Elevation-Area'!$B$5:$D$689,3)*$B$21/1000000 + VLOOKUP(E38*1000000,'Mead-Elevation-Area'!$B$5:$D$676,3)*$C$21/1000000,"")</f>
        <v/>
      </c>
      <c r="F39" s="14" t="str">
        <f>IF(F$27&lt;&gt;"",VLOOKUP(F37*1000000,'Powell-Elevation-Area'!$B$5:$D$689,3)*$B$21/1000000 + VLOOKUP(F38*1000000,'Mead-Elevation-Area'!$B$5:$D$676,3)*$C$21/1000000,"")</f>
        <v/>
      </c>
      <c r="G39" s="14" t="str">
        <f>IF(G$27&lt;&gt;"",VLOOKUP(G37*1000000,'Powell-Elevation-Area'!$B$5:$D$689,3)*$B$21/1000000 + VLOOKUP(G38*1000000,'Mead-Elevation-Area'!$B$5:$D$676,3)*$C$21/1000000,"")</f>
        <v/>
      </c>
      <c r="H39" s="14" t="str">
        <f>IF(H$27&lt;&gt;"",VLOOKUP(H37*1000000,'Powell-Elevation-Area'!$B$5:$D$689,3)*$B$21/1000000 + VLOOKUP(H38*1000000,'Mead-Elevation-Area'!$B$5:$D$676,3)*$C$21/1000000,"")</f>
        <v/>
      </c>
      <c r="I39" s="14" t="str">
        <f>IF(I$27&lt;&gt;"",VLOOKUP(I37*1000000,'Powell-Elevation-Area'!$B$5:$D$689,3)*$B$21/1000000 + VLOOKUP(I38*1000000,'Mead-Elevation-Area'!$B$5:$D$676,3)*$C$21/1000000,"")</f>
        <v/>
      </c>
      <c r="J39" s="14" t="str">
        <f>IF(J$27&lt;&gt;"",VLOOKUP(J37*1000000,'Powell-Elevation-Area'!$B$5:$D$689,3)*$B$21/1000000 + VLOOKUP(J38*1000000,'Mead-Elevation-Area'!$B$5:$D$676,3)*$C$21/1000000,"")</f>
        <v/>
      </c>
      <c r="K39" s="14" t="str">
        <f>IF(K$27&lt;&gt;"",VLOOKUP(K37*1000000,'Powell-Elevation-Area'!$B$5:$D$689,3)*$B$21/1000000 + VLOOKUP(K38*1000000,'Mead-Elevation-Area'!$B$5:$D$676,3)*$C$21/1000000,"")</f>
        <v/>
      </c>
      <c r="L39" s="14" t="str">
        <f>IF(L$27&lt;&gt;"",VLOOKUP(L37*1000000,'Powell-Elevation-Area'!$B$5:$D$689,3)*$B$21/1000000 + VLOOKUP(L38*1000000,'Mead-Elevation-Area'!$B$5:$D$676,3)*$C$21/1000000,"")</f>
        <v/>
      </c>
    </row>
    <row r="40" spans="1:14" x14ac:dyDescent="0.35">
      <c r="A40" t="str">
        <f t="shared" ref="A40:A45" si="12">IF(A6="","","    "&amp;A6&amp;" Share")</f>
        <v xml:space="preserve">    Upper Basin Share</v>
      </c>
      <c r="B40" s="1"/>
      <c r="C40" s="14" t="str">
        <f>IF(OR(C$27="",$A40=""),"",C$39*C30/C$29)</f>
        <v/>
      </c>
      <c r="D40" s="14" t="str">
        <f t="shared" ref="D40:L40" si="13">IF(OR(D$27="",$A40=""),"",D$39*D30/D$29)</f>
        <v/>
      </c>
      <c r="E40" s="14" t="str">
        <f t="shared" si="13"/>
        <v/>
      </c>
      <c r="F40" s="14" t="str">
        <f t="shared" si="13"/>
        <v/>
      </c>
      <c r="G40" s="14" t="str">
        <f t="shared" si="13"/>
        <v/>
      </c>
      <c r="H40" s="14" t="str">
        <f t="shared" si="13"/>
        <v/>
      </c>
      <c r="I40" s="14" t="str">
        <f t="shared" si="13"/>
        <v/>
      </c>
      <c r="J40" s="14" t="str">
        <f t="shared" si="13"/>
        <v/>
      </c>
      <c r="K40" s="14" t="str">
        <f t="shared" si="13"/>
        <v/>
      </c>
      <c r="L40" s="14" t="str">
        <f t="shared" si="13"/>
        <v/>
      </c>
    </row>
    <row r="41" spans="1:14" x14ac:dyDescent="0.35">
      <c r="A41" t="str">
        <f t="shared" si="12"/>
        <v xml:space="preserve">    Lower Basin Share</v>
      </c>
      <c r="B41" s="1"/>
      <c r="C41" s="14" t="str">
        <f t="shared" ref="C41:L45" si="14">IF(OR(C$27="",$A41=""),"",C$39*C31/C$29)</f>
        <v/>
      </c>
      <c r="D41" s="14" t="str">
        <f t="shared" si="14"/>
        <v/>
      </c>
      <c r="E41" s="14" t="str">
        <f t="shared" si="14"/>
        <v/>
      </c>
      <c r="F41" s="14" t="str">
        <f t="shared" si="14"/>
        <v/>
      </c>
      <c r="G41" s="14" t="str">
        <f t="shared" si="14"/>
        <v/>
      </c>
      <c r="H41" s="14" t="str">
        <f t="shared" si="14"/>
        <v/>
      </c>
      <c r="I41" s="14" t="str">
        <f t="shared" si="14"/>
        <v/>
      </c>
      <c r="J41" s="14" t="str">
        <f t="shared" si="14"/>
        <v/>
      </c>
      <c r="K41" s="14" t="str">
        <f t="shared" si="14"/>
        <v/>
      </c>
      <c r="L41" s="14" t="str">
        <f t="shared" si="14"/>
        <v/>
      </c>
    </row>
    <row r="42" spans="1:14" x14ac:dyDescent="0.35">
      <c r="A42" t="str">
        <f t="shared" si="12"/>
        <v xml:space="preserve">    Mexico Share</v>
      </c>
      <c r="B42" s="1"/>
      <c r="C42" s="14" t="str">
        <f t="shared" si="14"/>
        <v/>
      </c>
      <c r="D42" s="14" t="str">
        <f t="shared" si="14"/>
        <v/>
      </c>
      <c r="E42" s="14" t="str">
        <f t="shared" si="14"/>
        <v/>
      </c>
      <c r="F42" s="14" t="str">
        <f t="shared" si="14"/>
        <v/>
      </c>
      <c r="G42" s="14" t="str">
        <f t="shared" si="14"/>
        <v/>
      </c>
      <c r="H42" s="14" t="str">
        <f t="shared" si="14"/>
        <v/>
      </c>
      <c r="I42" s="14" t="str">
        <f t="shared" si="14"/>
        <v/>
      </c>
      <c r="J42" s="14" t="str">
        <f t="shared" si="14"/>
        <v/>
      </c>
      <c r="K42" s="14" t="str">
        <f t="shared" si="14"/>
        <v/>
      </c>
      <c r="L42" s="14" t="str">
        <f t="shared" si="14"/>
        <v/>
      </c>
    </row>
    <row r="43" spans="1:14" x14ac:dyDescent="0.35">
      <c r="A43" t="str">
        <f t="shared" si="12"/>
        <v xml:space="preserve">    Mohave &amp; Havasu Evap &amp; ET Share</v>
      </c>
      <c r="B43" s="1"/>
      <c r="C43" s="14" t="str">
        <f t="shared" si="14"/>
        <v/>
      </c>
      <c r="D43" s="14" t="str">
        <f t="shared" si="14"/>
        <v/>
      </c>
      <c r="E43" s="14" t="str">
        <f t="shared" si="14"/>
        <v/>
      </c>
      <c r="F43" s="14" t="str">
        <f t="shared" si="14"/>
        <v/>
      </c>
      <c r="G43" s="14" t="str">
        <f t="shared" si="14"/>
        <v/>
      </c>
      <c r="H43" s="14" t="str">
        <f t="shared" si="14"/>
        <v/>
      </c>
      <c r="I43" s="14" t="str">
        <f t="shared" si="14"/>
        <v/>
      </c>
      <c r="J43" s="14" t="str">
        <f t="shared" si="14"/>
        <v/>
      </c>
      <c r="K43" s="14" t="str">
        <f t="shared" si="14"/>
        <v/>
      </c>
      <c r="L43" s="14" t="str">
        <f t="shared" si="14"/>
        <v/>
      </c>
    </row>
    <row r="44" spans="1:14" x14ac:dyDescent="0.35">
      <c r="A44" t="str">
        <f t="shared" si="12"/>
        <v xml:space="preserve">    Shared, Reserve Share</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2"/>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155</v>
      </c>
      <c r="B46" s="1"/>
      <c r="C46" s="50" t="str">
        <f>IF(C$27&lt;&gt;"",1.5-0.21/9/2-IF(SUM(C31,C32,C34/2)&lt;$T$66,$V$66,IF(C$31&lt;=$T$73,VLOOKUP(SUM(C31,C32,C34/2),$T$66:$V$74,3),0)),"")</f>
        <v/>
      </c>
      <c r="D46" s="50" t="str">
        <f t="shared" ref="D46:L46" si="15">IF(D$27&lt;&gt;"",1.5-0.21/9/2-IF(SUM(D31,D32,D34/2)&lt;$T$66,$V$66,IF(D$31&lt;=$T$73,VLOOKUP(SUM(D31,D32,D34/2),$T$66:$V$74,3),0)),"")</f>
        <v/>
      </c>
      <c r="E46" s="50" t="str">
        <f t="shared" si="15"/>
        <v/>
      </c>
      <c r="F46" s="50" t="str">
        <f t="shared" si="15"/>
        <v/>
      </c>
      <c r="G46" s="50" t="str">
        <f t="shared" si="15"/>
        <v/>
      </c>
      <c r="H46" s="50" t="str">
        <f t="shared" si="15"/>
        <v/>
      </c>
      <c r="I46" s="50" t="str">
        <f t="shared" si="15"/>
        <v/>
      </c>
      <c r="J46" s="50" t="str">
        <f t="shared" si="15"/>
        <v/>
      </c>
      <c r="K46" s="50" t="str">
        <f t="shared" si="15"/>
        <v/>
      </c>
      <c r="L46" s="50" t="str">
        <f t="shared" si="15"/>
        <v/>
      </c>
    </row>
    <row r="47" spans="1:14" x14ac:dyDescent="0.35">
      <c r="A47" s="1" t="s">
        <v>202</v>
      </c>
      <c r="B47" s="1"/>
      <c r="C47" s="53" t="str">
        <f>IF(C27="","",SUM(C27:C28))</f>
        <v/>
      </c>
      <c r="D47" s="53" t="str">
        <f t="shared" ref="D47:L47" si="16">IF(D27="","",SUM(D27:D28))</f>
        <v/>
      </c>
      <c r="E47" s="53" t="str">
        <f t="shared" si="16"/>
        <v/>
      </c>
      <c r="F47" s="53" t="str">
        <f t="shared" si="16"/>
        <v/>
      </c>
      <c r="G47" s="53" t="str">
        <f t="shared" si="16"/>
        <v/>
      </c>
      <c r="H47" s="53" t="str">
        <f t="shared" si="16"/>
        <v/>
      </c>
      <c r="I47" s="53" t="str">
        <f t="shared" si="16"/>
        <v/>
      </c>
      <c r="J47" s="53" t="str">
        <f t="shared" si="16"/>
        <v/>
      </c>
      <c r="K47" s="53" t="str">
        <f t="shared" si="16"/>
        <v/>
      </c>
      <c r="L47" s="53" t="str">
        <f t="shared" si="16"/>
        <v/>
      </c>
      <c r="M47" s="46"/>
      <c r="N47" s="46"/>
    </row>
    <row r="48" spans="1:14" x14ac:dyDescent="0.35">
      <c r="A48" t="str">
        <f>IF(A6="","","    To "&amp;A6)</f>
        <v xml:space="preserve">    To Upper Basin</v>
      </c>
      <c r="B48" s="24" t="s">
        <v>156</v>
      </c>
      <c r="C48" s="14" t="str">
        <f>IF(OR(C$27="",$A48=""),"",IF(C$47&gt;SUM(C49:C53),C$47-SUM(C49:C53),0))</f>
        <v/>
      </c>
      <c r="D48" s="14" t="str">
        <f t="shared" ref="D48:L48" si="17">IF(OR(D$27="",$A48=""),"",IF(D$47&gt;SUM(D49:D53),D$47-SUM(D49:D53),0))</f>
        <v/>
      </c>
      <c r="E48" s="14" t="str">
        <f t="shared" si="17"/>
        <v/>
      </c>
      <c r="F48" s="14" t="str">
        <f t="shared" si="17"/>
        <v/>
      </c>
      <c r="G48" s="14" t="str">
        <f t="shared" si="17"/>
        <v/>
      </c>
      <c r="H48" s="14" t="str">
        <f t="shared" si="17"/>
        <v/>
      </c>
      <c r="I48" s="14" t="str">
        <f t="shared" si="17"/>
        <v/>
      </c>
      <c r="J48" s="14" t="str">
        <f t="shared" si="17"/>
        <v/>
      </c>
      <c r="K48" s="14" t="str">
        <f t="shared" si="17"/>
        <v/>
      </c>
      <c r="L48" s="14" t="str">
        <f t="shared" si="17"/>
        <v/>
      </c>
      <c r="M48" s="29"/>
      <c r="N48" s="29"/>
    </row>
    <row r="49" spans="1:26" x14ac:dyDescent="0.35">
      <c r="A49" t="str">
        <f t="shared" ref="A49:A53" si="18">IF(A7="","","    To "&amp;A7)</f>
        <v xml:space="preserve">    To Lower Basin</v>
      </c>
      <c r="B49" s="44">
        <f>7.5</f>
        <v>7.5</v>
      </c>
      <c r="C49" s="14" t="str">
        <f>IF(OR(C$27="",$A49=""),"",C28-C52/2-C51-C50/2+MIN($B49,C27-C50/2-C52/2))</f>
        <v/>
      </c>
      <c r="D49" s="14" t="str">
        <f t="shared" ref="D49:G49" si="19">IF(OR(D$27="",$A49=""),"",D28-D52/2-D51-D50/2+MIN($B49,D27-D50/2-D52/2))</f>
        <v/>
      </c>
      <c r="E49" s="14" t="str">
        <f t="shared" si="19"/>
        <v/>
      </c>
      <c r="F49" s="14" t="str">
        <f t="shared" si="19"/>
        <v/>
      </c>
      <c r="G49" s="14" t="str">
        <f t="shared" si="19"/>
        <v/>
      </c>
      <c r="H49" s="14" t="str">
        <f>IF(OR(H$27="",$A49=""),"",H28-H52/2-H51-H50/2+MIN($B49,H27-H50/2-H52/2))</f>
        <v/>
      </c>
      <c r="I49" s="14" t="str">
        <f t="shared" ref="I49:L49" si="20">IF(OR(I$27="",$A49=""),"",I28-I52/2-I51-I50/2+MIN($B49,I27-I50/2-I52/2))</f>
        <v/>
      </c>
      <c r="J49" s="14" t="str">
        <f t="shared" si="20"/>
        <v/>
      </c>
      <c r="K49" s="14" t="str">
        <f t="shared" si="20"/>
        <v/>
      </c>
      <c r="L49" s="14" t="str">
        <f t="shared" si="20"/>
        <v/>
      </c>
      <c r="M49" s="29"/>
      <c r="N49" s="29"/>
    </row>
    <row r="50" spans="1:26" x14ac:dyDescent="0.35">
      <c r="A50" t="str">
        <f t="shared" si="18"/>
        <v xml:space="preserve">    To Mexico</v>
      </c>
      <c r="B50" s="44" t="s">
        <v>204</v>
      </c>
      <c r="C50" s="14" t="str">
        <f>IF(OR(C$27="",$A50=""),"",IF(C$47&gt;SUM(C51:C52,C46),C46,C$47-SUM(C51:C52)))</f>
        <v/>
      </c>
      <c r="D50" s="14" t="str">
        <f t="shared" ref="D50:L50" si="21">IF(OR(D$27="",$A50=""),"",IF(D$47&gt;SUM(D51:D52,D46),D46,D$47-SUM(D51:D52)))</f>
        <v/>
      </c>
      <c r="E50" s="14" t="str">
        <f t="shared" si="21"/>
        <v/>
      </c>
      <c r="F50" s="14" t="str">
        <f t="shared" si="21"/>
        <v/>
      </c>
      <c r="G50" s="14" t="str">
        <f t="shared" si="21"/>
        <v/>
      </c>
      <c r="H50" s="14" t="str">
        <f t="shared" si="21"/>
        <v/>
      </c>
      <c r="I50" s="14" t="str">
        <f t="shared" si="21"/>
        <v/>
      </c>
      <c r="J50" s="14" t="str">
        <f t="shared" si="21"/>
        <v/>
      </c>
      <c r="K50" s="14" t="str">
        <f t="shared" si="21"/>
        <v/>
      </c>
      <c r="L50" s="14" t="str">
        <f t="shared" si="21"/>
        <v/>
      </c>
      <c r="M50" s="29"/>
      <c r="N50" s="29"/>
    </row>
    <row r="51" spans="1:26" x14ac:dyDescent="0.35">
      <c r="A51" t="str">
        <f t="shared" si="18"/>
        <v xml:space="preserve">    To Mohave &amp; Havasu Evap &amp; ET</v>
      </c>
      <c r="B51" s="44">
        <v>0.6</v>
      </c>
      <c r="C51" s="14" t="str">
        <f>IF(OR(C$27="",$A51=""),"",IF(C$47&gt;C52+$B$51,$B51,C$47-C52))</f>
        <v/>
      </c>
      <c r="D51" s="14" t="str">
        <f t="shared" ref="D51:L51" si="22">IF(OR(D$27="",$A51=""),"",IF(D$47&gt;D52+$B$51,$B51,D$47-D52))</f>
        <v/>
      </c>
      <c r="E51" s="14" t="str">
        <f t="shared" si="22"/>
        <v/>
      </c>
      <c r="F51" s="14" t="str">
        <f t="shared" si="22"/>
        <v/>
      </c>
      <c r="G51" s="14" t="str">
        <f t="shared" si="22"/>
        <v/>
      </c>
      <c r="H51" s="14" t="str">
        <f t="shared" si="22"/>
        <v/>
      </c>
      <c r="I51" s="14" t="str">
        <f t="shared" si="22"/>
        <v/>
      </c>
      <c r="J51" s="14" t="str">
        <f t="shared" si="22"/>
        <v/>
      </c>
      <c r="K51" s="14" t="str">
        <f t="shared" si="22"/>
        <v/>
      </c>
      <c r="L51" s="14" t="str">
        <f t="shared" si="22"/>
        <v/>
      </c>
      <c r="M51" s="29"/>
      <c r="N51" s="29"/>
    </row>
    <row r="52" spans="1:26" x14ac:dyDescent="0.35">
      <c r="A52" t="str">
        <f t="shared" si="18"/>
        <v xml:space="preserve">    To Shared, Reserve</v>
      </c>
      <c r="B52" s="44" t="s">
        <v>203</v>
      </c>
      <c r="C52" s="14" t="str">
        <f>IF(OR(C$27="",$A52=""),"",IF(C$47&gt;C44,C44,C$47))</f>
        <v/>
      </c>
      <c r="D52" s="14" t="str">
        <f t="shared" ref="D52:L52" si="23">IF(OR(D$27="",$A52=""),"",IF(D$47&gt;D44,D44,D$47))</f>
        <v/>
      </c>
      <c r="E52" s="14" t="str">
        <f t="shared" si="23"/>
        <v/>
      </c>
      <c r="F52" s="14" t="str">
        <f t="shared" si="23"/>
        <v/>
      </c>
      <c r="G52" s="14" t="str">
        <f t="shared" si="23"/>
        <v/>
      </c>
      <c r="H52" s="14" t="str">
        <f t="shared" si="23"/>
        <v/>
      </c>
      <c r="I52" s="14" t="str">
        <f t="shared" si="23"/>
        <v/>
      </c>
      <c r="J52" s="14" t="str">
        <f t="shared" si="23"/>
        <v/>
      </c>
      <c r="K52" s="14" t="str">
        <f t="shared" si="23"/>
        <v/>
      </c>
      <c r="L52" s="14" t="str">
        <f t="shared" si="23"/>
        <v/>
      </c>
      <c r="M52" s="29"/>
      <c r="N52" s="29"/>
    </row>
    <row r="53" spans="1:26" x14ac:dyDescent="0.35">
      <c r="A53" t="str">
        <f t="shared" si="18"/>
        <v/>
      </c>
      <c r="B53" s="44"/>
      <c r="C53" s="58" t="str">
        <f t="shared" ref="C53:L53" si="24">IF(OR(C$27="",$A53=""),"",IF(C$27&gt;$B53,$B53,C$27))</f>
        <v/>
      </c>
      <c r="D53" s="58" t="str">
        <f t="shared" si="24"/>
        <v/>
      </c>
      <c r="E53" s="58" t="str">
        <f t="shared" si="24"/>
        <v/>
      </c>
      <c r="F53" s="58" t="str">
        <f t="shared" si="24"/>
        <v/>
      </c>
      <c r="G53" s="58" t="str">
        <f t="shared" si="24"/>
        <v/>
      </c>
      <c r="H53" s="58" t="str">
        <f t="shared" si="24"/>
        <v/>
      </c>
      <c r="I53" s="58" t="str">
        <f t="shared" si="24"/>
        <v/>
      </c>
      <c r="J53" s="58" t="str">
        <f t="shared" si="24"/>
        <v/>
      </c>
      <c r="K53" s="58" t="str">
        <f t="shared" si="24"/>
        <v/>
      </c>
      <c r="L53" s="58" t="str">
        <f t="shared" si="24"/>
        <v/>
      </c>
      <c r="M53" s="29"/>
      <c r="N53" s="29"/>
    </row>
    <row r="54" spans="1:26" x14ac:dyDescent="0.35">
      <c r="C54"/>
    </row>
    <row r="55" spans="1:26" x14ac:dyDescent="0.35">
      <c r="A55" s="83" t="s">
        <v>196</v>
      </c>
      <c r="B55" s="84"/>
      <c r="C55" s="84"/>
      <c r="D55" s="84"/>
      <c r="E55" s="84"/>
      <c r="F55" s="84"/>
      <c r="G55" s="84"/>
      <c r="H55" s="84"/>
      <c r="I55" s="84"/>
      <c r="J55" s="84"/>
      <c r="K55" s="84"/>
      <c r="L55" s="84"/>
      <c r="M55" s="84"/>
      <c r="N55" s="84"/>
    </row>
    <row r="56" spans="1:26" x14ac:dyDescent="0.35">
      <c r="A56" s="80" t="str">
        <f>IF(A$6="[Unused]","",A6)</f>
        <v>Upper Basin</v>
      </c>
      <c r="B56" s="81"/>
      <c r="C56" s="81"/>
      <c r="D56" s="81"/>
      <c r="E56" s="81"/>
      <c r="F56" s="81"/>
      <c r="G56" s="81"/>
      <c r="H56" s="81"/>
      <c r="I56" s="81"/>
      <c r="J56" s="81"/>
      <c r="K56" s="81"/>
      <c r="L56" s="81"/>
      <c r="M56" s="82" t="s">
        <v>108</v>
      </c>
      <c r="N56" s="80" t="s">
        <v>187</v>
      </c>
    </row>
    <row r="57" spans="1:26" x14ac:dyDescent="0.35">
      <c r="A57" s="32" t="str">
        <f>IF(A56="[Unused]","","   Volume of Sales(+) and Purchases(-) [maf]")</f>
        <v xml:space="preserve">   Volume of Sales(+) and Purchases(-) [maf]</v>
      </c>
      <c r="C57" s="25"/>
      <c r="D57" s="25"/>
      <c r="E57" s="25"/>
      <c r="F57" s="25"/>
      <c r="G57" s="25"/>
      <c r="H57" s="25"/>
      <c r="I57" s="25"/>
      <c r="J57" s="25"/>
      <c r="K57" s="25"/>
      <c r="L57" s="25"/>
      <c r="M57" s="79">
        <f>SUM(C57:L57)</f>
        <v>0</v>
      </c>
      <c r="N57" t="str">
        <f>IF(A57="","","Add if multiple transactions, e.g.: 0.5 + 0.25")</f>
        <v>Add if multiple transactions, e.g.: 0.5 + 0.25</v>
      </c>
    </row>
    <row r="58" spans="1:26" x14ac:dyDescent="0.35">
      <c r="A58" s="32" t="str">
        <f>IF(A57="","","   Cash Intake(+) and Payments(-) [$ Mill]")</f>
        <v xml:space="preserve">   Cash Intake(+) and Payments(-) [$ Mill]</v>
      </c>
      <c r="C58" s="77"/>
      <c r="D58" s="77"/>
      <c r="E58" s="77"/>
      <c r="F58" s="77"/>
      <c r="G58" s="77"/>
      <c r="H58" s="77"/>
      <c r="I58" s="77"/>
      <c r="J58" s="77"/>
      <c r="K58" s="77"/>
      <c r="L58" s="77"/>
      <c r="M58" s="76">
        <f>SUM(C58:L58)</f>
        <v>0</v>
      </c>
      <c r="N58" t="str">
        <f>IF(A58="","","Add if multiple transactions, e.g.: $350*0.5 + $450*0.25")</f>
        <v>Add if multiple transactions, e.g.: $350*0.5 + $450*0.25</v>
      </c>
    </row>
    <row r="59" spans="1:26" x14ac:dyDescent="0.35">
      <c r="A59" s="32" t="str">
        <f>IF(A58="","","   Volume of all players (should be zero)")</f>
        <v xml:space="preserve">   Volume of all players (should be zero)</v>
      </c>
      <c r="C59" s="79" t="str">
        <f t="shared" ref="C59:M59" si="25">IF(OR(C$27="",$A59=""),"",C$112)</f>
        <v/>
      </c>
      <c r="D59" s="79" t="str">
        <f t="shared" si="25"/>
        <v/>
      </c>
      <c r="E59" s="79" t="str">
        <f t="shared" si="25"/>
        <v/>
      </c>
      <c r="F59" s="79" t="str">
        <f t="shared" si="25"/>
        <v/>
      </c>
      <c r="G59" s="79" t="str">
        <f t="shared" si="25"/>
        <v/>
      </c>
      <c r="H59" s="79" t="str">
        <f t="shared" si="25"/>
        <v/>
      </c>
      <c r="I59" s="79" t="str">
        <f t="shared" si="25"/>
        <v/>
      </c>
      <c r="J59" s="79" t="str">
        <f t="shared" si="25"/>
        <v/>
      </c>
      <c r="K59" s="79" t="str">
        <f t="shared" si="25"/>
        <v/>
      </c>
      <c r="L59" s="79" t="str">
        <f t="shared" si="25"/>
        <v/>
      </c>
      <c r="M59" t="str">
        <f t="shared" si="25"/>
        <v/>
      </c>
      <c r="N59" t="str">
        <f>IF(A59="","","If non-zero, players need to change amount(s)")</f>
        <v>If non-zero, players need to change amount(s)</v>
      </c>
    </row>
    <row r="60" spans="1:26" x14ac:dyDescent="0.35">
      <c r="A60" s="1" t="str">
        <f>IF(A58="","","   Available Water [maf]")</f>
        <v xml:space="preserve">   Available Water [maf]</v>
      </c>
      <c r="C60" s="14" t="str">
        <f>IF(OR(C$27="",$A60=""),"",C30+C48-C40-C57)</f>
        <v/>
      </c>
      <c r="D60" s="14" t="str">
        <f t="shared" ref="D60:L60" si="26">IF(OR(D$27="",$A60=""),"",D30+D48-D40-D57)</f>
        <v/>
      </c>
      <c r="E60" s="14" t="str">
        <f t="shared" si="26"/>
        <v/>
      </c>
      <c r="F60" s="14" t="str">
        <f t="shared" si="26"/>
        <v/>
      </c>
      <c r="G60" s="14" t="str">
        <f t="shared" si="26"/>
        <v/>
      </c>
      <c r="H60" s="14" t="str">
        <f t="shared" si="26"/>
        <v/>
      </c>
      <c r="I60" s="14" t="str">
        <f t="shared" si="26"/>
        <v/>
      </c>
      <c r="J60" s="14" t="str">
        <f t="shared" si="26"/>
        <v/>
      </c>
      <c r="K60" s="14" t="str">
        <f t="shared" si="26"/>
        <v/>
      </c>
      <c r="L60" s="14" t="str">
        <f t="shared" si="26"/>
        <v/>
      </c>
      <c r="N60" t="str">
        <f>IF(A60="","","Available water = Account Balance + Available Inflow - Evaporation + Sales - Purchases")</f>
        <v>Available water = Account Balance + Available Inflow - Evaporation + Sales - Purchases</v>
      </c>
    </row>
    <row r="61" spans="1:26" x14ac:dyDescent="0.35">
      <c r="A61" s="1" t="str">
        <f>IF(A60="","","   Account Withdraw [maf] (less than available water)")</f>
        <v xml:space="preserve">   Account Withdraw [maf] (less than available water)</v>
      </c>
      <c r="C61" s="43"/>
      <c r="D61" s="43"/>
      <c r="E61" s="43"/>
      <c r="F61" s="43"/>
      <c r="G61" s="43"/>
      <c r="H61" s="43"/>
      <c r="I61" s="43"/>
      <c r="J61" s="43"/>
      <c r="K61" s="43"/>
      <c r="L61" s="43"/>
      <c r="N61" t="str">
        <f>IF(A61="","","Must be less than Available water")</f>
        <v>Must be less than Available water</v>
      </c>
    </row>
    <row r="62" spans="1:26" x14ac:dyDescent="0.35">
      <c r="A62" s="32" t="str">
        <f>IF(A61="","","   End of Year Balance [maf]")</f>
        <v xml:space="preserve">   End of Year Balance [maf]</v>
      </c>
      <c r="C62" s="78" t="str">
        <f>IF(OR(C$27="",$A62=""),"",C60-C61)</f>
        <v/>
      </c>
      <c r="D62" s="78" t="str">
        <f t="shared" ref="D62:L62" si="27">IF(OR(D$27="",$A62=""),"",D60-D61)</f>
        <v/>
      </c>
      <c r="E62" s="78" t="str">
        <f t="shared" si="27"/>
        <v/>
      </c>
      <c r="F62" s="78" t="str">
        <f t="shared" si="27"/>
        <v/>
      </c>
      <c r="G62" s="78" t="str">
        <f t="shared" si="27"/>
        <v/>
      </c>
      <c r="H62" s="78" t="str">
        <f t="shared" si="27"/>
        <v/>
      </c>
      <c r="I62" s="78" t="str">
        <f t="shared" si="27"/>
        <v/>
      </c>
      <c r="J62" s="78" t="str">
        <f t="shared" si="27"/>
        <v/>
      </c>
      <c r="K62" s="78" t="str">
        <f t="shared" si="27"/>
        <v/>
      </c>
      <c r="L62" s="78" t="str">
        <f t="shared" si="27"/>
        <v/>
      </c>
      <c r="N62" t="str">
        <f>IF(A62="","","Available water - Account Withdraw")</f>
        <v>Available water - Account Withdraw</v>
      </c>
    </row>
    <row r="63" spans="1:26" x14ac:dyDescent="0.35">
      <c r="C63"/>
      <c r="S63" s="1" t="s">
        <v>199</v>
      </c>
    </row>
    <row r="64" spans="1:26" x14ac:dyDescent="0.35">
      <c r="A64" s="80" t="str">
        <f>IF(A$7="","[Unused]",A7)</f>
        <v>Lower Basin</v>
      </c>
      <c r="B64" s="81"/>
      <c r="C64" s="81"/>
      <c r="D64" s="81"/>
      <c r="E64" s="81"/>
      <c r="F64" s="81"/>
      <c r="G64" s="81"/>
      <c r="H64" s="81"/>
      <c r="I64" s="81"/>
      <c r="J64" s="81"/>
      <c r="K64" s="81"/>
      <c r="L64" s="81"/>
      <c r="M64" s="82" t="s">
        <v>108</v>
      </c>
      <c r="N64" s="80" t="s">
        <v>187</v>
      </c>
      <c r="S64" s="37" t="s">
        <v>129</v>
      </c>
      <c r="T64" s="37" t="s">
        <v>130</v>
      </c>
      <c r="U64" s="38" t="s">
        <v>131</v>
      </c>
      <c r="V64" s="38" t="s">
        <v>132</v>
      </c>
      <c r="W64" s="37" t="s">
        <v>133</v>
      </c>
      <c r="X64" s="37" t="s">
        <v>133</v>
      </c>
      <c r="Y64" s="51" t="s">
        <v>152</v>
      </c>
      <c r="Z64" s="51" t="s">
        <v>153</v>
      </c>
    </row>
    <row r="65" spans="1:26" x14ac:dyDescent="0.35">
      <c r="A65" s="32" t="str">
        <f>IF(A64="[Unused]","","   Volume of Sales(+) and Purchases(-) [maf]")</f>
        <v xml:space="preserve">   Volume of Sales(+) and Purchases(-) [maf]</v>
      </c>
      <c r="C65" s="25"/>
      <c r="D65" s="25"/>
      <c r="E65" s="25"/>
      <c r="F65" s="25"/>
      <c r="G65" s="25"/>
      <c r="H65" s="25"/>
      <c r="I65" s="25"/>
      <c r="J65" s="25"/>
      <c r="K65" s="25"/>
      <c r="L65" s="25"/>
      <c r="M65" s="79">
        <f>SUM(C65:L65)</f>
        <v>0</v>
      </c>
      <c r="N65" t="str">
        <f>IF(A65="","",N57)</f>
        <v>Add if multiple transactions, e.g.: 0.5 + 0.25</v>
      </c>
      <c r="S65">
        <v>955</v>
      </c>
      <c r="T65" s="29">
        <v>0</v>
      </c>
      <c r="U65" s="85">
        <f>U66</f>
        <v>1.2000000000000002</v>
      </c>
      <c r="V65" s="85">
        <f t="shared" ref="V65:Z65" si="28">V66</f>
        <v>0.15</v>
      </c>
      <c r="W65" s="85">
        <f t="shared" si="28"/>
        <v>1.325</v>
      </c>
      <c r="X65" s="85">
        <f t="shared" si="28"/>
        <v>1.35</v>
      </c>
      <c r="Y65" s="85">
        <f t="shared" si="28"/>
        <v>0.125</v>
      </c>
      <c r="Z65" s="6">
        <f t="shared" si="28"/>
        <v>1350000</v>
      </c>
    </row>
    <row r="66" spans="1:26" x14ac:dyDescent="0.35">
      <c r="A66" s="32" t="str">
        <f>IF(A65="","","   Cash Intake(+) and Payments(-) [$ Mill]")</f>
        <v xml:space="preserve">   Cash Intake(+) and Payments(-) [$ Mill]</v>
      </c>
      <c r="C66" s="77"/>
      <c r="D66" s="77"/>
      <c r="E66" s="77"/>
      <c r="F66" s="77"/>
      <c r="G66" s="77"/>
      <c r="H66" s="77"/>
      <c r="I66" s="77"/>
      <c r="J66" s="77"/>
      <c r="K66" s="77"/>
      <c r="L66" s="77"/>
      <c r="M66" s="76">
        <f>SUM(C66:L66)</f>
        <v>0</v>
      </c>
      <c r="N66" t="str">
        <f t="shared" ref="N66:N70" si="29">IF(A66="","",N58)</f>
        <v>Add if multiple transactions, e.g.: $350*0.5 + $450*0.25</v>
      </c>
      <c r="S66" s="39">
        <v>1025</v>
      </c>
      <c r="T66" s="40">
        <v>5.981122</v>
      </c>
      <c r="U66" s="41">
        <f>X66-V66</f>
        <v>1.2000000000000002</v>
      </c>
      <c r="V66" s="49">
        <v>0.15</v>
      </c>
      <c r="W66" s="41">
        <v>1.325</v>
      </c>
      <c r="X66" s="41">
        <f t="shared" ref="X66:X73" si="30">Z66/1000000</f>
        <v>1.35</v>
      </c>
      <c r="Y66" s="42">
        <v>0.125</v>
      </c>
      <c r="Z66" s="52">
        <v>1350000</v>
      </c>
    </row>
    <row r="67" spans="1:26" x14ac:dyDescent="0.35">
      <c r="A67" s="32" t="str">
        <f>IF(A66="","","   Volume all players (should be zero)")</f>
        <v xml:space="preserve">   Volume all players (should be zero)</v>
      </c>
      <c r="C67" s="79" t="str">
        <f t="shared" ref="C67:M67" si="31">IF(OR(C$27="",$A67=""),"",C$112)</f>
        <v/>
      </c>
      <c r="D67" s="79" t="str">
        <f t="shared" si="31"/>
        <v/>
      </c>
      <c r="E67" s="79" t="str">
        <f t="shared" si="31"/>
        <v/>
      </c>
      <c r="F67" s="79" t="str">
        <f t="shared" si="31"/>
        <v/>
      </c>
      <c r="G67" s="79" t="str">
        <f t="shared" si="31"/>
        <v/>
      </c>
      <c r="H67" s="79" t="str">
        <f t="shared" si="31"/>
        <v/>
      </c>
      <c r="I67" s="79" t="str">
        <f t="shared" si="31"/>
        <v/>
      </c>
      <c r="J67" s="79" t="str">
        <f t="shared" si="31"/>
        <v/>
      </c>
      <c r="K67" s="79" t="str">
        <f t="shared" si="31"/>
        <v/>
      </c>
      <c r="L67" s="79" t="str">
        <f t="shared" si="31"/>
        <v/>
      </c>
      <c r="M67" t="str">
        <f t="shared" si="31"/>
        <v/>
      </c>
      <c r="N67" t="str">
        <f t="shared" si="29"/>
        <v>If non-zero, players need to change amount(s)</v>
      </c>
      <c r="S67" s="39">
        <v>1030</v>
      </c>
      <c r="T67" s="40">
        <v>6.305377</v>
      </c>
      <c r="U67" s="41">
        <f t="shared" ref="U67:U73" si="32">X67-V67</f>
        <v>1.117</v>
      </c>
      <c r="V67" s="49">
        <v>0.10100000000000001</v>
      </c>
      <c r="W67" s="41">
        <v>1.1870000000000001</v>
      </c>
      <c r="X67" s="41">
        <f t="shared" si="30"/>
        <v>1.218</v>
      </c>
      <c r="Y67" s="42">
        <v>7.0000000000000007E-2</v>
      </c>
      <c r="Z67" s="52">
        <v>1218000</v>
      </c>
    </row>
    <row r="68" spans="1:26" x14ac:dyDescent="0.35">
      <c r="A68" s="1" t="str">
        <f>IF(A66="","","   Available Water [maf]")</f>
        <v xml:space="preserve">   Available Water [maf]</v>
      </c>
      <c r="C68" s="14" t="str">
        <f t="shared" ref="C68:L68" si="33">IF(OR(C$27="",$A68=""),"",C31+C49-C41-C65)</f>
        <v/>
      </c>
      <c r="D68" s="14" t="str">
        <f t="shared" si="33"/>
        <v/>
      </c>
      <c r="E68" s="14" t="str">
        <f t="shared" si="33"/>
        <v/>
      </c>
      <c r="F68" s="14" t="str">
        <f t="shared" si="33"/>
        <v/>
      </c>
      <c r="G68" s="14" t="str">
        <f t="shared" si="33"/>
        <v/>
      </c>
      <c r="H68" s="14" t="str">
        <f t="shared" si="33"/>
        <v/>
      </c>
      <c r="I68" s="14" t="str">
        <f t="shared" si="33"/>
        <v/>
      </c>
      <c r="J68" s="14" t="str">
        <f t="shared" si="33"/>
        <v/>
      </c>
      <c r="K68" s="14" t="str">
        <f t="shared" si="33"/>
        <v/>
      </c>
      <c r="L68" s="14" t="str">
        <f t="shared" si="33"/>
        <v/>
      </c>
      <c r="N68" t="str">
        <f t="shared" si="29"/>
        <v>Available water = Account Balance + Available Inflow - Evaporation + Sales - Purchases</v>
      </c>
      <c r="S68" s="39">
        <v>1035</v>
      </c>
      <c r="T68" s="40">
        <v>6.6375080000000004</v>
      </c>
      <c r="U68" s="41">
        <f t="shared" si="32"/>
        <v>1.0669999999999999</v>
      </c>
      <c r="V68" s="49">
        <v>9.1999999999999998E-2</v>
      </c>
      <c r="W68" s="41">
        <v>1.137</v>
      </c>
      <c r="X68" s="41">
        <f t="shared" si="30"/>
        <v>1.159</v>
      </c>
      <c r="Y68" s="42">
        <v>7.0000000000000007E-2</v>
      </c>
      <c r="Z68" s="52">
        <v>1159000</v>
      </c>
    </row>
    <row r="69" spans="1:26" x14ac:dyDescent="0.35">
      <c r="A69" s="1" t="str">
        <f>IF(A68="","","   Account Withdraw [maf]")</f>
        <v xml:space="preserve">   Account Withdraw [maf]</v>
      </c>
      <c r="C69" s="43"/>
      <c r="D69" s="43"/>
      <c r="E69" s="43"/>
      <c r="F69" s="43"/>
      <c r="G69" s="43"/>
      <c r="H69" s="43"/>
      <c r="I69" s="43"/>
      <c r="J69" s="43"/>
      <c r="K69" s="43"/>
      <c r="L69" s="43"/>
      <c r="N69" t="str">
        <f t="shared" si="29"/>
        <v>Must be less than Available water</v>
      </c>
      <c r="S69" s="39">
        <v>1040</v>
      </c>
      <c r="T69" s="40">
        <v>6.977665</v>
      </c>
      <c r="U69" s="41">
        <f t="shared" si="32"/>
        <v>1.0169999999999999</v>
      </c>
      <c r="V69" s="49">
        <v>8.4000000000000005E-2</v>
      </c>
      <c r="W69" s="41">
        <v>1.087</v>
      </c>
      <c r="X69" s="41">
        <f t="shared" si="30"/>
        <v>1.101</v>
      </c>
      <c r="Y69" s="42">
        <v>7.0000000000000007E-2</v>
      </c>
      <c r="Z69" s="52">
        <v>1101000</v>
      </c>
    </row>
    <row r="70" spans="1:26" x14ac:dyDescent="0.35">
      <c r="A70" s="32" t="str">
        <f>IF(A69="","","   End of Year Balance [maf]")</f>
        <v xml:space="preserve">   End of Year Balance [maf]</v>
      </c>
      <c r="C70" s="78" t="str">
        <f>IF(OR(C$27="",$A70=""),"",C68-C69)</f>
        <v/>
      </c>
      <c r="D70" s="78" t="str">
        <f t="shared" ref="D70:L70" si="34">IF(OR(D$27="",$A70=""),"",D68-D69)</f>
        <v/>
      </c>
      <c r="E70" s="78" t="str">
        <f t="shared" si="34"/>
        <v/>
      </c>
      <c r="F70" s="78" t="str">
        <f t="shared" si="34"/>
        <v/>
      </c>
      <c r="G70" s="78" t="str">
        <f t="shared" si="34"/>
        <v/>
      </c>
      <c r="H70" s="78" t="str">
        <f t="shared" si="34"/>
        <v/>
      </c>
      <c r="I70" s="78" t="str">
        <f t="shared" si="34"/>
        <v/>
      </c>
      <c r="J70" s="78" t="str">
        <f t="shared" si="34"/>
        <v/>
      </c>
      <c r="K70" s="78" t="str">
        <f t="shared" si="34"/>
        <v/>
      </c>
      <c r="L70" s="78" t="str">
        <f t="shared" si="34"/>
        <v/>
      </c>
      <c r="N70" t="str">
        <f t="shared" si="29"/>
        <v>Available water - Account Withdraw</v>
      </c>
      <c r="S70" s="39">
        <v>1045</v>
      </c>
      <c r="T70" s="40">
        <v>7.3260519999999998</v>
      </c>
      <c r="U70" s="41">
        <f t="shared" si="32"/>
        <v>0.96699999999999997</v>
      </c>
      <c r="V70" s="49">
        <v>7.5999999999999998E-2</v>
      </c>
      <c r="W70" s="41">
        <v>1.0369999999999999</v>
      </c>
      <c r="X70" s="41">
        <f t="shared" si="30"/>
        <v>1.0429999999999999</v>
      </c>
      <c r="Y70" s="42">
        <v>7.0000000000000007E-2</v>
      </c>
      <c r="Z70" s="52">
        <v>1043000</v>
      </c>
    </row>
    <row r="71" spans="1:26" x14ac:dyDescent="0.35">
      <c r="C71"/>
      <c r="S71" s="39">
        <v>1050</v>
      </c>
      <c r="T71" s="40">
        <v>7.6828779999999997</v>
      </c>
      <c r="U71" s="41">
        <f t="shared" si="32"/>
        <v>0.71699999999999997</v>
      </c>
      <c r="V71" s="49">
        <v>3.4000000000000002E-2</v>
      </c>
      <c r="W71" s="41">
        <v>0.78700000000000003</v>
      </c>
      <c r="X71" s="41">
        <f t="shared" si="30"/>
        <v>0.751</v>
      </c>
      <c r="Y71" s="42">
        <v>7.0000000000000007E-2</v>
      </c>
      <c r="Z71" s="52">
        <v>751000</v>
      </c>
    </row>
    <row r="72" spans="1:26" x14ac:dyDescent="0.35">
      <c r="A72" s="80" t="str">
        <f>IF(A$8="","[Unused]",A8)</f>
        <v>Mexico</v>
      </c>
      <c r="B72" s="81"/>
      <c r="C72" s="81"/>
      <c r="D72" s="81"/>
      <c r="E72" s="81"/>
      <c r="F72" s="81"/>
      <c r="G72" s="81"/>
      <c r="H72" s="81"/>
      <c r="I72" s="81"/>
      <c r="J72" s="81"/>
      <c r="K72" s="81"/>
      <c r="L72" s="81"/>
      <c r="M72" s="82" t="s">
        <v>108</v>
      </c>
      <c r="N72" s="80" t="s">
        <v>187</v>
      </c>
      <c r="S72" s="39">
        <v>1075</v>
      </c>
      <c r="T72" s="40">
        <v>9.6009879999900001</v>
      </c>
      <c r="U72" s="41">
        <f t="shared" si="32"/>
        <v>0.63300000000000001</v>
      </c>
      <c r="V72" s="49">
        <v>0.03</v>
      </c>
      <c r="W72" s="41">
        <v>0.68300000000000005</v>
      </c>
      <c r="X72" s="41">
        <f t="shared" si="30"/>
        <v>0.66300000000000003</v>
      </c>
      <c r="Y72" s="42">
        <v>0.05</v>
      </c>
      <c r="Z72" s="52">
        <v>663000</v>
      </c>
    </row>
    <row r="73" spans="1:26" x14ac:dyDescent="0.35">
      <c r="A73" s="32" t="str">
        <f>IF(A72="[Unused]","","   Volume of Sales(+) and Purchases(-) [maf]")</f>
        <v xml:space="preserve">   Volume of Sales(+) and Purchases(-) [maf]</v>
      </c>
      <c r="C73" s="25"/>
      <c r="D73" s="25"/>
      <c r="E73" s="25"/>
      <c r="F73" s="25"/>
      <c r="G73" s="25"/>
      <c r="H73" s="25"/>
      <c r="I73" s="25"/>
      <c r="J73" s="25"/>
      <c r="K73" s="25"/>
      <c r="L73" s="25"/>
      <c r="M73" s="79">
        <f>SUM(C73:L73)</f>
        <v>0</v>
      </c>
      <c r="N73" t="str">
        <f>IF(A73="","",N65)</f>
        <v>Add if multiple transactions, e.g.: 0.5 + 0.25</v>
      </c>
      <c r="S73" s="39">
        <v>1090</v>
      </c>
      <c r="T73" s="40">
        <v>10.857008</v>
      </c>
      <c r="U73" s="41">
        <f t="shared" si="32"/>
        <v>0.30000000000000004</v>
      </c>
      <c r="V73" s="49">
        <v>4.1000000000000002E-2</v>
      </c>
      <c r="W73" s="41">
        <v>0.3</v>
      </c>
      <c r="X73" s="41">
        <f t="shared" si="30"/>
        <v>0.34100000000000003</v>
      </c>
      <c r="Y73" s="38"/>
      <c r="Z73" s="52">
        <v>341000</v>
      </c>
    </row>
    <row r="74" spans="1:26" x14ac:dyDescent="0.35">
      <c r="A74" s="32" t="str">
        <f>IF(A73="","","   Cash Intake(+) and Payments(-) [$ Mill]")</f>
        <v xml:space="preserve">   Cash Intake(+) and Payments(-) [$ Mill]</v>
      </c>
      <c r="C74" s="77"/>
      <c r="D74" s="77"/>
      <c r="E74" s="77"/>
      <c r="F74" s="77"/>
      <c r="G74" s="77"/>
      <c r="H74" s="77"/>
      <c r="I74" s="77"/>
      <c r="J74" s="77"/>
      <c r="K74" s="77"/>
      <c r="L74" s="77"/>
      <c r="M74" s="76">
        <f>SUM(C74:L74)</f>
        <v>0</v>
      </c>
      <c r="N74" t="str">
        <f t="shared" ref="N74:N78" si="35">IF(A74="","",N66)</f>
        <v>Add if multiple transactions, e.g.: $350*0.5 + $450*0.25</v>
      </c>
      <c r="S74" s="39">
        <v>1091</v>
      </c>
      <c r="T74" s="40">
        <v>10.9</v>
      </c>
      <c r="U74" s="41">
        <v>0</v>
      </c>
      <c r="V74" s="49">
        <v>0</v>
      </c>
      <c r="W74" s="41">
        <v>0</v>
      </c>
      <c r="X74" s="41">
        <v>0</v>
      </c>
      <c r="Y74" s="38"/>
      <c r="Z74" s="52">
        <v>0</v>
      </c>
    </row>
    <row r="75" spans="1:26" x14ac:dyDescent="0.35">
      <c r="A75" s="32" t="str">
        <f>IF(A74="","","   Volume all players (should be zero)")</f>
        <v xml:space="preserve">   Volume all players (should be zero)</v>
      </c>
      <c r="C75" s="79" t="str">
        <f t="shared" ref="C75:M75" si="36">IF(OR(C$27="",$A75=""),"",C$112)</f>
        <v/>
      </c>
      <c r="D75" s="79" t="str">
        <f t="shared" si="36"/>
        <v/>
      </c>
      <c r="E75" s="79" t="str">
        <f t="shared" si="36"/>
        <v/>
      </c>
      <c r="F75" s="79" t="str">
        <f t="shared" si="36"/>
        <v/>
      </c>
      <c r="G75" s="79" t="str">
        <f t="shared" si="36"/>
        <v/>
      </c>
      <c r="H75" s="79" t="str">
        <f t="shared" si="36"/>
        <v/>
      </c>
      <c r="I75" s="79" t="str">
        <f t="shared" si="36"/>
        <v/>
      </c>
      <c r="J75" s="79" t="str">
        <f t="shared" si="36"/>
        <v/>
      </c>
      <c r="K75" s="79" t="str">
        <f t="shared" si="36"/>
        <v/>
      </c>
      <c r="L75" s="79" t="str">
        <f t="shared" si="36"/>
        <v/>
      </c>
      <c r="M75" t="str">
        <f t="shared" si="36"/>
        <v/>
      </c>
      <c r="N75" t="str">
        <f t="shared" si="35"/>
        <v>If non-zero, players need to change amount(s)</v>
      </c>
    </row>
    <row r="76" spans="1:26" x14ac:dyDescent="0.35">
      <c r="A76" s="1" t="str">
        <f>IF(A74="","","   Available Water [maf]")</f>
        <v xml:space="preserve">   Available Water [maf]</v>
      </c>
      <c r="C76" s="14" t="str">
        <f t="shared" ref="C76:L76" si="37">IF(OR(C$27="",$A76=""),"",C32+C50-C42-C73)</f>
        <v/>
      </c>
      <c r="D76" s="14" t="str">
        <f t="shared" si="37"/>
        <v/>
      </c>
      <c r="E76" s="14" t="str">
        <f t="shared" si="37"/>
        <v/>
      </c>
      <c r="F76" s="14" t="str">
        <f>IF(OR(F$27="",$A76=""),"",F32+F50-F42-F73)</f>
        <v/>
      </c>
      <c r="G76" s="14" t="str">
        <f t="shared" si="37"/>
        <v/>
      </c>
      <c r="H76" s="14" t="str">
        <f t="shared" si="37"/>
        <v/>
      </c>
      <c r="I76" s="14" t="str">
        <f t="shared" si="37"/>
        <v/>
      </c>
      <c r="J76" s="14" t="str">
        <f t="shared" si="37"/>
        <v/>
      </c>
      <c r="K76" s="14" t="str">
        <f t="shared" si="37"/>
        <v/>
      </c>
      <c r="L76" s="14" t="str">
        <f t="shared" si="37"/>
        <v/>
      </c>
      <c r="N76" t="str">
        <f t="shared" si="35"/>
        <v>Available water = Account Balance + Available Inflow - Evaporation + Sales - Purchases</v>
      </c>
    </row>
    <row r="77" spans="1:26" x14ac:dyDescent="0.35">
      <c r="A77" s="1" t="str">
        <f>IF(A76="","","   Account Withdraw [maf]")</f>
        <v xml:space="preserve">   Account Withdraw [maf]</v>
      </c>
      <c r="C77" s="43"/>
      <c r="D77" s="43"/>
      <c r="E77" s="43"/>
      <c r="F77" s="43"/>
      <c r="G77" s="43"/>
      <c r="H77" s="43"/>
      <c r="I77" s="43"/>
      <c r="J77" s="43"/>
      <c r="K77" s="43"/>
      <c r="L77" s="43"/>
      <c r="N77" t="str">
        <f t="shared" si="35"/>
        <v>Must be less than Available water</v>
      </c>
    </row>
    <row r="78" spans="1:26" x14ac:dyDescent="0.35">
      <c r="A78" s="32" t="str">
        <f>IF(A77="","","   End of Year Balance [maf]")</f>
        <v xml:space="preserve">   End of Year Balance [maf]</v>
      </c>
      <c r="C78" s="78" t="str">
        <f>IF(OR(C$27="",$A78=""),"",C76-C77)</f>
        <v/>
      </c>
      <c r="D78" s="78" t="str">
        <f t="shared" ref="D78:L78" si="38">IF(OR(D$27="",$A78=""),"",D76-D77)</f>
        <v/>
      </c>
      <c r="E78" s="78" t="str">
        <f t="shared" si="38"/>
        <v/>
      </c>
      <c r="F78" s="78" t="str">
        <f t="shared" si="38"/>
        <v/>
      </c>
      <c r="G78" s="78" t="str">
        <f t="shared" si="38"/>
        <v/>
      </c>
      <c r="H78" s="78" t="str">
        <f t="shared" si="38"/>
        <v/>
      </c>
      <c r="I78" s="78" t="str">
        <f t="shared" si="38"/>
        <v/>
      </c>
      <c r="J78" s="78" t="str">
        <f t="shared" si="38"/>
        <v/>
      </c>
      <c r="K78" s="78" t="str">
        <f t="shared" si="38"/>
        <v/>
      </c>
      <c r="L78" s="78" t="str">
        <f t="shared" si="38"/>
        <v/>
      </c>
      <c r="N78" t="str">
        <f t="shared" si="35"/>
        <v>Available water - Account Withdraw</v>
      </c>
    </row>
    <row r="79" spans="1:26" x14ac:dyDescent="0.35">
      <c r="C79"/>
    </row>
    <row r="80" spans="1:26" x14ac:dyDescent="0.35">
      <c r="A80" s="80" t="str">
        <f>IF(A$9="","[Unused]",A9)</f>
        <v>Mohave &amp; Havasu Evap &amp; ET</v>
      </c>
      <c r="B80" s="81"/>
      <c r="C80" s="81"/>
      <c r="D80" s="81"/>
      <c r="E80" s="81"/>
      <c r="F80" s="81"/>
      <c r="G80" s="81"/>
      <c r="H80" s="81"/>
      <c r="I80" s="81"/>
      <c r="J80" s="81"/>
      <c r="K80" s="81"/>
      <c r="L80" s="81"/>
      <c r="M80" s="82" t="s">
        <v>108</v>
      </c>
      <c r="N80" s="80" t="s">
        <v>187</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9">
        <f>SUM(C81:L81)</f>
        <v>0</v>
      </c>
      <c r="N81" t="str">
        <f>IF(A81="","",N73)</f>
        <v>Add if multiple transactions, e.g.: 0.5 + 0.25</v>
      </c>
    </row>
    <row r="82" spans="1:14" x14ac:dyDescent="0.35">
      <c r="A82" s="32" t="str">
        <f>IF(A81="","","   Cash Intake(+) and Payments(-) [$ Mill]")</f>
        <v xml:space="preserve">   Cash Intake(+) and Payments(-) [$ Mill]</v>
      </c>
      <c r="C82" s="77"/>
      <c r="D82" s="77"/>
      <c r="E82" s="77"/>
      <c r="F82" s="77"/>
      <c r="G82" s="77"/>
      <c r="H82" s="77"/>
      <c r="I82" s="77"/>
      <c r="J82" s="77"/>
      <c r="K82" s="77"/>
      <c r="L82" s="77"/>
      <c r="M82" s="76">
        <f>SUM(C82:L82)</f>
        <v>0</v>
      </c>
      <c r="N82" t="str">
        <f t="shared" ref="N82:N86" si="39">IF(A82="","",N74)</f>
        <v>Add if multiple transactions, e.g.: $350*0.5 + $450*0.25</v>
      </c>
    </row>
    <row r="83" spans="1:14" x14ac:dyDescent="0.35">
      <c r="A83" s="32" t="str">
        <f>IF(A82="","","   Volume all players (should be zero)")</f>
        <v xml:space="preserve">   Volume all players (should be zero)</v>
      </c>
      <c r="C83" s="79" t="str">
        <f t="shared" ref="C83:M83" si="40">IF(OR(C$27="",$A83=""),"",C$112)</f>
        <v/>
      </c>
      <c r="D83" s="79" t="str">
        <f t="shared" si="40"/>
        <v/>
      </c>
      <c r="E83" s="79" t="str">
        <f t="shared" si="40"/>
        <v/>
      </c>
      <c r="F83" s="79" t="str">
        <f t="shared" si="40"/>
        <v/>
      </c>
      <c r="G83" s="79" t="str">
        <f t="shared" si="40"/>
        <v/>
      </c>
      <c r="H83" s="79" t="str">
        <f t="shared" si="40"/>
        <v/>
      </c>
      <c r="I83" s="79" t="str">
        <f t="shared" si="40"/>
        <v/>
      </c>
      <c r="J83" s="79" t="str">
        <f t="shared" si="40"/>
        <v/>
      </c>
      <c r="K83" s="79" t="str">
        <f t="shared" si="40"/>
        <v/>
      </c>
      <c r="L83" s="79" t="str">
        <f t="shared" si="40"/>
        <v/>
      </c>
      <c r="M83" t="str">
        <f t="shared" si="40"/>
        <v/>
      </c>
      <c r="N83" t="str">
        <f t="shared" si="39"/>
        <v>If non-zero, players need to change amount(s)</v>
      </c>
    </row>
    <row r="84" spans="1:14" x14ac:dyDescent="0.35">
      <c r="A84" s="1" t="str">
        <f>IF(A82="","","   Available Water [maf]")</f>
        <v xml:space="preserve">   Available Water [maf]</v>
      </c>
      <c r="C84" s="14" t="str">
        <f t="shared" ref="C84:L84" si="41">IF(OR(C$27="",$A84=""),"",C33+C51-C43-C81)</f>
        <v/>
      </c>
      <c r="D84" s="14" t="str">
        <f t="shared" si="41"/>
        <v/>
      </c>
      <c r="E84" s="14" t="str">
        <f t="shared" si="41"/>
        <v/>
      </c>
      <c r="F84" s="14" t="str">
        <f t="shared" si="41"/>
        <v/>
      </c>
      <c r="G84" s="14" t="str">
        <f t="shared" si="41"/>
        <v/>
      </c>
      <c r="H84" s="14" t="str">
        <f t="shared" si="41"/>
        <v/>
      </c>
      <c r="I84" s="14" t="str">
        <f t="shared" si="41"/>
        <v/>
      </c>
      <c r="J84" s="14" t="str">
        <f t="shared" si="41"/>
        <v/>
      </c>
      <c r="K84" s="14" t="str">
        <f t="shared" si="41"/>
        <v/>
      </c>
      <c r="L84" s="14" t="str">
        <f t="shared" si="41"/>
        <v/>
      </c>
      <c r="N84" t="str">
        <f t="shared" si="39"/>
        <v>Available water = Account Balance + Available Inflow - Evaporation + Sales - Purchases</v>
      </c>
    </row>
    <row r="85" spans="1:14" x14ac:dyDescent="0.35">
      <c r="A85" s="1" t="str">
        <f>IF(A84="","","   Account Withdraw [maf]")</f>
        <v xml:space="preserve">   Account Withdraw [maf]</v>
      </c>
      <c r="C85" s="43" t="str">
        <f>IF(C27="","",C84)</f>
        <v/>
      </c>
      <c r="D85" s="43" t="str">
        <f t="shared" ref="D85:G85" si="42">IF(D27="","",D84)</f>
        <v/>
      </c>
      <c r="E85" s="43" t="str">
        <f t="shared" si="42"/>
        <v/>
      </c>
      <c r="F85" s="43" t="str">
        <f t="shared" si="42"/>
        <v/>
      </c>
      <c r="G85" s="43" t="str">
        <f t="shared" si="42"/>
        <v/>
      </c>
      <c r="H85" s="43" t="str">
        <f t="shared" ref="H85" si="43">IF(H27="","",H84)</f>
        <v/>
      </c>
      <c r="I85" s="43" t="str">
        <f t="shared" ref="I85" si="44">IF(I27="","",I84)</f>
        <v/>
      </c>
      <c r="J85" s="43" t="str">
        <f t="shared" ref="J85" si="45">IF(J27="","",J84)</f>
        <v/>
      </c>
      <c r="K85" s="43" t="str">
        <f t="shared" ref="K85" si="46">IF(K27="","",K84)</f>
        <v/>
      </c>
      <c r="L85" s="43" t="str">
        <f t="shared" ref="L85" si="47">IF(L27="","",L84)</f>
        <v/>
      </c>
      <c r="N85" t="str">
        <f t="shared" si="39"/>
        <v>Must be less than Available water</v>
      </c>
    </row>
    <row r="86" spans="1:14" x14ac:dyDescent="0.35">
      <c r="A86" s="32" t="str">
        <f>IF(A85="","","   End of Year Balance [maf]")</f>
        <v xml:space="preserve">   End of Year Balance [maf]</v>
      </c>
      <c r="C86" s="78" t="str">
        <f>IF(OR(C$27="",$A86=""),"",C84-C85)</f>
        <v/>
      </c>
      <c r="D86" s="78" t="str">
        <f t="shared" ref="D86:L86" si="48">IF(OR(D$27="",$A86=""),"",D84-D85)</f>
        <v/>
      </c>
      <c r="E86" s="78" t="str">
        <f t="shared" si="48"/>
        <v/>
      </c>
      <c r="F86" s="78" t="str">
        <f t="shared" si="48"/>
        <v/>
      </c>
      <c r="G86" s="78" t="str">
        <f t="shared" si="48"/>
        <v/>
      </c>
      <c r="H86" s="78" t="str">
        <f t="shared" si="48"/>
        <v/>
      </c>
      <c r="I86" s="78" t="str">
        <f t="shared" si="48"/>
        <v/>
      </c>
      <c r="J86" s="78" t="str">
        <f t="shared" si="48"/>
        <v/>
      </c>
      <c r="K86" s="78" t="str">
        <f t="shared" si="48"/>
        <v/>
      </c>
      <c r="L86" s="78" t="str">
        <f t="shared" si="48"/>
        <v/>
      </c>
      <c r="N86" t="str">
        <f t="shared" si="39"/>
        <v>Available water - Account Withdraw</v>
      </c>
    </row>
    <row r="87" spans="1:14" x14ac:dyDescent="0.35">
      <c r="C87"/>
    </row>
    <row r="88" spans="1:14" x14ac:dyDescent="0.35">
      <c r="A88" s="80" t="str">
        <f>IF(A$10="","[Unused]",A10)</f>
        <v>Shared, Reserve</v>
      </c>
      <c r="B88" s="81"/>
      <c r="C88" s="81"/>
      <c r="D88" s="81"/>
      <c r="E88" s="81"/>
      <c r="F88" s="81"/>
      <c r="G88" s="81"/>
      <c r="H88" s="81"/>
      <c r="I88" s="81"/>
      <c r="J88" s="81"/>
      <c r="K88" s="81"/>
      <c r="L88" s="81"/>
      <c r="M88" s="82" t="s">
        <v>108</v>
      </c>
      <c r="N88" s="80" t="s">
        <v>187</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9">
        <f>SUM(C89:L89)</f>
        <v>0</v>
      </c>
      <c r="N89" t="str">
        <f>IF(A89="","",N81)</f>
        <v>Add if multiple transactions, e.g.: 0.5 + 0.25</v>
      </c>
    </row>
    <row r="90" spans="1:14" x14ac:dyDescent="0.35">
      <c r="A90" s="32" t="str">
        <f>IF(A89="","","   Cash Intake(+) and Payments(-) [$ Mill]")</f>
        <v xml:space="preserve">   Cash Intake(+) and Payments(-) [$ Mill]</v>
      </c>
      <c r="C90" s="77"/>
      <c r="D90" s="77"/>
      <c r="E90" s="77"/>
      <c r="F90" s="77"/>
      <c r="G90" s="77"/>
      <c r="H90" s="77"/>
      <c r="I90" s="77"/>
      <c r="J90" s="77"/>
      <c r="K90" s="77"/>
      <c r="L90" s="77"/>
      <c r="M90" s="76">
        <f>SUM(C90:L90)</f>
        <v>0</v>
      </c>
      <c r="N90" t="str">
        <f t="shared" ref="N90:N94" si="49">IF(A90="","",N82)</f>
        <v>Add if multiple transactions, e.g.: $350*0.5 + $450*0.25</v>
      </c>
    </row>
    <row r="91" spans="1:14" x14ac:dyDescent="0.35">
      <c r="A91" s="32" t="str">
        <f>IF(A90="","","   Volume all players (should be zero)")</f>
        <v xml:space="preserve">   Volume all players (should be zero)</v>
      </c>
      <c r="C91" s="79" t="str">
        <f t="shared" ref="C91:M91" si="50">IF(OR(C$27="",$A91=""),"",C$112)</f>
        <v/>
      </c>
      <c r="D91" s="79" t="str">
        <f t="shared" si="50"/>
        <v/>
      </c>
      <c r="E91" s="79" t="str">
        <f t="shared" si="50"/>
        <v/>
      </c>
      <c r="F91" s="79" t="str">
        <f t="shared" si="50"/>
        <v/>
      </c>
      <c r="G91" s="79" t="str">
        <f t="shared" si="50"/>
        <v/>
      </c>
      <c r="H91" s="79" t="str">
        <f t="shared" si="50"/>
        <v/>
      </c>
      <c r="I91" s="79" t="str">
        <f t="shared" si="50"/>
        <v/>
      </c>
      <c r="J91" s="79" t="str">
        <f t="shared" si="50"/>
        <v/>
      </c>
      <c r="K91" s="79" t="str">
        <f t="shared" si="50"/>
        <v/>
      </c>
      <c r="L91" s="79" t="str">
        <f t="shared" si="50"/>
        <v/>
      </c>
      <c r="M91" t="str">
        <f t="shared" si="50"/>
        <v/>
      </c>
      <c r="N91" t="str">
        <f t="shared" si="49"/>
        <v>If non-zero, players need to change amount(s)</v>
      </c>
    </row>
    <row r="92" spans="1:14" x14ac:dyDescent="0.35">
      <c r="A92" s="1" t="str">
        <f>IF(A90="","","   Available Water [maf]")</f>
        <v xml:space="preserve">   Available Water [maf]</v>
      </c>
      <c r="C92" s="14" t="str">
        <f t="shared" ref="C92:L92" si="51">IF(OR(C$27="",$A92=""),"",C34+C52-C44-C89)</f>
        <v/>
      </c>
      <c r="D92" s="14" t="str">
        <f t="shared" si="51"/>
        <v/>
      </c>
      <c r="E92" s="14" t="str">
        <f t="shared" si="51"/>
        <v/>
      </c>
      <c r="F92" s="14" t="str">
        <f t="shared" si="51"/>
        <v/>
      </c>
      <c r="G92" s="14" t="str">
        <f t="shared" si="51"/>
        <v/>
      </c>
      <c r="H92" s="14" t="str">
        <f t="shared" si="51"/>
        <v/>
      </c>
      <c r="I92" s="14" t="str">
        <f t="shared" si="51"/>
        <v/>
      </c>
      <c r="J92" s="14" t="str">
        <f t="shared" si="51"/>
        <v/>
      </c>
      <c r="K92" s="14" t="str">
        <f t="shared" si="51"/>
        <v/>
      </c>
      <c r="L92" s="14" t="str">
        <f t="shared" si="51"/>
        <v/>
      </c>
      <c r="N92" t="str">
        <f t="shared" si="49"/>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49"/>
        <v>Must be less than Available water</v>
      </c>
    </row>
    <row r="94" spans="1:14" x14ac:dyDescent="0.35">
      <c r="A94" s="32" t="str">
        <f>IF(A93="","","   End of Year Balance [maf]")</f>
        <v xml:space="preserve">   End of Year Balance [maf]</v>
      </c>
      <c r="C94" s="78" t="str">
        <f>IF(OR(C$27="",$A94=""),"",C92-C93)</f>
        <v/>
      </c>
      <c r="D94" s="78" t="str">
        <f t="shared" ref="D94:L94" si="52">IF(OR(D$27="",$A94=""),"",D92-D93)</f>
        <v/>
      </c>
      <c r="E94" s="78" t="str">
        <f t="shared" si="52"/>
        <v/>
      </c>
      <c r="F94" s="78" t="str">
        <f t="shared" si="52"/>
        <v/>
      </c>
      <c r="G94" s="78" t="str">
        <f t="shared" si="52"/>
        <v/>
      </c>
      <c r="H94" s="78" t="str">
        <f t="shared" si="52"/>
        <v/>
      </c>
      <c r="I94" s="78" t="str">
        <f t="shared" si="52"/>
        <v/>
      </c>
      <c r="J94" s="78" t="str">
        <f t="shared" si="52"/>
        <v/>
      </c>
      <c r="K94" s="78" t="str">
        <f t="shared" si="52"/>
        <v/>
      </c>
      <c r="L94" s="78" t="str">
        <f t="shared" si="52"/>
        <v/>
      </c>
      <c r="N94" t="str">
        <f t="shared" si="49"/>
        <v>Available water - Account Withdraw</v>
      </c>
    </row>
    <row r="95" spans="1:14" x14ac:dyDescent="0.35">
      <c r="C95"/>
    </row>
    <row r="96" spans="1:14" x14ac:dyDescent="0.35">
      <c r="A96" s="80" t="str">
        <f>IF(A$11="","[Unused]",A11)</f>
        <v>[Unused]</v>
      </c>
      <c r="B96" s="81"/>
      <c r="C96" s="81"/>
      <c r="D96" s="81"/>
      <c r="E96" s="81"/>
      <c r="F96" s="81"/>
      <c r="G96" s="81"/>
      <c r="H96" s="81"/>
      <c r="I96" s="81"/>
      <c r="J96" s="81"/>
      <c r="K96" s="81"/>
      <c r="L96" s="81"/>
      <c r="M96" s="82" t="s">
        <v>108</v>
      </c>
      <c r="N96" s="80" t="s">
        <v>187</v>
      </c>
    </row>
    <row r="97" spans="1:14" x14ac:dyDescent="0.35">
      <c r="A97" s="32" t="str">
        <f>IF(A96="[Unused]","","   Volume of Sales(+) and Purchases(-) [maf]")</f>
        <v/>
      </c>
      <c r="C97" s="25"/>
      <c r="D97" s="25"/>
      <c r="E97" s="25"/>
      <c r="F97" s="25"/>
      <c r="G97" s="25"/>
      <c r="H97" s="25"/>
      <c r="I97" s="25"/>
      <c r="J97" s="25"/>
      <c r="K97" s="25"/>
      <c r="L97" s="25"/>
      <c r="M97" s="79">
        <f>SUM(C97:L97)</f>
        <v>0</v>
      </c>
      <c r="N97" t="str">
        <f>IF(A97="","",N89)</f>
        <v/>
      </c>
    </row>
    <row r="98" spans="1:14" x14ac:dyDescent="0.35">
      <c r="A98" s="32" t="str">
        <f>IF(A97="","","   Cash Intake(+) and Payments(-) [$ Mill]")</f>
        <v/>
      </c>
      <c r="C98" s="77"/>
      <c r="D98" s="77"/>
      <c r="E98" s="77"/>
      <c r="F98" s="77"/>
      <c r="G98" s="77"/>
      <c r="H98" s="77"/>
      <c r="I98" s="77"/>
      <c r="J98" s="77"/>
      <c r="K98" s="77"/>
      <c r="L98" s="77"/>
      <c r="M98" s="76">
        <f>SUM(C98:L98)</f>
        <v>0</v>
      </c>
      <c r="N98" t="str">
        <f t="shared" ref="N98:N102" si="53">IF(A98="","",N90)</f>
        <v/>
      </c>
    </row>
    <row r="99" spans="1:14" x14ac:dyDescent="0.35">
      <c r="A99" s="32" t="str">
        <f>IF(A98="","","   Volume all players (should be zero)")</f>
        <v/>
      </c>
      <c r="C99" s="79" t="str">
        <f t="shared" ref="C99:M99" si="54">IF(OR(C$27="",$A99=""),"",C$112)</f>
        <v/>
      </c>
      <c r="D99" s="79" t="str">
        <f t="shared" si="54"/>
        <v/>
      </c>
      <c r="E99" s="79" t="str">
        <f t="shared" si="54"/>
        <v/>
      </c>
      <c r="F99" s="79" t="str">
        <f t="shared" si="54"/>
        <v/>
      </c>
      <c r="G99" s="79" t="str">
        <f t="shared" si="54"/>
        <v/>
      </c>
      <c r="H99" s="79" t="str">
        <f t="shared" si="54"/>
        <v/>
      </c>
      <c r="I99" s="79" t="str">
        <f t="shared" si="54"/>
        <v/>
      </c>
      <c r="J99" s="79" t="str">
        <f t="shared" si="54"/>
        <v/>
      </c>
      <c r="K99" s="79" t="str">
        <f t="shared" si="54"/>
        <v/>
      </c>
      <c r="L99" s="79" t="str">
        <f t="shared" si="54"/>
        <v/>
      </c>
      <c r="M99" t="str">
        <f t="shared" si="54"/>
        <v/>
      </c>
      <c r="N99" t="str">
        <f t="shared" si="53"/>
        <v/>
      </c>
    </row>
    <row r="100" spans="1:14" x14ac:dyDescent="0.35">
      <c r="A100" s="1" t="str">
        <f>IF(A98="","","   Available Water [maf]")</f>
        <v/>
      </c>
      <c r="C100" s="14" t="str">
        <f t="shared" ref="C100:L100" si="55">IF(OR(C$27="",$A100=""),"",C35+C53-C45-C97)</f>
        <v/>
      </c>
      <c r="D100" s="14" t="str">
        <f t="shared" si="55"/>
        <v/>
      </c>
      <c r="E100" s="14" t="str">
        <f t="shared" si="55"/>
        <v/>
      </c>
      <c r="F100" s="14" t="str">
        <f t="shared" si="55"/>
        <v/>
      </c>
      <c r="G100" s="14" t="str">
        <f t="shared" si="55"/>
        <v/>
      </c>
      <c r="H100" s="14" t="str">
        <f t="shared" si="55"/>
        <v/>
      </c>
      <c r="I100" s="14" t="str">
        <f t="shared" si="55"/>
        <v/>
      </c>
      <c r="J100" s="14" t="str">
        <f t="shared" si="55"/>
        <v/>
      </c>
      <c r="K100" s="14" t="str">
        <f t="shared" si="55"/>
        <v/>
      </c>
      <c r="L100" s="14" t="str">
        <f t="shared" si="55"/>
        <v/>
      </c>
      <c r="N100" t="str">
        <f t="shared" si="53"/>
        <v/>
      </c>
    </row>
    <row r="101" spans="1:14" x14ac:dyDescent="0.35">
      <c r="A101" s="1" t="str">
        <f>IF(A100="","","   Account Withdraw [maf]")</f>
        <v/>
      </c>
      <c r="C101" s="43"/>
      <c r="D101" s="43"/>
      <c r="E101" s="43"/>
      <c r="F101" s="43"/>
      <c r="G101" s="43"/>
      <c r="H101" s="43"/>
      <c r="I101" s="43"/>
      <c r="J101" s="43"/>
      <c r="K101" s="43"/>
      <c r="L101" s="43"/>
      <c r="N101" t="str">
        <f t="shared" si="53"/>
        <v/>
      </c>
    </row>
    <row r="102" spans="1:14" x14ac:dyDescent="0.35">
      <c r="A102" s="32" t="str">
        <f>IF(A101="","","   End of Year Balance [maf]")</f>
        <v/>
      </c>
      <c r="C102" s="78" t="str">
        <f>IF(OR(C$27="",$A102=""),"",C100-C101)</f>
        <v/>
      </c>
      <c r="D102" s="78" t="str">
        <f t="shared" ref="D102:L102" si="56">IF(OR(D$27="",$A102=""),"",D100-D101)</f>
        <v/>
      </c>
      <c r="E102" s="78" t="str">
        <f t="shared" si="56"/>
        <v/>
      </c>
      <c r="F102" s="78" t="str">
        <f t="shared" si="56"/>
        <v/>
      </c>
      <c r="G102" s="78" t="str">
        <f t="shared" si="56"/>
        <v/>
      </c>
      <c r="H102" s="78" t="str">
        <f t="shared" si="56"/>
        <v/>
      </c>
      <c r="I102" s="78" t="str">
        <f t="shared" si="56"/>
        <v/>
      </c>
      <c r="J102" s="78" t="str">
        <f t="shared" si="56"/>
        <v/>
      </c>
      <c r="K102" s="78" t="str">
        <f t="shared" si="56"/>
        <v/>
      </c>
      <c r="L102" s="78" t="str">
        <f t="shared" si="56"/>
        <v/>
      </c>
      <c r="N102" t="str">
        <f t="shared" si="53"/>
        <v/>
      </c>
    </row>
    <row r="103" spans="1:14" x14ac:dyDescent="0.35">
      <c r="C103"/>
    </row>
    <row r="104" spans="1:14" x14ac:dyDescent="0.35">
      <c r="A104" s="83" t="s">
        <v>198</v>
      </c>
      <c r="B104" s="84"/>
      <c r="C104" s="84"/>
      <c r="D104" s="84"/>
      <c r="E104" s="84"/>
      <c r="F104" s="84"/>
      <c r="G104" s="84"/>
      <c r="H104" s="84"/>
      <c r="I104" s="84"/>
      <c r="J104" s="84"/>
      <c r="K104" s="84"/>
      <c r="L104" s="84"/>
      <c r="M104" s="84"/>
      <c r="N104" s="84"/>
    </row>
    <row r="105" spans="1:14" x14ac:dyDescent="0.35">
      <c r="A105" s="1" t="s">
        <v>159</v>
      </c>
      <c r="C105"/>
      <c r="M105" t="s">
        <v>197</v>
      </c>
      <c r="N105" t="s">
        <v>160</v>
      </c>
    </row>
    <row r="106" spans="1:14" x14ac:dyDescent="0.35">
      <c r="A106" t="str">
        <f t="shared" ref="A106:A111" si="57">IF(A6="","","    "&amp;A6)</f>
        <v xml:space="preserve">    Upper Basin</v>
      </c>
      <c r="B106" s="1"/>
      <c r="C106" s="79" t="str">
        <f t="shared" ref="C106:L111" ca="1" si="58">IF(OR(C$27="",$A106=""),"",OFFSET(C$57,8*(ROW(B106)-ROW(B$106)),0))</f>
        <v/>
      </c>
      <c r="D106" s="79" t="str">
        <f t="shared" ca="1" si="58"/>
        <v/>
      </c>
      <c r="E106" s="79" t="str">
        <f t="shared" ca="1" si="58"/>
        <v/>
      </c>
      <c r="F106" s="79" t="str">
        <f t="shared" ca="1" si="58"/>
        <v/>
      </c>
      <c r="G106" s="79" t="str">
        <f t="shared" ca="1" si="58"/>
        <v/>
      </c>
      <c r="H106" s="79" t="str">
        <f t="shared" ca="1" si="58"/>
        <v/>
      </c>
      <c r="I106" s="79" t="str">
        <f t="shared" ca="1" si="58"/>
        <v/>
      </c>
      <c r="J106" s="79" t="str">
        <f t="shared" ca="1" si="58"/>
        <v/>
      </c>
      <c r="K106" s="79" t="str">
        <f t="shared" ca="1" si="58"/>
        <v/>
      </c>
      <c r="L106" s="79" t="str">
        <f t="shared" ca="1" si="58"/>
        <v/>
      </c>
      <c r="M106" s="79">
        <f ca="1">IF(OR($A106=""),"",SUM(C106:L106))</f>
        <v>0</v>
      </c>
      <c r="N106" s="76">
        <f>IF(OR($A106=""),"",M58)</f>
        <v>0</v>
      </c>
    </row>
    <row r="107" spans="1:14" x14ac:dyDescent="0.35">
      <c r="A107" t="str">
        <f t="shared" si="57"/>
        <v xml:space="preserve">    Lower Basin</v>
      </c>
      <c r="B107" s="1"/>
      <c r="C107" s="79" t="str">
        <f t="shared" ca="1" si="58"/>
        <v/>
      </c>
      <c r="D107" s="79" t="str">
        <f t="shared" ca="1" si="58"/>
        <v/>
      </c>
      <c r="E107" s="79" t="str">
        <f t="shared" ca="1" si="58"/>
        <v/>
      </c>
      <c r="F107" s="79" t="str">
        <f t="shared" ca="1" si="58"/>
        <v/>
      </c>
      <c r="G107" s="79" t="str">
        <f t="shared" ca="1" si="58"/>
        <v/>
      </c>
      <c r="H107" s="79" t="str">
        <f t="shared" ca="1" si="58"/>
        <v/>
      </c>
      <c r="I107" s="79" t="str">
        <f t="shared" ca="1" si="58"/>
        <v/>
      </c>
      <c r="J107" s="79" t="str">
        <f t="shared" ca="1" si="58"/>
        <v/>
      </c>
      <c r="K107" s="79" t="str">
        <f t="shared" ca="1" si="58"/>
        <v/>
      </c>
      <c r="L107" s="79" t="str">
        <f t="shared" ca="1" si="58"/>
        <v/>
      </c>
      <c r="M107" s="79">
        <f t="shared" ref="M107:M111" ca="1" si="59">IF(OR($A107=""),"",SUM(C107:L107))</f>
        <v>0</v>
      </c>
      <c r="N107" s="76">
        <f>IF(OR($A107=""),"",M66)</f>
        <v>0</v>
      </c>
    </row>
    <row r="108" spans="1:14" x14ac:dyDescent="0.35">
      <c r="A108" t="str">
        <f t="shared" si="57"/>
        <v xml:space="preserve">    Mexico</v>
      </c>
      <c r="B108" s="1"/>
      <c r="C108" s="79" t="str">
        <f t="shared" ca="1" si="58"/>
        <v/>
      </c>
      <c r="D108" s="79" t="str">
        <f t="shared" ca="1" si="58"/>
        <v/>
      </c>
      <c r="E108" s="79" t="str">
        <f t="shared" ca="1" si="58"/>
        <v/>
      </c>
      <c r="F108" s="79" t="str">
        <f t="shared" ca="1" si="58"/>
        <v/>
      </c>
      <c r="G108" s="79" t="str">
        <f t="shared" ca="1" si="58"/>
        <v/>
      </c>
      <c r="H108" s="79" t="str">
        <f t="shared" ca="1" si="58"/>
        <v/>
      </c>
      <c r="I108" s="79" t="str">
        <f t="shared" ca="1" si="58"/>
        <v/>
      </c>
      <c r="J108" s="79" t="str">
        <f t="shared" ca="1" si="58"/>
        <v/>
      </c>
      <c r="K108" s="79" t="str">
        <f t="shared" ca="1" si="58"/>
        <v/>
      </c>
      <c r="L108" s="79" t="str">
        <f t="shared" ca="1" si="58"/>
        <v/>
      </c>
      <c r="M108" s="79">
        <f t="shared" ca="1" si="59"/>
        <v>0</v>
      </c>
      <c r="N108" s="76">
        <f>IF(OR($A108=""),"",M74)</f>
        <v>0</v>
      </c>
    </row>
    <row r="109" spans="1:14" x14ac:dyDescent="0.35">
      <c r="A109" t="str">
        <f t="shared" si="57"/>
        <v xml:space="preserve">    Mohave &amp; Havasu Evap &amp; ET</v>
      </c>
      <c r="B109" s="1"/>
      <c r="C109" s="79" t="str">
        <f t="shared" ca="1" si="58"/>
        <v/>
      </c>
      <c r="D109" s="79" t="str">
        <f t="shared" ca="1" si="58"/>
        <v/>
      </c>
      <c r="E109" s="79" t="str">
        <f t="shared" ca="1" si="58"/>
        <v/>
      </c>
      <c r="F109" s="79" t="str">
        <f t="shared" ca="1" si="58"/>
        <v/>
      </c>
      <c r="G109" s="79" t="str">
        <f t="shared" ca="1" si="58"/>
        <v/>
      </c>
      <c r="H109" s="79" t="str">
        <f t="shared" ca="1" si="58"/>
        <v/>
      </c>
      <c r="I109" s="79" t="str">
        <f t="shared" ca="1" si="58"/>
        <v/>
      </c>
      <c r="J109" s="79" t="str">
        <f t="shared" ca="1" si="58"/>
        <v/>
      </c>
      <c r="K109" s="79" t="str">
        <f t="shared" ca="1" si="58"/>
        <v/>
      </c>
      <c r="L109" s="79" t="str">
        <f t="shared" ca="1" si="58"/>
        <v/>
      </c>
      <c r="M109" s="79">
        <f t="shared" ca="1" si="59"/>
        <v>0</v>
      </c>
      <c r="N109" s="76">
        <f>IF(OR($A109=""),"",M82)</f>
        <v>0</v>
      </c>
    </row>
    <row r="110" spans="1:14" x14ac:dyDescent="0.35">
      <c r="A110" t="str">
        <f t="shared" si="57"/>
        <v xml:space="preserve">    Shared, Reserve</v>
      </c>
      <c r="B110" s="1"/>
      <c r="C110" s="79" t="str">
        <f t="shared" ca="1" si="58"/>
        <v/>
      </c>
      <c r="D110" s="79" t="str">
        <f t="shared" ca="1" si="58"/>
        <v/>
      </c>
      <c r="E110" s="79" t="str">
        <f t="shared" ca="1" si="58"/>
        <v/>
      </c>
      <c r="F110" s="79" t="str">
        <f t="shared" ca="1" si="58"/>
        <v/>
      </c>
      <c r="G110" s="79" t="str">
        <f t="shared" ca="1" si="58"/>
        <v/>
      </c>
      <c r="H110" s="79" t="str">
        <f t="shared" ca="1" si="58"/>
        <v/>
      </c>
      <c r="I110" s="79" t="str">
        <f t="shared" ca="1" si="58"/>
        <v/>
      </c>
      <c r="J110" s="79" t="str">
        <f t="shared" ca="1" si="58"/>
        <v/>
      </c>
      <c r="K110" s="79" t="str">
        <f t="shared" ca="1" si="58"/>
        <v/>
      </c>
      <c r="L110" s="79" t="str">
        <f t="shared" ca="1" si="58"/>
        <v/>
      </c>
      <c r="M110" s="79">
        <f t="shared" ca="1" si="59"/>
        <v>0</v>
      </c>
      <c r="N110" s="76">
        <f>IF(OR($A110=""),"",M90)</f>
        <v>0</v>
      </c>
    </row>
    <row r="111" spans="1:14" x14ac:dyDescent="0.35">
      <c r="A111" t="str">
        <f t="shared" si="57"/>
        <v/>
      </c>
      <c r="B111" s="1"/>
      <c r="C111" s="79" t="str">
        <f t="shared" ca="1" si="58"/>
        <v/>
      </c>
      <c r="D111" s="79" t="str">
        <f t="shared" ca="1" si="58"/>
        <v/>
      </c>
      <c r="E111" s="79" t="str">
        <f t="shared" ca="1" si="58"/>
        <v/>
      </c>
      <c r="F111" s="79" t="str">
        <f t="shared" ca="1" si="58"/>
        <v/>
      </c>
      <c r="G111" s="79" t="str">
        <f t="shared" ca="1" si="58"/>
        <v/>
      </c>
      <c r="H111" s="79" t="str">
        <f t="shared" ca="1" si="58"/>
        <v/>
      </c>
      <c r="I111" s="79" t="str">
        <f t="shared" ca="1" si="58"/>
        <v/>
      </c>
      <c r="J111" s="79" t="str">
        <f t="shared" ca="1" si="58"/>
        <v/>
      </c>
      <c r="K111" s="79" t="str">
        <f t="shared" ca="1" si="58"/>
        <v/>
      </c>
      <c r="L111" s="79" t="str">
        <f t="shared" ca="1" si="58"/>
        <v/>
      </c>
      <c r="M111" s="79" t="str">
        <f t="shared" si="59"/>
        <v/>
      </c>
      <c r="N111" s="76" t="str">
        <f>IF(OR($A111=""),"",M98)</f>
        <v/>
      </c>
    </row>
    <row r="112" spans="1:14" x14ac:dyDescent="0.35">
      <c r="A112" t="s">
        <v>154</v>
      </c>
      <c r="B112" s="1"/>
      <c r="C112" s="53" t="str">
        <f>IF(C$27&lt;&gt;"",SUM(C106:C111),"")</f>
        <v/>
      </c>
      <c r="D112" s="53" t="str">
        <f t="shared" ref="D112:L112" si="60">IF(D$27&lt;&gt;"",SUM(D106:D111),"")</f>
        <v/>
      </c>
      <c r="E112" s="53" t="str">
        <f t="shared" si="60"/>
        <v/>
      </c>
      <c r="F112" s="53" t="str">
        <f t="shared" si="60"/>
        <v/>
      </c>
      <c r="G112" s="53" t="str">
        <f t="shared" si="60"/>
        <v/>
      </c>
      <c r="H112" s="53" t="str">
        <f t="shared" si="60"/>
        <v/>
      </c>
      <c r="I112" s="53" t="str">
        <f t="shared" si="60"/>
        <v/>
      </c>
      <c r="J112" s="53" t="str">
        <f t="shared" si="60"/>
        <v/>
      </c>
      <c r="K112" s="53" t="str">
        <f t="shared" si="60"/>
        <v/>
      </c>
      <c r="L112" s="53" t="str">
        <f t="shared" si="60"/>
        <v/>
      </c>
      <c r="M112" s="34"/>
    </row>
    <row r="113" spans="1:12" x14ac:dyDescent="0.35">
      <c r="A113" s="1" t="s">
        <v>135</v>
      </c>
      <c r="B113" s="1"/>
      <c r="C113" s="61"/>
      <c r="D113" s="2"/>
      <c r="E113" s="61"/>
      <c r="F113" s="2"/>
      <c r="G113" s="2"/>
      <c r="H113" s="2"/>
      <c r="I113" s="2"/>
      <c r="J113" s="2"/>
      <c r="K113" s="2"/>
      <c r="L113" s="2"/>
    </row>
    <row r="114" spans="1:12" x14ac:dyDescent="0.35">
      <c r="A114" t="str">
        <f>IF(A6="","","    "&amp;A6&amp;" - Consumptive Use and Headwaters Losses")</f>
        <v xml:space="preserve">    Upper Basin - Consumptive Use and Headwaters Losses</v>
      </c>
      <c r="C114" s="79" t="str">
        <f t="shared" ref="C114:L119" ca="1" si="61">IF(OR(C$27="",$A114=""),"",OFFSET(C$61,8*(ROW(B114)-ROW(B$114)),0))</f>
        <v/>
      </c>
      <c r="D114" s="79" t="str">
        <f t="shared" ca="1" si="61"/>
        <v/>
      </c>
      <c r="E114" s="79" t="str">
        <f t="shared" ca="1" si="61"/>
        <v/>
      </c>
      <c r="F114" s="79" t="str">
        <f t="shared" ca="1" si="61"/>
        <v/>
      </c>
      <c r="G114" s="79" t="str">
        <f t="shared" ca="1" si="61"/>
        <v/>
      </c>
      <c r="H114" s="79" t="str">
        <f t="shared" ca="1" si="61"/>
        <v/>
      </c>
      <c r="I114" s="79" t="str">
        <f t="shared" ca="1" si="61"/>
        <v/>
      </c>
      <c r="J114" s="79" t="str">
        <f t="shared" ca="1" si="61"/>
        <v/>
      </c>
      <c r="K114" s="79" t="str">
        <f t="shared" ca="1" si="61"/>
        <v/>
      </c>
      <c r="L114" s="79" t="str">
        <f t="shared" ca="1" si="61"/>
        <v/>
      </c>
    </row>
    <row r="115" spans="1:12" x14ac:dyDescent="0.35">
      <c r="A115" t="str">
        <f>IF(A7="","","    "&amp;A7&amp;" - Release from Mead")</f>
        <v xml:space="preserve">    Lower Basin - Release from Mead</v>
      </c>
      <c r="C115" s="79" t="str">
        <f t="shared" ca="1" si="61"/>
        <v/>
      </c>
      <c r="D115" s="79" t="str">
        <f t="shared" ca="1" si="61"/>
        <v/>
      </c>
      <c r="E115" s="79" t="str">
        <f t="shared" ca="1" si="61"/>
        <v/>
      </c>
      <c r="F115" s="79" t="str">
        <f t="shared" ca="1" si="61"/>
        <v/>
      </c>
      <c r="G115" s="79" t="str">
        <f t="shared" ca="1" si="61"/>
        <v/>
      </c>
      <c r="H115" s="79" t="str">
        <f t="shared" ca="1" si="61"/>
        <v/>
      </c>
      <c r="I115" s="79" t="str">
        <f t="shared" ca="1" si="61"/>
        <v/>
      </c>
      <c r="J115" s="79" t="str">
        <f t="shared" ca="1" si="61"/>
        <v/>
      </c>
      <c r="K115" s="79" t="str">
        <f t="shared" ca="1" si="61"/>
        <v/>
      </c>
      <c r="L115" s="79" t="str">
        <f t="shared" ca="1" si="61"/>
        <v/>
      </c>
    </row>
    <row r="116" spans="1:12" x14ac:dyDescent="0.35">
      <c r="A116" t="str">
        <f>IF(A8="","","    "&amp;A8&amp;" - Release from Mead")</f>
        <v xml:space="preserve">    Mexico - Release from Mead</v>
      </c>
      <c r="C116" s="79" t="str">
        <f t="shared" ca="1" si="61"/>
        <v/>
      </c>
      <c r="D116" s="79" t="str">
        <f t="shared" ca="1" si="61"/>
        <v/>
      </c>
      <c r="E116" s="79" t="str">
        <f t="shared" ca="1" si="61"/>
        <v/>
      </c>
      <c r="F116" s="79" t="str">
        <f t="shared" ca="1" si="61"/>
        <v/>
      </c>
      <c r="G116" s="79" t="str">
        <f t="shared" ca="1" si="61"/>
        <v/>
      </c>
      <c r="H116" s="79" t="str">
        <f t="shared" ca="1" si="61"/>
        <v/>
      </c>
      <c r="I116" s="79" t="str">
        <f t="shared" ca="1" si="61"/>
        <v/>
      </c>
      <c r="J116" s="79" t="str">
        <f t="shared" ca="1" si="61"/>
        <v/>
      </c>
      <c r="K116" s="79" t="str">
        <f t="shared" ca="1" si="61"/>
        <v/>
      </c>
      <c r="L116" s="79" t="str">
        <f t="shared" ca="1" si="61"/>
        <v/>
      </c>
    </row>
    <row r="117" spans="1:12" x14ac:dyDescent="0.35">
      <c r="A117" t="str">
        <f>IF(A9="","","    "&amp;A9&amp;" - Release from Mead")</f>
        <v xml:space="preserve">    Mohave &amp; Havasu Evap &amp; ET - Release from Mead</v>
      </c>
      <c r="C117" s="79" t="str">
        <f t="shared" ca="1" si="61"/>
        <v/>
      </c>
      <c r="D117" s="79" t="str">
        <f t="shared" ca="1" si="61"/>
        <v/>
      </c>
      <c r="E117" s="79" t="str">
        <f t="shared" ca="1" si="61"/>
        <v/>
      </c>
      <c r="F117" s="79" t="str">
        <f t="shared" ca="1" si="61"/>
        <v/>
      </c>
      <c r="G117" s="79" t="str">
        <f t="shared" ca="1" si="61"/>
        <v/>
      </c>
      <c r="H117" s="79" t="str">
        <f t="shared" ca="1" si="61"/>
        <v/>
      </c>
      <c r="I117" s="79" t="str">
        <f t="shared" ca="1" si="61"/>
        <v/>
      </c>
      <c r="J117" s="79" t="str">
        <f t="shared" ca="1" si="61"/>
        <v/>
      </c>
      <c r="K117" s="79" t="str">
        <f t="shared" ca="1" si="61"/>
        <v/>
      </c>
      <c r="L117" s="79" t="str">
        <f t="shared" ca="1" si="61"/>
        <v/>
      </c>
    </row>
    <row r="118" spans="1:12" x14ac:dyDescent="0.35">
      <c r="A118" t="str">
        <f>IF(A10="","","    "&amp;A10&amp;" - Release from Mead")</f>
        <v xml:space="preserve">    Shared, Reserve - Release from Mead</v>
      </c>
      <c r="C118" s="79" t="str">
        <f t="shared" ca="1" si="61"/>
        <v/>
      </c>
      <c r="D118" s="79" t="str">
        <f t="shared" ca="1" si="61"/>
        <v/>
      </c>
      <c r="E118" s="79" t="str">
        <f t="shared" ca="1" si="61"/>
        <v/>
      </c>
      <c r="F118" s="79" t="str">
        <f t="shared" ca="1" si="61"/>
        <v/>
      </c>
      <c r="G118" s="79" t="str">
        <f t="shared" ca="1" si="61"/>
        <v/>
      </c>
      <c r="H118" s="79" t="str">
        <f t="shared" ca="1" si="61"/>
        <v/>
      </c>
      <c r="I118" s="79" t="str">
        <f t="shared" ca="1" si="61"/>
        <v/>
      </c>
      <c r="J118" s="79" t="str">
        <f t="shared" ca="1" si="61"/>
        <v/>
      </c>
      <c r="K118" s="79" t="str">
        <f t="shared" ca="1" si="61"/>
        <v/>
      </c>
      <c r="L118" s="79" t="str">
        <f t="shared" ca="1" si="61"/>
        <v/>
      </c>
    </row>
    <row r="119" spans="1:12" x14ac:dyDescent="0.35">
      <c r="A119" t="str">
        <f>IF(A11="","","    "&amp;A11&amp;" - Release from Mead")</f>
        <v/>
      </c>
      <c r="C119" s="79" t="str">
        <f t="shared" ca="1" si="61"/>
        <v/>
      </c>
      <c r="D119" s="79" t="str">
        <f t="shared" ca="1" si="61"/>
        <v/>
      </c>
      <c r="E119" s="79" t="str">
        <f t="shared" ca="1" si="61"/>
        <v/>
      </c>
      <c r="F119" s="79" t="str">
        <f t="shared" ca="1" si="61"/>
        <v/>
      </c>
      <c r="G119" s="79" t="str">
        <f t="shared" ca="1" si="61"/>
        <v/>
      </c>
      <c r="H119" s="79" t="str">
        <f t="shared" ca="1" si="61"/>
        <v/>
      </c>
      <c r="I119" s="79" t="str">
        <f t="shared" ca="1" si="61"/>
        <v/>
      </c>
      <c r="J119" s="79" t="str">
        <f t="shared" ca="1" si="61"/>
        <v/>
      </c>
      <c r="K119" s="79" t="str">
        <f t="shared" ca="1" si="61"/>
        <v/>
      </c>
      <c r="L119" s="79" t="str">
        <f t="shared" ca="1" si="61"/>
        <v/>
      </c>
    </row>
    <row r="120" spans="1:12" x14ac:dyDescent="0.35">
      <c r="A120" s="1" t="s">
        <v>140</v>
      </c>
      <c r="B120" s="1"/>
      <c r="D120" s="2"/>
      <c r="E120" s="2"/>
      <c r="F120" s="2"/>
      <c r="G120" s="2"/>
      <c r="H120" s="2"/>
      <c r="I120" s="2"/>
      <c r="J120" s="2"/>
      <c r="K120" s="2"/>
      <c r="L120" s="2"/>
    </row>
    <row r="121" spans="1:12" x14ac:dyDescent="0.35">
      <c r="A121" t="str">
        <f t="shared" ref="A121:A126" si="62">IF(A6="","","    "&amp;A6)</f>
        <v xml:space="preserve">    Upper Basin</v>
      </c>
      <c r="C121" s="79" t="str">
        <f t="shared" ref="C121:L126" ca="1" si="63">IF(OR(C$27="",$A121=""),"",OFFSET(C$62,8*(ROW(B121)-ROW(B$121)),0))</f>
        <v/>
      </c>
      <c r="D121" s="79" t="str">
        <f t="shared" ca="1" si="63"/>
        <v/>
      </c>
      <c r="E121" s="79" t="str">
        <f t="shared" ca="1" si="63"/>
        <v/>
      </c>
      <c r="F121" s="79" t="str">
        <f t="shared" ca="1" si="63"/>
        <v/>
      </c>
      <c r="G121" s="79" t="str">
        <f t="shared" ca="1" si="63"/>
        <v/>
      </c>
      <c r="H121" s="79" t="str">
        <f t="shared" ca="1" si="63"/>
        <v/>
      </c>
      <c r="I121" s="79" t="str">
        <f t="shared" ca="1" si="63"/>
        <v/>
      </c>
      <c r="J121" s="79" t="str">
        <f t="shared" ca="1" si="63"/>
        <v/>
      </c>
      <c r="K121" s="79" t="str">
        <f t="shared" ca="1" si="63"/>
        <v/>
      </c>
      <c r="L121" s="79" t="str">
        <f t="shared" ca="1" si="63"/>
        <v/>
      </c>
    </row>
    <row r="122" spans="1:12" x14ac:dyDescent="0.35">
      <c r="A122" t="str">
        <f t="shared" si="62"/>
        <v xml:space="preserve">    Lower Basin</v>
      </c>
      <c r="C122" s="79" t="str">
        <f t="shared" ca="1" si="63"/>
        <v/>
      </c>
      <c r="D122" s="79" t="str">
        <f t="shared" ca="1" si="63"/>
        <v/>
      </c>
      <c r="E122" s="79" t="str">
        <f t="shared" ca="1" si="63"/>
        <v/>
      </c>
      <c r="F122" s="79" t="str">
        <f t="shared" ca="1" si="63"/>
        <v/>
      </c>
      <c r="G122" s="79" t="str">
        <f t="shared" ca="1" si="63"/>
        <v/>
      </c>
      <c r="H122" s="79" t="str">
        <f t="shared" ca="1" si="63"/>
        <v/>
      </c>
      <c r="I122" s="79" t="str">
        <f t="shared" ca="1" si="63"/>
        <v/>
      </c>
      <c r="J122" s="79" t="str">
        <f t="shared" ca="1" si="63"/>
        <v/>
      </c>
      <c r="K122" s="79" t="str">
        <f t="shared" ca="1" si="63"/>
        <v/>
      </c>
      <c r="L122" s="79" t="str">
        <f t="shared" ca="1" si="63"/>
        <v/>
      </c>
    </row>
    <row r="123" spans="1:12" x14ac:dyDescent="0.35">
      <c r="A123" t="str">
        <f t="shared" si="62"/>
        <v xml:space="preserve">    Mexico</v>
      </c>
      <c r="C123" s="79" t="str">
        <f t="shared" ca="1" si="63"/>
        <v/>
      </c>
      <c r="D123" s="79" t="str">
        <f t="shared" ca="1" si="63"/>
        <v/>
      </c>
      <c r="E123" s="79" t="str">
        <f t="shared" ca="1" si="63"/>
        <v/>
      </c>
      <c r="F123" s="79" t="str">
        <f t="shared" ca="1" si="63"/>
        <v/>
      </c>
      <c r="G123" s="79" t="str">
        <f t="shared" ca="1" si="63"/>
        <v/>
      </c>
      <c r="H123" s="79" t="str">
        <f t="shared" ca="1" si="63"/>
        <v/>
      </c>
      <c r="I123" s="79" t="str">
        <f t="shared" ca="1" si="63"/>
        <v/>
      </c>
      <c r="J123" s="79" t="str">
        <f t="shared" ca="1" si="63"/>
        <v/>
      </c>
      <c r="K123" s="79" t="str">
        <f t="shared" ca="1" si="63"/>
        <v/>
      </c>
      <c r="L123" s="79" t="str">
        <f t="shared" ca="1" si="63"/>
        <v/>
      </c>
    </row>
    <row r="124" spans="1:12" x14ac:dyDescent="0.35">
      <c r="A124" t="str">
        <f t="shared" si="62"/>
        <v xml:space="preserve">    Mohave &amp; Havasu Evap &amp; ET</v>
      </c>
      <c r="C124" s="79" t="str">
        <f t="shared" ca="1" si="63"/>
        <v/>
      </c>
      <c r="D124" s="79" t="str">
        <f t="shared" ca="1" si="63"/>
        <v/>
      </c>
      <c r="E124" s="79" t="str">
        <f t="shared" ca="1" si="63"/>
        <v/>
      </c>
      <c r="F124" s="79" t="str">
        <f t="shared" ca="1" si="63"/>
        <v/>
      </c>
      <c r="G124" s="79" t="str">
        <f t="shared" ca="1" si="63"/>
        <v/>
      </c>
      <c r="H124" s="79" t="str">
        <f t="shared" ca="1" si="63"/>
        <v/>
      </c>
      <c r="I124" s="79" t="str">
        <f t="shared" ca="1" si="63"/>
        <v/>
      </c>
      <c r="J124" s="79" t="str">
        <f t="shared" ca="1" si="63"/>
        <v/>
      </c>
      <c r="K124" s="79" t="str">
        <f t="shared" ca="1" si="63"/>
        <v/>
      </c>
      <c r="L124" s="79" t="str">
        <f t="shared" ca="1" si="63"/>
        <v/>
      </c>
    </row>
    <row r="125" spans="1:12" x14ac:dyDescent="0.35">
      <c r="A125" t="str">
        <f t="shared" si="62"/>
        <v xml:space="preserve">    Shared, Reserve</v>
      </c>
      <c r="C125" s="79" t="str">
        <f t="shared" ca="1" si="63"/>
        <v/>
      </c>
      <c r="D125" s="79" t="str">
        <f t="shared" ca="1" si="63"/>
        <v/>
      </c>
      <c r="E125" s="79" t="str">
        <f t="shared" ca="1" si="63"/>
        <v/>
      </c>
      <c r="F125" s="79" t="str">
        <f t="shared" ca="1" si="63"/>
        <v/>
      </c>
      <c r="G125" s="79" t="str">
        <f t="shared" ca="1" si="63"/>
        <v/>
      </c>
      <c r="H125" s="79" t="str">
        <f t="shared" ca="1" si="63"/>
        <v/>
      </c>
      <c r="I125" s="79" t="str">
        <f t="shared" ca="1" si="63"/>
        <v/>
      </c>
      <c r="J125" s="79" t="str">
        <f t="shared" ca="1" si="63"/>
        <v/>
      </c>
      <c r="K125" s="79" t="str">
        <f t="shared" ca="1" si="63"/>
        <v/>
      </c>
      <c r="L125" s="79" t="str">
        <f t="shared" ca="1" si="63"/>
        <v/>
      </c>
    </row>
    <row r="126" spans="1:12" x14ac:dyDescent="0.35">
      <c r="A126" t="str">
        <f t="shared" si="62"/>
        <v/>
      </c>
      <c r="C126" s="79" t="str">
        <f t="shared" ca="1" si="63"/>
        <v/>
      </c>
      <c r="D126" s="79" t="str">
        <f t="shared" ca="1" si="63"/>
        <v/>
      </c>
      <c r="E126" s="79" t="str">
        <f t="shared" ca="1" si="63"/>
        <v/>
      </c>
      <c r="F126" s="79" t="str">
        <f t="shared" ca="1" si="63"/>
        <v/>
      </c>
      <c r="G126" s="79" t="str">
        <f t="shared" ca="1" si="63"/>
        <v/>
      </c>
      <c r="H126" s="79" t="str">
        <f t="shared" ca="1" si="63"/>
        <v/>
      </c>
      <c r="I126" s="79" t="str">
        <f t="shared" ca="1" si="63"/>
        <v/>
      </c>
      <c r="J126" s="79" t="str">
        <f t="shared" ca="1" si="63"/>
        <v/>
      </c>
      <c r="K126" s="79" t="str">
        <f t="shared" ca="1" si="63"/>
        <v/>
      </c>
      <c r="L126" s="79" t="str">
        <f t="shared" ca="1" si="63"/>
        <v/>
      </c>
    </row>
    <row r="127" spans="1:12" x14ac:dyDescent="0.35">
      <c r="A127" s="1" t="s">
        <v>124</v>
      </c>
      <c r="B127" s="1"/>
      <c r="C127" s="14" t="str">
        <f>IF(C$27&lt;&gt;"",SUM(C121:C126),"")</f>
        <v/>
      </c>
      <c r="D127" s="14" t="str">
        <f t="shared" ref="D127:L127" si="64">IF(D$27&lt;&gt;"",SUM(D121:D126),"")</f>
        <v/>
      </c>
      <c r="E127" s="14" t="str">
        <f t="shared" si="64"/>
        <v/>
      </c>
      <c r="F127" s="14" t="str">
        <f t="shared" si="64"/>
        <v/>
      </c>
      <c r="G127" s="14" t="str">
        <f t="shared" si="64"/>
        <v/>
      </c>
      <c r="H127" s="14" t="str">
        <f t="shared" si="64"/>
        <v/>
      </c>
      <c r="I127" s="14" t="str">
        <f t="shared" si="64"/>
        <v/>
      </c>
      <c r="J127" s="14" t="str">
        <f t="shared" si="64"/>
        <v/>
      </c>
      <c r="K127" s="14" t="str">
        <f t="shared" si="64"/>
        <v/>
      </c>
      <c r="L127" s="14" t="str">
        <f t="shared" si="64"/>
        <v/>
      </c>
    </row>
    <row r="128" spans="1:12" x14ac:dyDescent="0.35">
      <c r="A128" s="1" t="s">
        <v>219</v>
      </c>
      <c r="B128" s="1"/>
      <c r="C128" s="89"/>
      <c r="D128" s="89"/>
      <c r="E128" s="89"/>
      <c r="F128" s="89"/>
      <c r="G128" s="89"/>
      <c r="H128" s="89"/>
      <c r="I128" s="89"/>
      <c r="J128" s="89"/>
      <c r="K128" s="89"/>
      <c r="L128" s="89"/>
    </row>
    <row r="129" spans="1:14" x14ac:dyDescent="0.35">
      <c r="A129" s="1" t="s">
        <v>215</v>
      </c>
      <c r="B129" s="1"/>
      <c r="C129" s="14" t="str">
        <f>IF(C27="","",C$128*C$127)</f>
        <v/>
      </c>
      <c r="D129" s="14" t="str">
        <f t="shared" ref="D129:L129" si="65">IF(D27="","",D$128*D$127)</f>
        <v/>
      </c>
      <c r="E129" s="14" t="str">
        <f t="shared" si="65"/>
        <v/>
      </c>
      <c r="F129" s="14" t="str">
        <f t="shared" si="65"/>
        <v/>
      </c>
      <c r="G129" s="14" t="str">
        <f t="shared" si="65"/>
        <v/>
      </c>
      <c r="H129" s="14" t="str">
        <f t="shared" si="65"/>
        <v/>
      </c>
      <c r="I129" s="14" t="str">
        <f t="shared" si="65"/>
        <v/>
      </c>
      <c r="J129" s="14" t="str">
        <f t="shared" si="65"/>
        <v/>
      </c>
      <c r="K129" s="14" t="str">
        <f t="shared" si="65"/>
        <v/>
      </c>
      <c r="L129" s="14" t="str">
        <f t="shared" si="65"/>
        <v/>
      </c>
    </row>
    <row r="130" spans="1:14" x14ac:dyDescent="0.35">
      <c r="A130" s="1" t="s">
        <v>216</v>
      </c>
      <c r="B130" s="1"/>
      <c r="C130" s="14" t="str">
        <f>IF(C28="","",(1-C$128)*C$127)</f>
        <v/>
      </c>
      <c r="D130" s="14" t="str">
        <f t="shared" ref="D130:L130" si="66">IF(D28="","",(1-D$128)*D$127)</f>
        <v/>
      </c>
      <c r="E130" s="14" t="str">
        <f t="shared" si="66"/>
        <v/>
      </c>
      <c r="F130" s="14" t="str">
        <f t="shared" si="66"/>
        <v/>
      </c>
      <c r="G130" s="14" t="str">
        <f t="shared" si="66"/>
        <v/>
      </c>
      <c r="H130" s="14" t="str">
        <f t="shared" si="66"/>
        <v/>
      </c>
      <c r="I130" s="14" t="str">
        <f t="shared" si="66"/>
        <v/>
      </c>
      <c r="J130" s="14" t="str">
        <f t="shared" si="66"/>
        <v/>
      </c>
      <c r="K130" s="14" t="str">
        <f t="shared" si="66"/>
        <v/>
      </c>
      <c r="L130" s="14" t="str">
        <f t="shared" si="66"/>
        <v/>
      </c>
    </row>
    <row r="131" spans="1:14" x14ac:dyDescent="0.35">
      <c r="A131" s="1" t="s">
        <v>146</v>
      </c>
      <c r="B131" s="1"/>
      <c r="C131" s="14" t="str">
        <f>IF(C$27&lt;&gt;"",-C129+C37+C27-C61-VLOOKUP(C37*1000000,'Powell-Elevation-Area'!$B$5:$D$689,3)*$B$21/1000000,"")</f>
        <v/>
      </c>
      <c r="D131" s="14" t="str">
        <f>IF(D$27&lt;&gt;"",-D129+D37+D27-D61-VLOOKUP(D37*1000000,'Powell-Elevation-Area'!$B$5:$D$689,3)*$B$21/1000000,"")</f>
        <v/>
      </c>
      <c r="E131" s="14" t="str">
        <f>IF(E$27&lt;&gt;"",-E129+E37+E27-E61-VLOOKUP(E37*1000000,'Powell-Elevation-Area'!$B$5:$D$689,3)*$B$21/1000000,"")</f>
        <v/>
      </c>
      <c r="F131" s="14" t="str">
        <f>IF(F$27&lt;&gt;"",-F129+F37+F27-F61-VLOOKUP(F37*1000000,'Powell-Elevation-Area'!$B$5:$D$689,3)*$B$21/1000000,"")</f>
        <v/>
      </c>
      <c r="G131" s="14" t="str">
        <f>IF(G$27&lt;&gt;"",-G129+G37+G27-G61-VLOOKUP(G37*1000000,'Powell-Elevation-Area'!$B$5:$D$689,3)*$B$21/1000000,"")</f>
        <v/>
      </c>
      <c r="H131" s="14" t="str">
        <f>IF(H$27&lt;&gt;"",-H129+H37+H27-H61-VLOOKUP(H37*1000000,'Powell-Elevation-Area'!$B$5:$D$689,3)*$B$21/1000000,"")</f>
        <v/>
      </c>
      <c r="I131" s="14" t="str">
        <f>IF(I$27&lt;&gt;"",-I129+I37+I27-I61-VLOOKUP(I37*1000000,'Powell-Elevation-Area'!$B$5:$D$689,3)*$B$21/1000000,"")</f>
        <v/>
      </c>
      <c r="J131" s="14" t="str">
        <f>IF(J$27&lt;&gt;"",-J129+J37+J27-J61-VLOOKUP(J37*1000000,'Powell-Elevation-Area'!$B$5:$D$689,3)*$B$21/1000000,"")</f>
        <v/>
      </c>
      <c r="K131" s="14" t="str">
        <f>IF(K$27&lt;&gt;"",-K129+K37+K27-K61-VLOOKUP(K37*1000000,'Powell-Elevation-Area'!$B$5:$D$689,3)*$B$21/1000000,"")</f>
        <v/>
      </c>
      <c r="L131" s="14" t="str">
        <f>IF(L$27&lt;&gt;"",-L129+L37+L27-L61-VLOOKUP(L37*1000000,'Powell-Elevation-Area'!$B$5:$D$689,3)*$B$21/1000000,"")</f>
        <v/>
      </c>
      <c r="N131" t="s">
        <v>217</v>
      </c>
    </row>
    <row r="132" spans="1:14" x14ac:dyDescent="0.35">
      <c r="C132" s="29"/>
    </row>
    <row r="133" spans="1:14" x14ac:dyDescent="0.35">
      <c r="A133" s="1" t="s">
        <v>126</v>
      </c>
      <c r="C133" s="12" t="str">
        <f>IF(C$27&lt;&gt;"",0.2,"")</f>
        <v/>
      </c>
      <c r="D133" s="12" t="str">
        <f t="shared" ref="D133:L133" si="67">IF(D$27&lt;&gt;"",0.2,"")</f>
        <v/>
      </c>
      <c r="E133" s="12" t="str">
        <f t="shared" si="67"/>
        <v/>
      </c>
      <c r="F133" s="12" t="str">
        <f t="shared" si="67"/>
        <v/>
      </c>
      <c r="G133" s="12" t="str">
        <f t="shared" si="67"/>
        <v/>
      </c>
      <c r="H133" s="12" t="str">
        <f t="shared" si="67"/>
        <v/>
      </c>
      <c r="I133" s="12" t="str">
        <f t="shared" si="67"/>
        <v/>
      </c>
      <c r="J133" s="12" t="str">
        <f t="shared" si="67"/>
        <v/>
      </c>
      <c r="K133" s="12" t="str">
        <f t="shared" si="67"/>
        <v/>
      </c>
      <c r="L133" s="12" t="str">
        <f t="shared" si="67"/>
        <v/>
      </c>
    </row>
    <row r="134" spans="1:14" x14ac:dyDescent="0.35">
      <c r="A134" t="s">
        <v>127</v>
      </c>
      <c r="C134" s="14" t="str">
        <f t="shared" ref="C134:L134" si="68">IF(C$27&lt;&gt;"",C115+C133,"")</f>
        <v/>
      </c>
      <c r="D134" s="14" t="str">
        <f t="shared" si="68"/>
        <v/>
      </c>
      <c r="E134" s="14" t="str">
        <f t="shared" si="68"/>
        <v/>
      </c>
      <c r="F134" s="14" t="str">
        <f t="shared" si="68"/>
        <v/>
      </c>
      <c r="G134" s="14" t="str">
        <f t="shared" si="68"/>
        <v/>
      </c>
      <c r="H134" s="14" t="str">
        <f t="shared" si="68"/>
        <v/>
      </c>
      <c r="I134" s="14" t="str">
        <f t="shared" si="68"/>
        <v/>
      </c>
      <c r="J134" s="14" t="str">
        <f t="shared" si="68"/>
        <v/>
      </c>
      <c r="K134" s="14" t="str">
        <f t="shared" si="68"/>
        <v/>
      </c>
      <c r="L134" s="14" t="str">
        <f t="shared" si="68"/>
        <v/>
      </c>
    </row>
    <row r="136" spans="1:14" x14ac:dyDescent="0.35">
      <c r="D136" s="18"/>
    </row>
  </sheetData>
  <mergeCells count="9">
    <mergeCell ref="C9:G9"/>
    <mergeCell ref="C10:G10"/>
    <mergeCell ref="C11:G11"/>
    <mergeCell ref="A3:G3"/>
    <mergeCell ref="C4:G4"/>
    <mergeCell ref="C5:G5"/>
    <mergeCell ref="C6:G6"/>
    <mergeCell ref="C7:G7"/>
    <mergeCell ref="C8:G8"/>
  </mergeCells>
  <conditionalFormatting sqref="D61">
    <cfRule type="cellIs" dxfId="265" priority="70" operator="greaterThan">
      <formula>$D$60</formula>
    </cfRule>
  </conditionalFormatting>
  <conditionalFormatting sqref="C61">
    <cfRule type="cellIs" dxfId="264" priority="68" operator="greaterThan">
      <formula>$C$60</formula>
    </cfRule>
  </conditionalFormatting>
  <conditionalFormatting sqref="E61">
    <cfRule type="cellIs" dxfId="263" priority="66" operator="greaterThan">
      <formula>$E$60</formula>
    </cfRule>
  </conditionalFormatting>
  <conditionalFormatting sqref="F61">
    <cfRule type="cellIs" dxfId="262" priority="65" operator="greaterThan">
      <formula>$F$60</formula>
    </cfRule>
  </conditionalFormatting>
  <conditionalFormatting sqref="G61">
    <cfRule type="cellIs" dxfId="261" priority="64" operator="greaterThan">
      <formula>$G$60</formula>
    </cfRule>
  </conditionalFormatting>
  <conditionalFormatting sqref="H61">
    <cfRule type="cellIs" dxfId="260" priority="63" operator="greaterThan">
      <formula>$H$60</formula>
    </cfRule>
  </conditionalFormatting>
  <conditionalFormatting sqref="I61">
    <cfRule type="cellIs" dxfId="259" priority="62" operator="greaterThan">
      <formula>$I$60</formula>
    </cfRule>
  </conditionalFormatting>
  <conditionalFormatting sqref="J61">
    <cfRule type="cellIs" dxfId="258" priority="61" operator="greaterThan">
      <formula>$J$60</formula>
    </cfRule>
  </conditionalFormatting>
  <conditionalFormatting sqref="K61">
    <cfRule type="cellIs" dxfId="257" priority="60" operator="greaterThan">
      <formula>$K$60</formula>
    </cfRule>
  </conditionalFormatting>
  <conditionalFormatting sqref="L61">
    <cfRule type="cellIs" dxfId="256" priority="59" operator="greaterThan">
      <formula>$L$60</formula>
    </cfRule>
  </conditionalFormatting>
  <conditionalFormatting sqref="C69">
    <cfRule type="cellIs" dxfId="255" priority="51" operator="greaterThan">
      <formula>$C$68</formula>
    </cfRule>
  </conditionalFormatting>
  <conditionalFormatting sqref="D69">
    <cfRule type="cellIs" dxfId="254" priority="50" operator="greaterThan">
      <formula>$D$68</formula>
    </cfRule>
  </conditionalFormatting>
  <conditionalFormatting sqref="E69">
    <cfRule type="cellIs" dxfId="253" priority="49" operator="greaterThan">
      <formula>$E$68</formula>
    </cfRule>
  </conditionalFormatting>
  <conditionalFormatting sqref="F69">
    <cfRule type="cellIs" dxfId="252" priority="48" operator="greaterThan">
      <formula>$F$68</formula>
    </cfRule>
  </conditionalFormatting>
  <conditionalFormatting sqref="G69">
    <cfRule type="cellIs" dxfId="251" priority="47" operator="greaterThan">
      <formula>$G$68</formula>
    </cfRule>
  </conditionalFormatting>
  <conditionalFormatting sqref="H69">
    <cfRule type="cellIs" dxfId="250" priority="46" operator="greaterThan">
      <formula>$H$68</formula>
    </cfRule>
  </conditionalFormatting>
  <conditionalFormatting sqref="I69">
    <cfRule type="cellIs" dxfId="249" priority="45" operator="greaterThan">
      <formula>$I$68</formula>
    </cfRule>
  </conditionalFormatting>
  <conditionalFormatting sqref="J69">
    <cfRule type="cellIs" dxfId="248" priority="44" operator="greaterThan">
      <formula>$J$68</formula>
    </cfRule>
  </conditionalFormatting>
  <conditionalFormatting sqref="K69">
    <cfRule type="cellIs" dxfId="247" priority="43" operator="greaterThan">
      <formula>$K$68</formula>
    </cfRule>
  </conditionalFormatting>
  <conditionalFormatting sqref="L69">
    <cfRule type="cellIs" dxfId="246" priority="42" operator="greaterThan">
      <formula>$L$68</formula>
    </cfRule>
  </conditionalFormatting>
  <conditionalFormatting sqref="C77">
    <cfRule type="cellIs" dxfId="245" priority="41" operator="greaterThan">
      <formula>$C$76</formula>
    </cfRule>
  </conditionalFormatting>
  <conditionalFormatting sqref="D77">
    <cfRule type="cellIs" dxfId="244" priority="40" operator="greaterThan">
      <formula>$D$76</formula>
    </cfRule>
  </conditionalFormatting>
  <conditionalFormatting sqref="E77">
    <cfRule type="cellIs" dxfId="243" priority="39" operator="greaterThan">
      <formula>$E$76</formula>
    </cfRule>
  </conditionalFormatting>
  <conditionalFormatting sqref="F77">
    <cfRule type="cellIs" dxfId="242" priority="38" operator="greaterThan">
      <formula>$F$76</formula>
    </cfRule>
  </conditionalFormatting>
  <conditionalFormatting sqref="G77">
    <cfRule type="cellIs" dxfId="241" priority="37" operator="greaterThan">
      <formula>$G$76</formula>
    </cfRule>
  </conditionalFormatting>
  <conditionalFormatting sqref="H77">
    <cfRule type="cellIs" dxfId="240" priority="36" operator="greaterThan">
      <formula>$H$76</formula>
    </cfRule>
  </conditionalFormatting>
  <conditionalFormatting sqref="I77">
    <cfRule type="cellIs" dxfId="239" priority="35" operator="greaterThan">
      <formula>$I$76</formula>
    </cfRule>
  </conditionalFormatting>
  <conditionalFormatting sqref="J77">
    <cfRule type="cellIs" dxfId="238" priority="34" operator="greaterThan">
      <formula>$J$76</formula>
    </cfRule>
  </conditionalFormatting>
  <conditionalFormatting sqref="K77">
    <cfRule type="cellIs" dxfId="237" priority="33" operator="greaterThan">
      <formula>$K$76</formula>
    </cfRule>
  </conditionalFormatting>
  <conditionalFormatting sqref="L77">
    <cfRule type="cellIs" dxfId="236" priority="32" operator="greaterThan">
      <formula>$L$76</formula>
    </cfRule>
  </conditionalFormatting>
  <conditionalFormatting sqref="C85:L85">
    <cfRule type="cellIs" dxfId="235" priority="31" operator="greaterThan">
      <formula>$C$84</formula>
    </cfRule>
  </conditionalFormatting>
  <conditionalFormatting sqref="C93">
    <cfRule type="cellIs" dxfId="234" priority="21" operator="greaterThan">
      <formula>$C$92</formula>
    </cfRule>
  </conditionalFormatting>
  <conditionalFormatting sqref="D93">
    <cfRule type="cellIs" dxfId="233" priority="20" operator="greaterThan">
      <formula>$D$92</formula>
    </cfRule>
  </conditionalFormatting>
  <conditionalFormatting sqref="E93">
    <cfRule type="cellIs" dxfId="232" priority="19" operator="greaterThan">
      <formula>$E$92</formula>
    </cfRule>
  </conditionalFormatting>
  <conditionalFormatting sqref="F93">
    <cfRule type="cellIs" dxfId="231" priority="18" operator="greaterThan">
      <formula>$F$92</formula>
    </cfRule>
  </conditionalFormatting>
  <conditionalFormatting sqref="G93">
    <cfRule type="cellIs" dxfId="230" priority="17" operator="greaterThan">
      <formula>$G$92</formula>
    </cfRule>
  </conditionalFormatting>
  <conditionalFormatting sqref="H93">
    <cfRule type="cellIs" dxfId="229" priority="16" operator="greaterThan">
      <formula>$H$92</formula>
    </cfRule>
  </conditionalFormatting>
  <conditionalFormatting sqref="I93">
    <cfRule type="cellIs" dxfId="228" priority="15" operator="greaterThan">
      <formula>$I$92</formula>
    </cfRule>
  </conditionalFormatting>
  <conditionalFormatting sqref="J93">
    <cfRule type="cellIs" dxfId="227" priority="14" operator="greaterThan">
      <formula>$J$92</formula>
    </cfRule>
  </conditionalFormatting>
  <conditionalFormatting sqref="K93">
    <cfRule type="cellIs" dxfId="226" priority="13" operator="greaterThan">
      <formula>$K$92</formula>
    </cfRule>
  </conditionalFormatting>
  <conditionalFormatting sqref="L93">
    <cfRule type="cellIs" dxfId="225" priority="12" operator="greaterThan">
      <formula>$L$92</formula>
    </cfRule>
  </conditionalFormatting>
  <conditionalFormatting sqref="C101">
    <cfRule type="cellIs" dxfId="224" priority="11" operator="greaterThan">
      <formula>$C$100</formula>
    </cfRule>
  </conditionalFormatting>
  <conditionalFormatting sqref="D101">
    <cfRule type="cellIs" dxfId="223" priority="10" operator="greaterThan">
      <formula>$D$100</formula>
    </cfRule>
  </conditionalFormatting>
  <conditionalFormatting sqref="E101">
    <cfRule type="cellIs" dxfId="222" priority="9" operator="greaterThan">
      <formula>$E$100</formula>
    </cfRule>
  </conditionalFormatting>
  <conditionalFormatting sqref="F101">
    <cfRule type="cellIs" dxfId="221" priority="8" operator="greaterThan">
      <formula>$F$100</formula>
    </cfRule>
  </conditionalFormatting>
  <conditionalFormatting sqref="G101">
    <cfRule type="cellIs" dxfId="220" priority="7" operator="greaterThan">
      <formula>$G$100</formula>
    </cfRule>
  </conditionalFormatting>
  <conditionalFormatting sqref="H101">
    <cfRule type="cellIs" dxfId="219" priority="6" operator="greaterThan">
      <formula>$H$100</formula>
    </cfRule>
  </conditionalFormatting>
  <conditionalFormatting sqref="I101">
    <cfRule type="cellIs" dxfId="218" priority="5" operator="greaterThan">
      <formula>$I$100</formula>
    </cfRule>
  </conditionalFormatting>
  <conditionalFormatting sqref="J101">
    <cfRule type="cellIs" dxfId="217" priority="4" operator="greaterThan">
      <formula>$J$100</formula>
    </cfRule>
  </conditionalFormatting>
  <conditionalFormatting sqref="K101">
    <cfRule type="cellIs" dxfId="216" priority="3" operator="greaterThan">
      <formula>$K$100</formula>
    </cfRule>
  </conditionalFormatting>
  <conditionalFormatting sqref="L101">
    <cfRule type="cellIs" dxfId="215" priority="2"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9" id="{BACF0D97-9792-4A63-AFEB-B31C6011A8F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67" id="{9DB89EDE-C25C-4242-85E2-986ACBA4CFF3}">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58" id="{3A2ADCE7-13C7-4C4F-83B8-410C47527050}">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57" id="{41184E10-3558-4BE0-8398-3A4FA11247D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56" id="{4DDD1A9A-3827-4B28-BA82-61BCB39FEAFB}">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55" id="{EFAA141E-5CC9-4D93-8CCF-FBE56F596999}">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4" id="{EB3D4AD3-0AA1-49C1-BE43-E17366BF667F}">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3" id="{E9FD9B05-906A-445C-AE1D-4C59B5484628}">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2" id="{86897945-AA90-460C-9566-19C221B375F5}">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 id="{3C09A720-F86D-4467-9BBA-F27642E35ED1}">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Z136"/>
  <sheetViews>
    <sheetView topLeftCell="A5" zoomScale="150" zoomScaleNormal="150" workbookViewId="0"/>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10" t="s">
        <v>161</v>
      </c>
      <c r="B3" s="110"/>
      <c r="C3" s="110"/>
      <c r="D3" s="110"/>
      <c r="E3" s="110"/>
      <c r="F3" s="110"/>
      <c r="G3" s="110"/>
      <c r="H3" s="74"/>
      <c r="I3" s="74"/>
      <c r="J3" s="74"/>
      <c r="K3" s="74"/>
    </row>
    <row r="4" spans="1:11" x14ac:dyDescent="0.35">
      <c r="A4" s="60" t="s">
        <v>39</v>
      </c>
      <c r="B4" s="60" t="s">
        <v>43</v>
      </c>
      <c r="C4" s="111" t="s">
        <v>44</v>
      </c>
      <c r="D4" s="112"/>
      <c r="E4" s="112"/>
      <c r="F4" s="112"/>
      <c r="G4" s="113"/>
    </row>
    <row r="5" spans="1:11" x14ac:dyDescent="0.35">
      <c r="A5" s="75" t="s">
        <v>52</v>
      </c>
      <c r="B5" s="75"/>
      <c r="C5" s="114"/>
      <c r="D5" s="114"/>
      <c r="E5" s="114"/>
      <c r="F5" s="114"/>
      <c r="G5" s="114"/>
    </row>
    <row r="6" spans="1:11" x14ac:dyDescent="0.35">
      <c r="A6" s="73" t="s">
        <v>40</v>
      </c>
      <c r="B6" s="73" t="s">
        <v>165</v>
      </c>
      <c r="C6" s="108" t="s">
        <v>213</v>
      </c>
      <c r="D6" s="108"/>
      <c r="E6" s="108"/>
      <c r="F6" s="108"/>
      <c r="G6" s="108"/>
    </row>
    <row r="7" spans="1:11" x14ac:dyDescent="0.35">
      <c r="A7" s="73" t="s">
        <v>41</v>
      </c>
      <c r="B7" s="73" t="s">
        <v>165</v>
      </c>
      <c r="C7" s="108" t="s">
        <v>212</v>
      </c>
      <c r="D7" s="108"/>
      <c r="E7" s="108"/>
      <c r="F7" s="108"/>
      <c r="G7" s="108"/>
    </row>
    <row r="8" spans="1:11" x14ac:dyDescent="0.35">
      <c r="A8" s="73" t="s">
        <v>42</v>
      </c>
      <c r="B8" s="73" t="s">
        <v>165</v>
      </c>
      <c r="C8" s="108" t="s">
        <v>214</v>
      </c>
      <c r="D8" s="108"/>
      <c r="E8" s="108"/>
      <c r="F8" s="108"/>
      <c r="G8" s="108"/>
    </row>
    <row r="9" spans="1:11" x14ac:dyDescent="0.35">
      <c r="A9" s="73" t="s">
        <v>157</v>
      </c>
      <c r="B9" s="73" t="s">
        <v>165</v>
      </c>
      <c r="C9" s="108" t="s">
        <v>163</v>
      </c>
      <c r="D9" s="108"/>
      <c r="E9" s="108"/>
      <c r="F9" s="108"/>
      <c r="G9" s="108"/>
    </row>
    <row r="10" spans="1:11" x14ac:dyDescent="0.35">
      <c r="A10" s="73" t="s">
        <v>170</v>
      </c>
      <c r="B10" s="73" t="s">
        <v>165</v>
      </c>
      <c r="C10" s="109" t="s">
        <v>200</v>
      </c>
      <c r="D10" s="109"/>
      <c r="E10" s="109"/>
      <c r="F10" s="109"/>
      <c r="G10" s="109"/>
    </row>
    <row r="11" spans="1:11" x14ac:dyDescent="0.35">
      <c r="A11" s="73"/>
      <c r="B11" s="73"/>
      <c r="C11" s="109"/>
      <c r="D11" s="109"/>
      <c r="E11" s="109"/>
      <c r="F11" s="109"/>
      <c r="G11" s="109"/>
    </row>
    <row r="12" spans="1:11" x14ac:dyDescent="0.35">
      <c r="A12" s="16"/>
      <c r="B12" s="2"/>
      <c r="C12"/>
    </row>
    <row r="13" spans="1:11" x14ac:dyDescent="0.35">
      <c r="A13" s="19" t="s">
        <v>46</v>
      </c>
      <c r="B13" s="2"/>
      <c r="C13"/>
    </row>
    <row r="14" spans="1:11" x14ac:dyDescent="0.35">
      <c r="A14" s="20" t="s">
        <v>220</v>
      </c>
    </row>
    <row r="15" spans="1:11" x14ac:dyDescent="0.35">
      <c r="A15" s="22" t="s">
        <v>201</v>
      </c>
      <c r="B15" s="19"/>
    </row>
    <row r="16" spans="1:11" x14ac:dyDescent="0.35">
      <c r="A16" s="21" t="s">
        <v>47</v>
      </c>
    </row>
    <row r="18" spans="1:14" x14ac:dyDescent="0.35">
      <c r="A18" s="1" t="s">
        <v>54</v>
      </c>
      <c r="D18" s="20" t="s">
        <v>166</v>
      </c>
    </row>
    <row r="20" spans="1:14" x14ac:dyDescent="0.35">
      <c r="A20" s="1" t="s">
        <v>32</v>
      </c>
      <c r="B20" s="1" t="s">
        <v>111</v>
      </c>
      <c r="C20" s="13" t="s">
        <v>112</v>
      </c>
    </row>
    <row r="21" spans="1:14" x14ac:dyDescent="0.35">
      <c r="A21" t="s">
        <v>110</v>
      </c>
      <c r="B21" s="12">
        <v>5.73</v>
      </c>
      <c r="C21" s="12">
        <v>6</v>
      </c>
      <c r="D21" s="23" t="s">
        <v>113</v>
      </c>
    </row>
    <row r="22" spans="1:14" x14ac:dyDescent="0.35">
      <c r="A22" t="s">
        <v>144</v>
      </c>
      <c r="B22" s="12">
        <v>11</v>
      </c>
      <c r="C22" s="12">
        <v>10.1</v>
      </c>
      <c r="D22" s="11" t="s">
        <v>34</v>
      </c>
    </row>
    <row r="23" spans="1:14" x14ac:dyDescent="0.35">
      <c r="A23" t="s">
        <v>208</v>
      </c>
      <c r="B23" s="71">
        <v>3525</v>
      </c>
      <c r="C23" s="71">
        <v>1020</v>
      </c>
      <c r="D23" s="11"/>
    </row>
    <row r="24" spans="1:14" x14ac:dyDescent="0.35">
      <c r="A24" t="s">
        <v>190</v>
      </c>
      <c r="B24" s="12">
        <f>VLOOKUP(B23,'Powell-Elevation-Area'!$A$5:$B$689,2)/1000000</f>
        <v>5.9265762500000001</v>
      </c>
      <c r="C24" s="12">
        <f>VLOOKUP(C23,'Mead-Elevation-Area'!$A$5:$B$689,2)/1000000</f>
        <v>5.664593</v>
      </c>
      <c r="D24" s="11"/>
      <c r="E24" s="46"/>
    </row>
    <row r="26" spans="1:14" s="1" customFormat="1" x14ac:dyDescent="0.35">
      <c r="A26" s="56" t="s">
        <v>35</v>
      </c>
      <c r="B26" s="56" t="s">
        <v>49</v>
      </c>
      <c r="C26" s="57" t="s">
        <v>5</v>
      </c>
      <c r="D26" s="57" t="s">
        <v>6</v>
      </c>
      <c r="E26" s="57" t="s">
        <v>7</v>
      </c>
      <c r="F26" s="57" t="s">
        <v>8</v>
      </c>
      <c r="G26" s="57" t="s">
        <v>9</v>
      </c>
      <c r="H26" s="57" t="s">
        <v>10</v>
      </c>
      <c r="I26" s="57" t="s">
        <v>11</v>
      </c>
      <c r="J26" s="57" t="s">
        <v>12</v>
      </c>
      <c r="K26" s="57" t="s">
        <v>36</v>
      </c>
      <c r="L26" s="57" t="s">
        <v>37</v>
      </c>
      <c r="M26" s="57" t="s">
        <v>108</v>
      </c>
      <c r="N26" s="57" t="s">
        <v>187</v>
      </c>
    </row>
    <row r="27" spans="1:14" x14ac:dyDescent="0.35">
      <c r="A27" s="1" t="s">
        <v>45</v>
      </c>
      <c r="B27" s="1"/>
      <c r="C27" s="45">
        <v>11</v>
      </c>
      <c r="D27" s="45">
        <f>C27</f>
        <v>11</v>
      </c>
      <c r="E27" s="45">
        <f t="shared" ref="E27:G27" si="0">D27</f>
        <v>11</v>
      </c>
      <c r="F27" s="45">
        <f t="shared" si="0"/>
        <v>11</v>
      </c>
      <c r="G27" s="45">
        <f t="shared" si="0"/>
        <v>11</v>
      </c>
      <c r="H27" s="45"/>
      <c r="I27" s="45"/>
      <c r="J27" s="45"/>
      <c r="K27" s="45"/>
      <c r="L27" s="45"/>
    </row>
    <row r="28" spans="1:14" x14ac:dyDescent="0.35">
      <c r="A28" s="1" t="s">
        <v>122</v>
      </c>
      <c r="B28" s="1"/>
      <c r="C28" s="12">
        <f>IF(C$27&lt;&gt;"",0.8,"")</f>
        <v>0.8</v>
      </c>
      <c r="D28" s="12">
        <f t="shared" ref="D28:L28" si="1">IF(D$27&lt;&gt;"",0.8,"")</f>
        <v>0.8</v>
      </c>
      <c r="E28" s="12">
        <f t="shared" si="1"/>
        <v>0.8</v>
      </c>
      <c r="F28" s="12">
        <f t="shared" si="1"/>
        <v>0.8</v>
      </c>
      <c r="G28" s="12">
        <f t="shared" si="1"/>
        <v>0.8</v>
      </c>
      <c r="H28" s="12" t="str">
        <f t="shared" si="1"/>
        <v/>
      </c>
      <c r="I28" s="12" t="str">
        <f t="shared" si="1"/>
        <v/>
      </c>
      <c r="J28" s="12" t="str">
        <f t="shared" si="1"/>
        <v/>
      </c>
      <c r="K28" s="12" t="str">
        <f t="shared" si="1"/>
        <v/>
      </c>
      <c r="L28" s="12" t="str">
        <f t="shared" si="1"/>
        <v/>
      </c>
    </row>
    <row r="29" spans="1:14" x14ac:dyDescent="0.35">
      <c r="A29" s="1" t="s">
        <v>125</v>
      </c>
      <c r="B29" s="14">
        <f>SUM(B30:B35)-SUM(B22:C22)</f>
        <v>0</v>
      </c>
      <c r="C29" s="14">
        <f>IF(C$27&lt;&gt;"",SUM(B22:C22),"")</f>
        <v>21.1</v>
      </c>
      <c r="D29" s="14">
        <f ca="1">IF(D$27&lt;&gt;"",C127,"")</f>
        <v>19.419925837338837</v>
      </c>
      <c r="E29" s="14">
        <f t="shared" ref="E29:L29" ca="1" si="2">IF(E$27&lt;&gt;"",D127,"")</f>
        <v>18.148451044337666</v>
      </c>
      <c r="F29" s="14">
        <f t="shared" ca="1" si="2"/>
        <v>17.214355043838843</v>
      </c>
      <c r="G29" s="14">
        <f t="shared" ca="1" si="2"/>
        <v>16.509935277339437</v>
      </c>
      <c r="H29" s="14" t="str">
        <f t="shared" si="2"/>
        <v/>
      </c>
      <c r="I29" s="14" t="str">
        <f t="shared" si="2"/>
        <v/>
      </c>
      <c r="J29" s="14" t="str">
        <f t="shared" si="2"/>
        <v/>
      </c>
      <c r="K29" s="14" t="str">
        <f t="shared" si="2"/>
        <v/>
      </c>
      <c r="L29" s="14" t="str">
        <f t="shared" si="2"/>
        <v/>
      </c>
    </row>
    <row r="30" spans="1:14" x14ac:dyDescent="0.35">
      <c r="A30" t="str">
        <f t="shared" ref="A30:A35" si="3">IF(A6="","","    "&amp;A6&amp;" Balance")</f>
        <v xml:space="preserve">    Upper Basin Balance</v>
      </c>
      <c r="B30" s="54">
        <f>B22-B24</f>
        <v>5.0734237499999999</v>
      </c>
      <c r="C30" s="14">
        <f>IF(OR(C$27="",$A30=""),"",B30)</f>
        <v>5.0734237499999999</v>
      </c>
      <c r="D30" s="14">
        <f ca="1">IF(OR(D$27="",$A30=""),"",C121)</f>
        <v>3.1178582945981317</v>
      </c>
      <c r="E30" s="14">
        <f t="shared" ref="E30:L30" ca="1" si="4">IF(OR(E$27="",$A30=""),"",D121)</f>
        <v>1.7427998573977552</v>
      </c>
      <c r="F30" s="14">
        <f t="shared" ca="1" si="4"/>
        <v>0.7256345247277376</v>
      </c>
      <c r="G30" s="14">
        <f t="shared" ca="1" si="4"/>
        <v>0.45385150759843285</v>
      </c>
      <c r="H30" s="14" t="str">
        <f t="shared" si="4"/>
        <v/>
      </c>
      <c r="I30" s="14" t="str">
        <f t="shared" si="4"/>
        <v/>
      </c>
      <c r="J30" s="14" t="str">
        <f t="shared" si="4"/>
        <v/>
      </c>
      <c r="K30" s="14" t="str">
        <f t="shared" si="4"/>
        <v/>
      </c>
      <c r="L30" s="14" t="str">
        <f t="shared" si="4"/>
        <v/>
      </c>
      <c r="N30" t="s">
        <v>192</v>
      </c>
    </row>
    <row r="31" spans="1:14" x14ac:dyDescent="0.35">
      <c r="A31" t="str">
        <f t="shared" si="3"/>
        <v xml:space="preserve">    Lower Basin Balance</v>
      </c>
      <c r="B31" s="54">
        <f>C22-C24-B32</f>
        <v>4.2614069999999993</v>
      </c>
      <c r="C31" s="14">
        <f t="shared" ref="C31:C35" si="5">IF(OR(C$27="",$A31=""),"",B31)</f>
        <v>4.2614069999999993</v>
      </c>
      <c r="D31" s="14">
        <f t="shared" ref="D31:L31" ca="1" si="6">IF(OR(D$27="",$A31=""),"",C122)</f>
        <v>4.3451684655908362</v>
      </c>
      <c r="E31" s="14">
        <f t="shared" ca="1" si="6"/>
        <v>4.3087142792871891</v>
      </c>
      <c r="F31" s="14">
        <f t="shared" ca="1" si="6"/>
        <v>4.2594820063998675</v>
      </c>
      <c r="G31" s="14">
        <f t="shared" ca="1" si="6"/>
        <v>3.9020352507175264</v>
      </c>
      <c r="H31" s="14" t="str">
        <f t="shared" si="6"/>
        <v/>
      </c>
      <c r="I31" s="14" t="str">
        <f t="shared" si="6"/>
        <v/>
      </c>
      <c r="J31" s="14" t="str">
        <f t="shared" si="6"/>
        <v/>
      </c>
      <c r="K31" s="14" t="str">
        <f t="shared" si="6"/>
        <v/>
      </c>
      <c r="L31" s="14" t="str">
        <f t="shared" si="6"/>
        <v/>
      </c>
      <c r="N31" t="s">
        <v>189</v>
      </c>
    </row>
    <row r="32" spans="1:14" x14ac:dyDescent="0.35">
      <c r="A32" t="str">
        <f t="shared" si="3"/>
        <v xml:space="preserve">    Mexico Balance</v>
      </c>
      <c r="B32" s="70">
        <v>0.17399999999999999</v>
      </c>
      <c r="C32" s="58">
        <f t="shared" si="5"/>
        <v>0.17399999999999999</v>
      </c>
      <c r="D32" s="58">
        <f t="shared" ref="D32:L32" ca="1" si="7">IF(OR(D$27="",$A32=""),"",C123)</f>
        <v>0.36572982714987035</v>
      </c>
      <c r="E32" s="58">
        <f t="shared" ca="1" si="7"/>
        <v>0.50576765765272191</v>
      </c>
      <c r="F32" s="58">
        <f t="shared" ca="1" si="7"/>
        <v>0.63806926271123543</v>
      </c>
      <c r="G32" s="58">
        <f t="shared" ca="1" si="7"/>
        <v>0.56287926902347962</v>
      </c>
      <c r="H32" s="14" t="str">
        <f t="shared" si="7"/>
        <v/>
      </c>
      <c r="I32" s="14" t="str">
        <f t="shared" si="7"/>
        <v/>
      </c>
      <c r="J32" s="14" t="str">
        <f t="shared" si="7"/>
        <v/>
      </c>
      <c r="K32" s="14" t="str">
        <f t="shared" si="7"/>
        <v/>
      </c>
      <c r="L32" s="14" t="str">
        <f t="shared" si="7"/>
        <v/>
      </c>
      <c r="N32" t="s">
        <v>188</v>
      </c>
    </row>
    <row r="33" spans="1:14" x14ac:dyDescent="0.35">
      <c r="A33" t="str">
        <f t="shared" si="3"/>
        <v xml:space="preserve">    Mohave &amp; Havasu Evap &amp; ET Balance</v>
      </c>
      <c r="B33" s="55">
        <v>0</v>
      </c>
      <c r="C33" s="14">
        <f t="shared" si="5"/>
        <v>0</v>
      </c>
      <c r="D33" s="14">
        <f t="shared" ref="D33:L33" ca="1" si="8">IF(OR(D$27="",$A33=""),"",C124)</f>
        <v>0</v>
      </c>
      <c r="E33" s="14">
        <f t="shared" ca="1" si="8"/>
        <v>0</v>
      </c>
      <c r="F33" s="14">
        <f t="shared" ca="1" si="8"/>
        <v>0</v>
      </c>
      <c r="G33" s="14">
        <f t="shared" ca="1" si="8"/>
        <v>0</v>
      </c>
      <c r="H33" s="14" t="str">
        <f t="shared" si="8"/>
        <v/>
      </c>
      <c r="I33" s="14" t="str">
        <f t="shared" si="8"/>
        <v/>
      </c>
      <c r="J33" s="14" t="str">
        <f t="shared" si="8"/>
        <v/>
      </c>
      <c r="K33" s="14" t="str">
        <f t="shared" si="8"/>
        <v/>
      </c>
      <c r="L33" s="14" t="str">
        <f t="shared" si="8"/>
        <v/>
      </c>
    </row>
    <row r="34" spans="1:14" x14ac:dyDescent="0.35">
      <c r="A34" t="str">
        <f t="shared" si="3"/>
        <v xml:space="preserve">    Shared, Reserve Balance</v>
      </c>
      <c r="B34" s="54">
        <f>SUM(B24:C24)</f>
        <v>11.59116925</v>
      </c>
      <c r="C34" s="14">
        <f t="shared" si="5"/>
        <v>11.59116925</v>
      </c>
      <c r="D34" s="14">
        <f t="shared" ref="D34:L34" ca="1" si="9">IF(OR(D$27="",$A34=""),"",C125)</f>
        <v>11.59116925</v>
      </c>
      <c r="E34" s="14">
        <f t="shared" ca="1" si="9"/>
        <v>11.59116925</v>
      </c>
      <c r="F34" s="14">
        <f t="shared" ca="1" si="9"/>
        <v>11.59116925</v>
      </c>
      <c r="G34" s="14">
        <f t="shared" ca="1" si="9"/>
        <v>11.59116925</v>
      </c>
      <c r="H34" s="14" t="str">
        <f t="shared" si="9"/>
        <v/>
      </c>
      <c r="I34" s="14" t="str">
        <f t="shared" si="9"/>
        <v/>
      </c>
      <c r="J34" s="14" t="str">
        <f t="shared" si="9"/>
        <v/>
      </c>
      <c r="K34" s="14" t="str">
        <f t="shared" si="9"/>
        <v/>
      </c>
      <c r="L34" s="14" t="str">
        <f t="shared" si="9"/>
        <v/>
      </c>
      <c r="N34" t="s">
        <v>191</v>
      </c>
    </row>
    <row r="35" spans="1:14" x14ac:dyDescent="0.35">
      <c r="A35" t="str">
        <f t="shared" si="3"/>
        <v/>
      </c>
      <c r="B35" s="55"/>
      <c r="C35" s="14" t="str">
        <f t="shared" si="5"/>
        <v/>
      </c>
      <c r="D35" s="14" t="str">
        <f t="shared" ref="D35:L35" si="10">IF(OR(D$27="",$A35=""),"",C126)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35">
      <c r="A36" s="1" t="s">
        <v>218</v>
      </c>
      <c r="C36"/>
    </row>
    <row r="37" spans="1:14" x14ac:dyDescent="0.35">
      <c r="A37" t="s">
        <v>114</v>
      </c>
      <c r="C37" s="14">
        <f>IF(C$27&lt;&gt;"",B22,"")</f>
        <v>11</v>
      </c>
      <c r="D37" s="14">
        <f ca="1">IF(D$27&lt;&gt;"",C129,"")</f>
        <v>9.7099629186694187</v>
      </c>
      <c r="E37" s="14">
        <f t="shared" ref="E37:G37" ca="1" si="11">IF(E$27&lt;&gt;"",D129,"")</f>
        <v>9.0742255221688328</v>
      </c>
      <c r="F37" s="14">
        <f t="shared" ca="1" si="11"/>
        <v>8.6071775219194215</v>
      </c>
      <c r="G37" s="14">
        <f t="shared" ca="1" si="11"/>
        <v>8.2549676386697186</v>
      </c>
      <c r="H37" s="14" t="str">
        <f t="shared" ref="H37:L38" si="12">IF(H27&lt;&gt;"",$B37*H$29,"")</f>
        <v/>
      </c>
      <c r="I37" s="14" t="str">
        <f t="shared" si="12"/>
        <v/>
      </c>
      <c r="J37" s="14" t="str">
        <f t="shared" si="12"/>
        <v/>
      </c>
      <c r="K37" s="14" t="str">
        <f t="shared" si="12"/>
        <v/>
      </c>
      <c r="L37" s="14" t="str">
        <f t="shared" si="12"/>
        <v/>
      </c>
    </row>
    <row r="38" spans="1:14" x14ac:dyDescent="0.35">
      <c r="A38" t="s">
        <v>115</v>
      </c>
      <c r="C38" s="14">
        <f>IF(C$27&lt;&gt;"",C22,"")</f>
        <v>10.1</v>
      </c>
      <c r="D38" s="14">
        <f ca="1">IF(D$27&lt;&gt;"",C130,"")</f>
        <v>9.7099629186694187</v>
      </c>
      <c r="E38" s="14">
        <f t="shared" ref="E38:G38" ca="1" si="13">IF(E$27&lt;&gt;"",D130,"")</f>
        <v>9.0742255221688328</v>
      </c>
      <c r="F38" s="14">
        <f t="shared" ca="1" si="13"/>
        <v>8.6071775219194215</v>
      </c>
      <c r="G38" s="14">
        <f t="shared" ca="1" si="13"/>
        <v>8.2549676386697186</v>
      </c>
      <c r="H38" s="14" t="str">
        <f t="shared" si="12"/>
        <v/>
      </c>
      <c r="I38" s="14" t="str">
        <f t="shared" si="12"/>
        <v/>
      </c>
      <c r="J38" s="14" t="str">
        <f t="shared" si="12"/>
        <v/>
      </c>
      <c r="K38" s="14" t="str">
        <f t="shared" si="12"/>
        <v/>
      </c>
      <c r="L38" s="14" t="str">
        <f t="shared" si="12"/>
        <v/>
      </c>
    </row>
    <row r="39" spans="1:14" x14ac:dyDescent="0.35">
      <c r="A39" s="1" t="s">
        <v>120</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0.97147479300117312</v>
      </c>
      <c r="E39" s="14">
        <f ca="1">IF(E$27&lt;&gt;"",VLOOKUP(E37*1000000,'Powell-Elevation-Area'!$B$5:$D$689,3)*$B$21/1000000 + VLOOKUP(E38*1000000,'Mead-Elevation-Area'!$B$5:$D$676,3)*$C$21/1000000,"")</f>
        <v>0.93409600049882702</v>
      </c>
      <c r="F39" s="14">
        <f ca="1">IF(F$27&lt;&gt;"",VLOOKUP(F37*1000000,'Powell-Elevation-Area'!$B$5:$D$689,3)*$B$21/1000000 + VLOOKUP(F38*1000000,'Mead-Elevation-Area'!$B$5:$D$676,3)*$C$21/1000000,"")</f>
        <v>0.90441976649940004</v>
      </c>
      <c r="G39" s="14">
        <f ca="1">IF(G$27&lt;&gt;"",VLOOKUP(G37*1000000,'Powell-Elevation-Area'!$B$5:$D$689,3)*$B$21/1000000 + VLOOKUP(G38*1000000,'Mead-Elevation-Area'!$B$5:$D$676,3)*$C$21/1000000,"")</f>
        <v>0.88241909250000006</v>
      </c>
      <c r="H39" s="14" t="str">
        <f>IF(H$27&lt;&gt;"",VLOOKUP(H37*1000000,'Powell-Elevation-Area'!$B$5:$D$689,3)*$B$21/1000000 + VLOOKUP(H38*1000000,'Mead-Elevation-Area'!$B$5:$D$676,3)*$C$21/1000000,"")</f>
        <v/>
      </c>
      <c r="I39" s="14" t="str">
        <f>IF(I$27&lt;&gt;"",VLOOKUP(I37*1000000,'Powell-Elevation-Area'!$B$5:$D$689,3)*$B$21/1000000 + VLOOKUP(I38*1000000,'Mead-Elevation-Area'!$B$5:$D$676,3)*$C$21/1000000,"")</f>
        <v/>
      </c>
      <c r="J39" s="14" t="str">
        <f>IF(J$27&lt;&gt;"",VLOOKUP(J37*1000000,'Powell-Elevation-Area'!$B$5:$D$689,3)*$B$21/1000000 + VLOOKUP(J38*1000000,'Mead-Elevation-Area'!$B$5:$D$676,3)*$C$21/1000000,"")</f>
        <v/>
      </c>
      <c r="K39" s="14" t="str">
        <f>IF(K$27&lt;&gt;"",VLOOKUP(K37*1000000,'Powell-Elevation-Area'!$B$5:$D$689,3)*$B$21/1000000 + VLOOKUP(K38*1000000,'Mead-Elevation-Area'!$B$5:$D$676,3)*$C$21/1000000,"")</f>
        <v/>
      </c>
      <c r="L39" s="14" t="str">
        <f>IF(L$27&lt;&gt;"",VLOOKUP(L37*1000000,'Powell-Elevation-Area'!$B$5:$D$689,3)*$B$21/1000000 + VLOOKUP(L38*1000000,'Mead-Elevation-Area'!$B$5:$D$676,3)*$C$21/1000000,"")</f>
        <v/>
      </c>
    </row>
    <row r="40" spans="1:14" x14ac:dyDescent="0.35">
      <c r="A40" t="str">
        <f t="shared" ref="A40:A45" si="14">IF(A6="","","    "&amp;A6&amp;" Share")</f>
        <v xml:space="preserve">    Upper Basin Share</v>
      </c>
      <c r="B40" s="1"/>
      <c r="C40" s="14">
        <f>IF(OR(C$27="",$A40=""),"",C$39*C30/C$29)</f>
        <v>0.24571184643515467</v>
      </c>
      <c r="D40" s="14">
        <f t="shared" ref="D40:L40" ca="1" si="15">IF(OR(D$27="",$A40=""),"",D$39*D30/D$29)</f>
        <v>0.15596973782093349</v>
      </c>
      <c r="E40" s="14">
        <f t="shared" ca="1" si="15"/>
        <v>8.9701450139629893E-2</v>
      </c>
      <c r="F40" s="14">
        <f t="shared" ca="1" si="15"/>
        <v>3.8123891702410942E-2</v>
      </c>
      <c r="G40" s="14">
        <f t="shared" ca="1" si="15"/>
        <v>2.4257347393387491E-2</v>
      </c>
      <c r="H40" s="14" t="str">
        <f t="shared" si="15"/>
        <v/>
      </c>
      <c r="I40" s="14" t="str">
        <f t="shared" si="15"/>
        <v/>
      </c>
      <c r="J40" s="14" t="str">
        <f t="shared" si="15"/>
        <v/>
      </c>
      <c r="K40" s="14" t="str">
        <f t="shared" si="15"/>
        <v/>
      </c>
      <c r="L40" s="14" t="str">
        <f t="shared" si="15"/>
        <v/>
      </c>
    </row>
    <row r="41" spans="1:14" x14ac:dyDescent="0.35">
      <c r="A41" t="str">
        <f t="shared" si="14"/>
        <v xml:space="preserve">    Lower Basin Share</v>
      </c>
      <c r="B41" s="1"/>
      <c r="C41" s="14">
        <f t="shared" ref="C41:L45" si="16">IF(OR(C$27="",$A41=""),"",C$39*C31/C$29)</f>
        <v>0.20638492544244763</v>
      </c>
      <c r="D41" s="14">
        <f t="shared" ca="1" si="16"/>
        <v>0.21736548692420379</v>
      </c>
      <c r="E41" s="14">
        <f t="shared" ca="1" si="16"/>
        <v>0.22176839035693219</v>
      </c>
      <c r="F41" s="14">
        <f t="shared" ca="1" si="16"/>
        <v>0.22378763025544515</v>
      </c>
      <c r="G41" s="14">
        <f t="shared" ca="1" si="16"/>
        <v>0.20855505167044142</v>
      </c>
      <c r="H41" s="14" t="str">
        <f t="shared" si="16"/>
        <v/>
      </c>
      <c r="I41" s="14" t="str">
        <f t="shared" si="16"/>
        <v/>
      </c>
      <c r="J41" s="14" t="str">
        <f t="shared" si="16"/>
        <v/>
      </c>
      <c r="K41" s="14" t="str">
        <f t="shared" si="16"/>
        <v/>
      </c>
      <c r="L41" s="14" t="str">
        <f t="shared" si="16"/>
        <v/>
      </c>
    </row>
    <row r="42" spans="1:14" x14ac:dyDescent="0.35">
      <c r="A42" t="str">
        <f t="shared" si="14"/>
        <v xml:space="preserve">    Mexico Share</v>
      </c>
      <c r="B42" s="1"/>
      <c r="C42" s="14">
        <f t="shared" si="16"/>
        <v>8.4270235222746598E-3</v>
      </c>
      <c r="D42" s="14">
        <f t="shared" ca="1" si="16"/>
        <v>1.8295502830481581E-2</v>
      </c>
      <c r="E42" s="14">
        <f t="shared" ca="1" si="16"/>
        <v>2.6031728274819785E-2</v>
      </c>
      <c r="F42" s="14">
        <f t="shared" ca="1" si="16"/>
        <v>3.3523327021088858E-2</v>
      </c>
      <c r="G42" s="14">
        <f t="shared" ca="1" si="16"/>
        <v>3.0084637245095511E-2</v>
      </c>
      <c r="H42" s="14" t="str">
        <f t="shared" si="16"/>
        <v/>
      </c>
      <c r="I42" s="14" t="str">
        <f t="shared" si="16"/>
        <v/>
      </c>
      <c r="J42" s="14" t="str">
        <f t="shared" si="16"/>
        <v/>
      </c>
      <c r="K42" s="14" t="str">
        <f t="shared" si="16"/>
        <v/>
      </c>
      <c r="L42" s="14" t="str">
        <f t="shared" si="16"/>
        <v/>
      </c>
    </row>
    <row r="43" spans="1:14" x14ac:dyDescent="0.35">
      <c r="A43" t="str">
        <f t="shared" si="14"/>
        <v xml:space="preserve">    Mohave &amp; Havasu Evap &amp; ET Share</v>
      </c>
      <c r="B43" s="1"/>
      <c r="C43" s="14">
        <f t="shared" si="16"/>
        <v>0</v>
      </c>
      <c r="D43" s="14">
        <f t="shared" ca="1" si="16"/>
        <v>0</v>
      </c>
      <c r="E43" s="14">
        <f t="shared" ca="1" si="16"/>
        <v>0</v>
      </c>
      <c r="F43" s="14">
        <f t="shared" ca="1" si="16"/>
        <v>0</v>
      </c>
      <c r="G43" s="14">
        <f t="shared" ca="1" si="16"/>
        <v>0</v>
      </c>
      <c r="H43" s="14" t="str">
        <f t="shared" si="16"/>
        <v/>
      </c>
      <c r="I43" s="14" t="str">
        <f t="shared" si="16"/>
        <v/>
      </c>
      <c r="J43" s="14" t="str">
        <f t="shared" si="16"/>
        <v/>
      </c>
      <c r="K43" s="14" t="str">
        <f t="shared" si="16"/>
        <v/>
      </c>
      <c r="L43" s="14" t="str">
        <f t="shared" si="16"/>
        <v/>
      </c>
    </row>
    <row r="44" spans="1:14" x14ac:dyDescent="0.35">
      <c r="A44" t="str">
        <f t="shared" si="14"/>
        <v xml:space="preserve">    Shared, Reserve Share</v>
      </c>
      <c r="B44" s="1"/>
      <c r="C44" s="14">
        <f t="shared" si="16"/>
        <v>0.56137388460009618</v>
      </c>
      <c r="D44" s="14">
        <f t="shared" ca="1" si="16"/>
        <v>0.57984406542555433</v>
      </c>
      <c r="E44" s="14">
        <f t="shared" ca="1" si="16"/>
        <v>0.5965944317274452</v>
      </c>
      <c r="F44" s="14">
        <f t="shared" ca="1" si="16"/>
        <v>0.60898491752045503</v>
      </c>
      <c r="G44" s="14">
        <f t="shared" ca="1" si="16"/>
        <v>0.6195220561910757</v>
      </c>
      <c r="H44" s="14" t="str">
        <f t="shared" si="16"/>
        <v/>
      </c>
      <c r="I44" s="14" t="str">
        <f t="shared" si="16"/>
        <v/>
      </c>
      <c r="J44" s="14" t="str">
        <f t="shared" si="16"/>
        <v/>
      </c>
      <c r="K44" s="14" t="str">
        <f t="shared" si="16"/>
        <v/>
      </c>
      <c r="L44" s="14" t="str">
        <f t="shared" si="16"/>
        <v/>
      </c>
    </row>
    <row r="45" spans="1:14" x14ac:dyDescent="0.35">
      <c r="A45" t="str">
        <f t="shared" si="14"/>
        <v/>
      </c>
      <c r="B45" s="1"/>
      <c r="C45" s="14" t="str">
        <f t="shared" si="16"/>
        <v/>
      </c>
      <c r="D45" s="14" t="str">
        <f t="shared" si="16"/>
        <v/>
      </c>
      <c r="E45" s="14" t="str">
        <f t="shared" si="16"/>
        <v/>
      </c>
      <c r="F45" s="14" t="str">
        <f t="shared" si="16"/>
        <v/>
      </c>
      <c r="G45" s="14" t="str">
        <f t="shared" si="16"/>
        <v/>
      </c>
      <c r="H45" s="14" t="str">
        <f t="shared" si="16"/>
        <v/>
      </c>
      <c r="I45" s="14" t="str">
        <f t="shared" si="16"/>
        <v/>
      </c>
      <c r="J45" s="14" t="str">
        <f t="shared" si="16"/>
        <v/>
      </c>
      <c r="K45" s="14" t="str">
        <f t="shared" si="16"/>
        <v/>
      </c>
      <c r="L45" s="14" t="str">
        <f t="shared" si="16"/>
        <v/>
      </c>
    </row>
    <row r="46" spans="1:14" x14ac:dyDescent="0.35">
      <c r="A46" s="1" t="s">
        <v>155</v>
      </c>
      <c r="B46" s="1"/>
      <c r="C46" s="50">
        <f>IF(C$27&lt;&gt;"",1.5-0.21/9/2-IF(SUM(C31,C32,C34/2)&lt;$T$66,$V$66,IF(C$31&lt;=$T$73,VLOOKUP(SUM(C31,C32,C34/2),$T$66:$V$74,3),0)),"")</f>
        <v>1.4583333333333333</v>
      </c>
      <c r="D46" s="50">
        <f t="shared" ref="D46:L46" ca="1" si="17">IF(D$27&lt;&gt;"",1.5-0.21/9/2-IF(SUM(D31,D32,D34/2)&lt;$T$66,$V$66,IF(D$31&lt;=$T$73,VLOOKUP(SUM(D31,D32,D34/2),$T$66:$V$74,3),0)),"")</f>
        <v>1.4583333333333333</v>
      </c>
      <c r="E46" s="50">
        <f t="shared" ca="1" si="17"/>
        <v>1.4583333333333333</v>
      </c>
      <c r="F46" s="50">
        <f t="shared" ca="1" si="17"/>
        <v>1.4583333333333333</v>
      </c>
      <c r="G46" s="50">
        <f t="shared" ca="1" si="17"/>
        <v>1.4583333333333333</v>
      </c>
      <c r="H46" s="50" t="str">
        <f t="shared" si="17"/>
        <v/>
      </c>
      <c r="I46" s="50" t="str">
        <f t="shared" si="17"/>
        <v/>
      </c>
      <c r="J46" s="50" t="str">
        <f t="shared" si="17"/>
        <v/>
      </c>
      <c r="K46" s="50" t="str">
        <f t="shared" si="17"/>
        <v/>
      </c>
      <c r="L46" s="50" t="str">
        <f t="shared" si="17"/>
        <v/>
      </c>
    </row>
    <row r="47" spans="1:14" x14ac:dyDescent="0.35">
      <c r="A47" s="1" t="s">
        <v>202</v>
      </c>
      <c r="B47" s="1"/>
      <c r="C47" s="53">
        <f>IF(C27="","",SUM(C27:C28))</f>
        <v>11.8</v>
      </c>
      <c r="D47" s="53">
        <f t="shared" ref="D47:L47" si="18">IF(D27="","",SUM(D27:D28))</f>
        <v>11.8</v>
      </c>
      <c r="E47" s="53">
        <f t="shared" si="18"/>
        <v>11.8</v>
      </c>
      <c r="F47" s="53">
        <f t="shared" si="18"/>
        <v>11.8</v>
      </c>
      <c r="G47" s="53">
        <f t="shared" si="18"/>
        <v>11.8</v>
      </c>
      <c r="H47" s="53" t="str">
        <f t="shared" si="18"/>
        <v/>
      </c>
      <c r="I47" s="53" t="str">
        <f t="shared" si="18"/>
        <v/>
      </c>
      <c r="J47" s="53" t="str">
        <f t="shared" si="18"/>
        <v/>
      </c>
      <c r="K47" s="53" t="str">
        <f t="shared" si="18"/>
        <v/>
      </c>
      <c r="L47" s="53" t="str">
        <f t="shared" si="18"/>
        <v/>
      </c>
      <c r="M47" s="46"/>
      <c r="N47" s="46"/>
    </row>
    <row r="48" spans="1:14" x14ac:dyDescent="0.35">
      <c r="A48" t="str">
        <f>IF(A6="","","    To "&amp;A6)</f>
        <v xml:space="preserve">    To Upper Basin</v>
      </c>
      <c r="B48" s="24" t="s">
        <v>156</v>
      </c>
      <c r="C48" s="14">
        <f>IF(OR(C$27="",$A48=""),"",IF(C$47&gt;SUM(C49:C53),C$47-SUM(C49:C53),0))</f>
        <v>2.4901463910332868</v>
      </c>
      <c r="D48" s="14">
        <f t="shared" ref="D48:L48" ca="1" si="19">IF(OR(D$27="",$A48=""),"",IF(D$47&gt;SUM(D49:D53),D$47-SUM(D49:D53),0))</f>
        <v>2.4809113006205568</v>
      </c>
      <c r="E48" s="14">
        <f t="shared" ca="1" si="19"/>
        <v>2.4725361174696125</v>
      </c>
      <c r="F48" s="14">
        <f t="shared" ca="1" si="19"/>
        <v>2.4663408745731061</v>
      </c>
      <c r="G48" s="14">
        <f t="shared" ca="1" si="19"/>
        <v>2.4610723052377956</v>
      </c>
      <c r="H48" s="14" t="str">
        <f t="shared" si="19"/>
        <v/>
      </c>
      <c r="I48" s="14" t="str">
        <f t="shared" si="19"/>
        <v/>
      </c>
      <c r="J48" s="14" t="str">
        <f t="shared" si="19"/>
        <v/>
      </c>
      <c r="K48" s="14" t="str">
        <f t="shared" si="19"/>
        <v/>
      </c>
      <c r="L48" s="14" t="str">
        <f t="shared" si="19"/>
        <v/>
      </c>
      <c r="M48" s="29"/>
      <c r="N48" s="29"/>
    </row>
    <row r="49" spans="1:26" x14ac:dyDescent="0.35">
      <c r="A49" t="str">
        <f t="shared" ref="A49:A53" si="20">IF(A7="","","    To "&amp;A7)</f>
        <v xml:space="preserve">    To Lower Basin</v>
      </c>
      <c r="B49" s="44">
        <f>7.5</f>
        <v>7.5</v>
      </c>
      <c r="C49" s="14">
        <f>IF(OR(C$27="",$A49=""),"",C28-C52/2-C51-C50/2+MIN($B49,C27-C50/2-C52/2))</f>
        <v>6.6901463910332852</v>
      </c>
      <c r="D49" s="14">
        <f t="shared" ref="D49:G49" ca="1" si="21">IF(OR(D$27="",$A49=""),"",D28-D52/2-D51-D50/2+MIN($B49,D27-D50/2-D52/2))</f>
        <v>6.680911300620556</v>
      </c>
      <c r="E49" s="14">
        <f t="shared" ca="1" si="21"/>
        <v>6.672536117469611</v>
      </c>
      <c r="F49" s="14">
        <f t="shared" ca="1" si="21"/>
        <v>6.6663408745731054</v>
      </c>
      <c r="G49" s="14">
        <f t="shared" ca="1" si="21"/>
        <v>6.6610723052377958</v>
      </c>
      <c r="H49" s="14" t="str">
        <f>IF(OR(H$27="",$A49=""),"",H28-H52/2-H51-H50/2+MIN($B49,H27-H50/2-H52/2))</f>
        <v/>
      </c>
      <c r="I49" s="14" t="str">
        <f t="shared" ref="I49" si="22">IF(OR(I$27="",$A49=""),"",I28-I52/2-I51-I50/2+MIN($B49,I27-I50/2-I52/2))</f>
        <v/>
      </c>
      <c r="J49" s="14" t="str">
        <f t="shared" ref="J49" si="23">IF(OR(J$27="",$A49=""),"",J28-J52/2-J51-J50/2+MIN($B49,J27-J50/2-J52/2))</f>
        <v/>
      </c>
      <c r="K49" s="14" t="str">
        <f t="shared" ref="K49" si="24">IF(OR(K$27="",$A49=""),"",K28-K52/2-K51-K50/2+MIN($B49,K27-K50/2-K52/2))</f>
        <v/>
      </c>
      <c r="L49" s="14" t="str">
        <f t="shared" ref="L49" si="25">IF(OR(L$27="",$A49=""),"",L28-L52/2-L51-L50/2+MIN($B49,L27-L50/2-L52/2))</f>
        <v/>
      </c>
      <c r="M49" s="29"/>
      <c r="N49" s="29"/>
    </row>
    <row r="50" spans="1:26" x14ac:dyDescent="0.35">
      <c r="A50" t="str">
        <f t="shared" si="20"/>
        <v xml:space="preserve">    To Mexico</v>
      </c>
      <c r="B50" s="44" t="s">
        <v>204</v>
      </c>
      <c r="C50" s="14">
        <f>IF(OR(C$27="",$A50=""),"",IF(C$47&gt;SUM(C51:C52,C46),C46,C$47-SUM(C51:C52)))</f>
        <v>1.4583333333333333</v>
      </c>
      <c r="D50" s="14">
        <f t="shared" ref="D50:L50" ca="1" si="26">IF(OR(D$27="",$A50=""),"",IF(D$47&gt;SUM(D51:D52,D46),D46,D$47-SUM(D51:D52)))</f>
        <v>1.4583333333333333</v>
      </c>
      <c r="E50" s="14">
        <f t="shared" ca="1" si="26"/>
        <v>1.4583333333333333</v>
      </c>
      <c r="F50" s="14">
        <f t="shared" ca="1" si="26"/>
        <v>1.4583333333333333</v>
      </c>
      <c r="G50" s="14">
        <f t="shared" ca="1" si="26"/>
        <v>1.4583333333333333</v>
      </c>
      <c r="H50" s="14" t="str">
        <f t="shared" si="26"/>
        <v/>
      </c>
      <c r="I50" s="14" t="str">
        <f t="shared" si="26"/>
        <v/>
      </c>
      <c r="J50" s="14" t="str">
        <f t="shared" si="26"/>
        <v/>
      </c>
      <c r="K50" s="14" t="str">
        <f t="shared" si="26"/>
        <v/>
      </c>
      <c r="L50" s="14" t="str">
        <f t="shared" si="26"/>
        <v/>
      </c>
      <c r="M50" s="29"/>
      <c r="N50" s="29"/>
    </row>
    <row r="51" spans="1:26" x14ac:dyDescent="0.35">
      <c r="A51" t="str">
        <f t="shared" si="20"/>
        <v xml:space="preserve">    To Mohave &amp; Havasu Evap &amp; ET</v>
      </c>
      <c r="B51" s="44">
        <v>0.6</v>
      </c>
      <c r="C51" s="14">
        <f>IF(OR(C$27="",$A51=""),"",IF(C$47&gt;C52+$B$51,$B51,C$47-C52))</f>
        <v>0.6</v>
      </c>
      <c r="D51" s="14">
        <f t="shared" ref="D51:L51" ca="1" si="27">IF(OR(D$27="",$A51=""),"",IF(D$47&gt;D52+$B$51,$B51,D$47-D52))</f>
        <v>0.6</v>
      </c>
      <c r="E51" s="14">
        <f t="shared" ca="1" si="27"/>
        <v>0.6</v>
      </c>
      <c r="F51" s="14">
        <f t="shared" ca="1" si="27"/>
        <v>0.6</v>
      </c>
      <c r="G51" s="14">
        <f t="shared" ca="1" si="27"/>
        <v>0.6</v>
      </c>
      <c r="H51" s="14" t="str">
        <f t="shared" si="27"/>
        <v/>
      </c>
      <c r="I51" s="14" t="str">
        <f t="shared" si="27"/>
        <v/>
      </c>
      <c r="J51" s="14" t="str">
        <f t="shared" si="27"/>
        <v/>
      </c>
      <c r="K51" s="14" t="str">
        <f t="shared" si="27"/>
        <v/>
      </c>
      <c r="L51" s="14" t="str">
        <f t="shared" si="27"/>
        <v/>
      </c>
      <c r="M51" s="29"/>
      <c r="N51" s="29"/>
    </row>
    <row r="52" spans="1:26" x14ac:dyDescent="0.35">
      <c r="A52" t="str">
        <f t="shared" si="20"/>
        <v xml:space="preserve">    To Shared, Reserve</v>
      </c>
      <c r="B52" s="44" t="s">
        <v>203</v>
      </c>
      <c r="C52" s="14">
        <f>IF(OR(C$27="",$A52=""),"",IF(C$47&gt;C44,C44,C$47))</f>
        <v>0.56137388460009618</v>
      </c>
      <c r="D52" s="14">
        <f t="shared" ref="D52:L52" ca="1" si="28">IF(OR(D$27="",$A52=""),"",IF(D$47&gt;D44,D44,D$47))</f>
        <v>0.57984406542555433</v>
      </c>
      <c r="E52" s="14">
        <f t="shared" ca="1" si="28"/>
        <v>0.5965944317274452</v>
      </c>
      <c r="F52" s="14">
        <f t="shared" ca="1" si="28"/>
        <v>0.60898491752045503</v>
      </c>
      <c r="G52" s="14">
        <f t="shared" ca="1" si="28"/>
        <v>0.6195220561910757</v>
      </c>
      <c r="H52" s="14" t="str">
        <f t="shared" si="28"/>
        <v/>
      </c>
      <c r="I52" s="14" t="str">
        <f t="shared" si="28"/>
        <v/>
      </c>
      <c r="J52" s="14" t="str">
        <f t="shared" si="28"/>
        <v/>
      </c>
      <c r="K52" s="14" t="str">
        <f t="shared" si="28"/>
        <v/>
      </c>
      <c r="L52" s="14" t="str">
        <f t="shared" si="28"/>
        <v/>
      </c>
      <c r="M52" s="29"/>
      <c r="N52" s="29"/>
    </row>
    <row r="53" spans="1:26" x14ac:dyDescent="0.35">
      <c r="A53" t="str">
        <f t="shared" si="20"/>
        <v/>
      </c>
      <c r="B53" s="44"/>
      <c r="C53" s="58" t="str">
        <f t="shared" ref="C53:L53" si="29">IF(OR(C$27="",$A53=""),"",IF(C$27&gt;$B53,$B53,C$27))</f>
        <v/>
      </c>
      <c r="D53" s="58" t="str">
        <f t="shared" si="29"/>
        <v/>
      </c>
      <c r="E53" s="58" t="str">
        <f t="shared" si="29"/>
        <v/>
      </c>
      <c r="F53" s="58" t="str">
        <f t="shared" si="29"/>
        <v/>
      </c>
      <c r="G53" s="58" t="str">
        <f t="shared" si="29"/>
        <v/>
      </c>
      <c r="H53" s="58" t="str">
        <f t="shared" si="29"/>
        <v/>
      </c>
      <c r="I53" s="58" t="str">
        <f t="shared" si="29"/>
        <v/>
      </c>
      <c r="J53" s="58" t="str">
        <f t="shared" si="29"/>
        <v/>
      </c>
      <c r="K53" s="58" t="str">
        <f t="shared" si="29"/>
        <v/>
      </c>
      <c r="L53" s="58" t="str">
        <f t="shared" si="29"/>
        <v/>
      </c>
      <c r="M53" s="29"/>
      <c r="N53" s="29"/>
    </row>
    <row r="54" spans="1:26" x14ac:dyDescent="0.35">
      <c r="C54"/>
    </row>
    <row r="55" spans="1:26" x14ac:dyDescent="0.35">
      <c r="A55" s="83" t="s">
        <v>196</v>
      </c>
      <c r="B55" s="84"/>
      <c r="C55" s="84"/>
      <c r="D55" s="84"/>
      <c r="E55" s="84"/>
      <c r="F55" s="84"/>
      <c r="G55" s="84"/>
      <c r="H55" s="84"/>
      <c r="I55" s="84"/>
      <c r="J55" s="84"/>
      <c r="K55" s="84"/>
      <c r="L55" s="84"/>
      <c r="M55" s="84"/>
      <c r="N55" s="84"/>
    </row>
    <row r="56" spans="1:26" x14ac:dyDescent="0.35">
      <c r="A56" s="80" t="str">
        <f>IF(A$6="[Unused]","",A6)</f>
        <v>Upper Basin</v>
      </c>
      <c r="B56" s="81"/>
      <c r="C56" s="81"/>
      <c r="D56" s="81"/>
      <c r="E56" s="81"/>
      <c r="F56" s="81"/>
      <c r="G56" s="81"/>
      <c r="H56" s="81"/>
      <c r="I56" s="81"/>
      <c r="J56" s="81"/>
      <c r="K56" s="81"/>
      <c r="L56" s="81"/>
      <c r="M56" s="82" t="s">
        <v>108</v>
      </c>
      <c r="N56" s="80" t="s">
        <v>187</v>
      </c>
    </row>
    <row r="57" spans="1:26" x14ac:dyDescent="0.35">
      <c r="A57" s="32" t="str">
        <f>IF(A56="[Unused]","","   Volume of Sales(+) and Purchases(-) [maf]")</f>
        <v xml:space="preserve">   Volume of Sales(+) and Purchases(-) [maf]</v>
      </c>
      <c r="C57" s="25">
        <v>0.5</v>
      </c>
      <c r="D57" s="25">
        <v>0.4</v>
      </c>
      <c r="E57" s="25">
        <v>0.4</v>
      </c>
      <c r="F57" s="25">
        <v>-0.1</v>
      </c>
      <c r="G57" s="25">
        <v>-0.1</v>
      </c>
      <c r="H57" s="25"/>
      <c r="I57" s="25"/>
      <c r="J57" s="25"/>
      <c r="K57" s="25"/>
      <c r="L57" s="25"/>
      <c r="M57" s="79">
        <f>SUM(C57:L57)</f>
        <v>1.0999999999999999</v>
      </c>
      <c r="N57" t="str">
        <f>IF(A57="","","Add if multiple transactions, e.g.: 0.5 + 0.25")</f>
        <v>Add if multiple transactions, e.g.: 0.5 + 0.25</v>
      </c>
    </row>
    <row r="58" spans="1:26" x14ac:dyDescent="0.35">
      <c r="A58" s="32" t="str">
        <f>IF(A57="","","   Cash Intake(+) and Payments(-) [$ Mill]")</f>
        <v xml:space="preserve">   Cash Intake(+) and Payments(-) [$ Mill]</v>
      </c>
      <c r="C58" s="77">
        <f>350*C57</f>
        <v>175</v>
      </c>
      <c r="D58" s="77">
        <f t="shared" ref="D58:G58" si="30">350*D57</f>
        <v>140</v>
      </c>
      <c r="E58" s="77">
        <f t="shared" si="30"/>
        <v>140</v>
      </c>
      <c r="F58" s="77">
        <f t="shared" si="30"/>
        <v>-35</v>
      </c>
      <c r="G58" s="77">
        <f t="shared" si="30"/>
        <v>-35</v>
      </c>
      <c r="H58" s="77"/>
      <c r="I58" s="77"/>
      <c r="J58" s="77"/>
      <c r="K58" s="77"/>
      <c r="L58" s="77"/>
      <c r="M58" s="76">
        <f>SUM(C58:L58)</f>
        <v>385</v>
      </c>
      <c r="N58" t="str">
        <f>IF(A58="","","Add if multiple transactions, e.g.: $350*0.5 + $450*0.25")</f>
        <v>Add if multiple transactions, e.g.: $350*0.5 + $450*0.25</v>
      </c>
    </row>
    <row r="59" spans="1:26" x14ac:dyDescent="0.35">
      <c r="A59" s="32" t="str">
        <f>IF(A58="","","   Volume of all players (should be zero)")</f>
        <v xml:space="preserve">   Volume of all players (should be zero)</v>
      </c>
      <c r="C59" s="79">
        <f t="shared" ref="C59:M59" ca="1" si="31">IF(OR(C$27="",$A59=""),"",C$112)</f>
        <v>0</v>
      </c>
      <c r="D59" s="79">
        <f t="shared" ca="1" si="31"/>
        <v>0</v>
      </c>
      <c r="E59" s="79">
        <f t="shared" ca="1" si="31"/>
        <v>0</v>
      </c>
      <c r="F59" s="79">
        <f t="shared" ca="1" si="31"/>
        <v>0</v>
      </c>
      <c r="G59" s="79">
        <f t="shared" ca="1" si="31"/>
        <v>0</v>
      </c>
      <c r="H59" s="79" t="str">
        <f t="shared" si="31"/>
        <v/>
      </c>
      <c r="I59" s="79" t="str">
        <f t="shared" si="31"/>
        <v/>
      </c>
      <c r="J59" s="79" t="str">
        <f t="shared" si="31"/>
        <v/>
      </c>
      <c r="K59" s="79" t="str">
        <f t="shared" si="31"/>
        <v/>
      </c>
      <c r="L59" s="79" t="str">
        <f t="shared" si="31"/>
        <v/>
      </c>
      <c r="M59" t="str">
        <f t="shared" si="31"/>
        <v/>
      </c>
      <c r="N59" t="str">
        <f>IF(A59="","","If non-zero, players need to change amount(s)")</f>
        <v>If non-zero, players need to change amount(s)</v>
      </c>
    </row>
    <row r="60" spans="1:26" x14ac:dyDescent="0.35">
      <c r="A60" s="1" t="str">
        <f>IF(A58="","","   Available Water [maf]")</f>
        <v xml:space="preserve">   Available Water [maf]</v>
      </c>
      <c r="C60" s="14">
        <f>IF(OR(C$27="",$A60=""),"",C30+C48-C40-C57)</f>
        <v>6.8178582945981319</v>
      </c>
      <c r="D60" s="14">
        <f t="shared" ref="D60:L60" ca="1" si="32">IF(OR(D$27="",$A60=""),"",D30+D48-D40-D57)</f>
        <v>5.042799857397755</v>
      </c>
      <c r="E60" s="14">
        <f t="shared" ca="1" si="32"/>
        <v>3.7256345247277376</v>
      </c>
      <c r="F60" s="14">
        <f t="shared" ca="1" si="32"/>
        <v>3.2538515075984327</v>
      </c>
      <c r="G60" s="14">
        <f t="shared" ca="1" si="32"/>
        <v>2.9906664654428412</v>
      </c>
      <c r="H60" s="14" t="str">
        <f t="shared" si="32"/>
        <v/>
      </c>
      <c r="I60" s="14" t="str">
        <f t="shared" si="32"/>
        <v/>
      </c>
      <c r="J60" s="14" t="str">
        <f t="shared" si="32"/>
        <v/>
      </c>
      <c r="K60" s="14" t="str">
        <f t="shared" si="32"/>
        <v/>
      </c>
      <c r="L60" s="14" t="str">
        <f t="shared" si="32"/>
        <v/>
      </c>
      <c r="N60" t="str">
        <f>IF(A60="","","Available water = Account Balance + Available Inflow - Evaporation + Sales - Purchases")</f>
        <v>Available water = Account Balance + Available Inflow - Evaporation + Sales - Purchases</v>
      </c>
    </row>
    <row r="61" spans="1:26" x14ac:dyDescent="0.35">
      <c r="A61" s="1" t="str">
        <f>IF(A60="","","   Account Withdraw [maf] (less than available water)")</f>
        <v xml:space="preserve">   Account Withdraw [maf] (less than available water)</v>
      </c>
      <c r="C61" s="43">
        <v>3.7</v>
      </c>
      <c r="D61" s="43">
        <v>3.3</v>
      </c>
      <c r="E61" s="43">
        <v>3</v>
      </c>
      <c r="F61" s="43">
        <v>2.8</v>
      </c>
      <c r="G61" s="43">
        <v>2.7</v>
      </c>
      <c r="H61" s="43"/>
      <c r="I61" s="43"/>
      <c r="J61" s="43"/>
      <c r="K61" s="43"/>
      <c r="L61" s="43"/>
      <c r="N61" t="str">
        <f>IF(A61="","","Must be less than Available water")</f>
        <v>Must be less than Available water</v>
      </c>
    </row>
    <row r="62" spans="1:26" x14ac:dyDescent="0.35">
      <c r="A62" s="32" t="str">
        <f>IF(A61="","","   End of Year Balance [maf]")</f>
        <v xml:space="preserve">   End of Year Balance [maf]</v>
      </c>
      <c r="C62" s="78">
        <f>IF(OR(C$27="",$A62=""),"",C60-C61)</f>
        <v>3.1178582945981317</v>
      </c>
      <c r="D62" s="78">
        <f t="shared" ref="D62:L62" ca="1" si="33">IF(OR(D$27="",$A62=""),"",D60-D61)</f>
        <v>1.7427998573977552</v>
      </c>
      <c r="E62" s="78">
        <f t="shared" ca="1" si="33"/>
        <v>0.7256345247277376</v>
      </c>
      <c r="F62" s="78">
        <f t="shared" ca="1" si="33"/>
        <v>0.45385150759843285</v>
      </c>
      <c r="G62" s="78">
        <f t="shared" ca="1" si="33"/>
        <v>0.29066646544284103</v>
      </c>
      <c r="H62" s="78" t="str">
        <f t="shared" si="33"/>
        <v/>
      </c>
      <c r="I62" s="78" t="str">
        <f t="shared" si="33"/>
        <v/>
      </c>
      <c r="J62" s="78" t="str">
        <f t="shared" si="33"/>
        <v/>
      </c>
      <c r="K62" s="78" t="str">
        <f t="shared" si="33"/>
        <v/>
      </c>
      <c r="L62" s="78" t="str">
        <f t="shared" si="33"/>
        <v/>
      </c>
      <c r="N62" t="str">
        <f>IF(A62="","","Available water - Account Withdraw")</f>
        <v>Available water - Account Withdraw</v>
      </c>
    </row>
    <row r="63" spans="1:26" x14ac:dyDescent="0.35">
      <c r="C63"/>
      <c r="S63" s="1" t="s">
        <v>199</v>
      </c>
    </row>
    <row r="64" spans="1:26" x14ac:dyDescent="0.35">
      <c r="A64" s="80" t="str">
        <f>IF(A$7="","[Unused]",A7)</f>
        <v>Lower Basin</v>
      </c>
      <c r="B64" s="81"/>
      <c r="C64" s="81"/>
      <c r="D64" s="81"/>
      <c r="E64" s="81"/>
      <c r="F64" s="81"/>
      <c r="G64" s="81"/>
      <c r="H64" s="81"/>
      <c r="I64" s="81"/>
      <c r="J64" s="81"/>
      <c r="K64" s="81"/>
      <c r="L64" s="81"/>
      <c r="M64" s="82" t="s">
        <v>108</v>
      </c>
      <c r="N64" s="80" t="s">
        <v>187</v>
      </c>
      <c r="S64" s="37" t="s">
        <v>129</v>
      </c>
      <c r="T64" s="37" t="s">
        <v>130</v>
      </c>
      <c r="U64" s="38" t="s">
        <v>131</v>
      </c>
      <c r="V64" s="38" t="s">
        <v>132</v>
      </c>
      <c r="W64" s="37" t="s">
        <v>133</v>
      </c>
      <c r="X64" s="37" t="s">
        <v>133</v>
      </c>
      <c r="Y64" s="51" t="s">
        <v>152</v>
      </c>
      <c r="Z64" s="51" t="s">
        <v>153</v>
      </c>
    </row>
    <row r="65" spans="1:26" x14ac:dyDescent="0.35">
      <c r="A65" s="32" t="str">
        <f>IF(A64="[Unused]","","   Volume of Sales(+) and Purchases(-) [maf]")</f>
        <v xml:space="preserve">   Volume of Sales(+) and Purchases(-) [maf]</v>
      </c>
      <c r="C65" s="25">
        <f>-C57</f>
        <v>-0.5</v>
      </c>
      <c r="D65" s="25">
        <f t="shared" ref="D65:E65" si="34">-D57</f>
        <v>-0.4</v>
      </c>
      <c r="E65" s="25">
        <f t="shared" si="34"/>
        <v>-0.4</v>
      </c>
      <c r="F65" s="25">
        <v>-0.1</v>
      </c>
      <c r="G65" s="25">
        <v>-0.1</v>
      </c>
      <c r="H65" s="25"/>
      <c r="I65" s="25"/>
      <c r="J65" s="25"/>
      <c r="K65" s="25"/>
      <c r="L65" s="25"/>
      <c r="M65" s="79">
        <f>SUM(C65:L65)</f>
        <v>-1.5000000000000002</v>
      </c>
      <c r="N65" t="str">
        <f>IF(A65="","",N57)</f>
        <v>Add if multiple transactions, e.g.: 0.5 + 0.25</v>
      </c>
      <c r="S65">
        <v>955</v>
      </c>
      <c r="T65" s="29">
        <v>0</v>
      </c>
      <c r="U65" s="85">
        <f>U66</f>
        <v>1.2000000000000002</v>
      </c>
      <c r="V65" s="85">
        <f t="shared" ref="V65:Z65" si="35">V66</f>
        <v>0.15</v>
      </c>
      <c r="W65" s="85">
        <f t="shared" si="35"/>
        <v>1.325</v>
      </c>
      <c r="X65" s="85">
        <f t="shared" si="35"/>
        <v>1.35</v>
      </c>
      <c r="Y65" s="85">
        <f t="shared" si="35"/>
        <v>0.125</v>
      </c>
      <c r="Z65" s="6">
        <f t="shared" si="35"/>
        <v>1350000</v>
      </c>
    </row>
    <row r="66" spans="1:26" x14ac:dyDescent="0.35">
      <c r="A66" s="32" t="str">
        <f>IF(A65="","","   Cash Intake(+) and Payments(-) [$ Mill]")</f>
        <v xml:space="preserve">   Cash Intake(+) and Payments(-) [$ Mill]</v>
      </c>
      <c r="C66" s="77">
        <f>-C58</f>
        <v>-175</v>
      </c>
      <c r="D66" s="77">
        <f t="shared" ref="D66:E66" si="36">-D58</f>
        <v>-140</v>
      </c>
      <c r="E66" s="77">
        <f t="shared" si="36"/>
        <v>-140</v>
      </c>
      <c r="F66" s="77">
        <f>350*F65</f>
        <v>-35</v>
      </c>
      <c r="G66" s="77">
        <f>350*G65</f>
        <v>-35</v>
      </c>
      <c r="H66" s="77"/>
      <c r="I66" s="77"/>
      <c r="J66" s="77"/>
      <c r="K66" s="77"/>
      <c r="L66" s="77"/>
      <c r="M66" s="76">
        <f>SUM(C66:L66)</f>
        <v>-525</v>
      </c>
      <c r="N66" t="str">
        <f t="shared" ref="N66:N70" si="37">IF(A66="","",N58)</f>
        <v>Add if multiple transactions, e.g.: $350*0.5 + $450*0.25</v>
      </c>
      <c r="S66" s="39">
        <v>1025</v>
      </c>
      <c r="T66" s="40">
        <v>5.981122</v>
      </c>
      <c r="U66" s="41">
        <f>X66-V66</f>
        <v>1.2000000000000002</v>
      </c>
      <c r="V66" s="49">
        <v>0.15</v>
      </c>
      <c r="W66" s="41">
        <v>1.325</v>
      </c>
      <c r="X66" s="41">
        <f t="shared" ref="X66:X73" si="38">Z66/1000000</f>
        <v>1.35</v>
      </c>
      <c r="Y66" s="42">
        <v>0.125</v>
      </c>
      <c r="Z66" s="52">
        <v>1350000</v>
      </c>
    </row>
    <row r="67" spans="1:26" x14ac:dyDescent="0.35">
      <c r="A67" s="32" t="str">
        <f>IF(A66="","","   Volume all players (should be zero)")</f>
        <v xml:space="preserve">   Volume all players (should be zero)</v>
      </c>
      <c r="C67" s="79">
        <f t="shared" ref="C67:M67" ca="1" si="39">IF(OR(C$27="",$A67=""),"",C$112)</f>
        <v>0</v>
      </c>
      <c r="D67" s="79">
        <f t="shared" ca="1" si="39"/>
        <v>0</v>
      </c>
      <c r="E67" s="79">
        <f t="shared" ca="1" si="39"/>
        <v>0</v>
      </c>
      <c r="F67" s="79">
        <f t="shared" ca="1" si="39"/>
        <v>0</v>
      </c>
      <c r="G67" s="79">
        <f t="shared" ca="1" si="39"/>
        <v>0</v>
      </c>
      <c r="H67" s="79" t="str">
        <f t="shared" si="39"/>
        <v/>
      </c>
      <c r="I67" s="79" t="str">
        <f t="shared" si="39"/>
        <v/>
      </c>
      <c r="J67" s="79" t="str">
        <f t="shared" si="39"/>
        <v/>
      </c>
      <c r="K67" s="79" t="str">
        <f t="shared" si="39"/>
        <v/>
      </c>
      <c r="L67" s="79" t="str">
        <f t="shared" si="39"/>
        <v/>
      </c>
      <c r="M67" t="str">
        <f t="shared" si="39"/>
        <v/>
      </c>
      <c r="N67" t="str">
        <f t="shared" si="37"/>
        <v>If non-zero, players need to change amount(s)</v>
      </c>
      <c r="S67" s="39">
        <v>1030</v>
      </c>
      <c r="T67" s="40">
        <v>6.305377</v>
      </c>
      <c r="U67" s="41">
        <f t="shared" ref="U67:U73" si="40">X67-V67</f>
        <v>1.117</v>
      </c>
      <c r="V67" s="49">
        <v>0.10100000000000001</v>
      </c>
      <c r="W67" s="41">
        <v>1.1870000000000001</v>
      </c>
      <c r="X67" s="41">
        <f t="shared" si="38"/>
        <v>1.218</v>
      </c>
      <c r="Y67" s="42">
        <v>7.0000000000000007E-2</v>
      </c>
      <c r="Z67" s="52">
        <v>1218000</v>
      </c>
    </row>
    <row r="68" spans="1:26" x14ac:dyDescent="0.35">
      <c r="A68" s="1" t="str">
        <f>IF(A66="","","   Available Water [maf]")</f>
        <v xml:space="preserve">   Available Water [maf]</v>
      </c>
      <c r="C68" s="14">
        <f t="shared" ref="C68:L68" si="41">IF(OR(C$27="",$A68=""),"",C31+C49-C41-C65)</f>
        <v>11.245168465590837</v>
      </c>
      <c r="D68" s="14">
        <f t="shared" ca="1" si="41"/>
        <v>11.208714279287189</v>
      </c>
      <c r="E68" s="14">
        <f t="shared" ca="1" si="41"/>
        <v>11.159482006399868</v>
      </c>
      <c r="F68" s="14">
        <f t="shared" ca="1" si="41"/>
        <v>10.802035250717527</v>
      </c>
      <c r="G68" s="14">
        <f t="shared" ca="1" si="41"/>
        <v>10.454552504284882</v>
      </c>
      <c r="H68" s="14" t="str">
        <f t="shared" si="41"/>
        <v/>
      </c>
      <c r="I68" s="14" t="str">
        <f t="shared" si="41"/>
        <v/>
      </c>
      <c r="J68" s="14" t="str">
        <f t="shared" si="41"/>
        <v/>
      </c>
      <c r="K68" s="14" t="str">
        <f t="shared" si="41"/>
        <v/>
      </c>
      <c r="L68" s="14" t="str">
        <f t="shared" si="41"/>
        <v/>
      </c>
      <c r="N68" t="str">
        <f t="shared" si="37"/>
        <v>Available water = Account Balance + Available Inflow - Evaporation + Sales - Purchases</v>
      </c>
      <c r="S68" s="39">
        <v>1035</v>
      </c>
      <c r="T68" s="40">
        <v>6.6375080000000004</v>
      </c>
      <c r="U68" s="41">
        <f t="shared" si="40"/>
        <v>1.0669999999999999</v>
      </c>
      <c r="V68" s="49">
        <v>9.1999999999999998E-2</v>
      </c>
      <c r="W68" s="41">
        <v>1.137</v>
      </c>
      <c r="X68" s="41">
        <f t="shared" si="38"/>
        <v>1.159</v>
      </c>
      <c r="Y68" s="42">
        <v>7.0000000000000007E-2</v>
      </c>
      <c r="Z68" s="52">
        <v>1159000</v>
      </c>
    </row>
    <row r="69" spans="1:26" x14ac:dyDescent="0.35">
      <c r="A69" s="1" t="str">
        <f>IF(A68="","","   Account Withdraw [maf]")</f>
        <v xml:space="preserve">   Account Withdraw [maf]</v>
      </c>
      <c r="C69" s="43">
        <v>6.9</v>
      </c>
      <c r="D69" s="43">
        <v>6.9</v>
      </c>
      <c r="E69" s="43">
        <v>6.9</v>
      </c>
      <c r="F69" s="43">
        <v>6.9</v>
      </c>
      <c r="G69" s="43">
        <f t="shared" ref="G69" si="42">F69</f>
        <v>6.9</v>
      </c>
      <c r="H69" s="43"/>
      <c r="I69" s="43"/>
      <c r="J69" s="43"/>
      <c r="K69" s="43"/>
      <c r="L69" s="43"/>
      <c r="N69" t="str">
        <f t="shared" si="37"/>
        <v>Must be less than Available water</v>
      </c>
      <c r="S69" s="39">
        <v>1040</v>
      </c>
      <c r="T69" s="40">
        <v>6.977665</v>
      </c>
      <c r="U69" s="41">
        <f t="shared" si="40"/>
        <v>1.0169999999999999</v>
      </c>
      <c r="V69" s="49">
        <v>8.4000000000000005E-2</v>
      </c>
      <c r="W69" s="41">
        <v>1.087</v>
      </c>
      <c r="X69" s="41">
        <f t="shared" si="38"/>
        <v>1.101</v>
      </c>
      <c r="Y69" s="42">
        <v>7.0000000000000007E-2</v>
      </c>
      <c r="Z69" s="52">
        <v>1101000</v>
      </c>
    </row>
    <row r="70" spans="1:26" x14ac:dyDescent="0.35">
      <c r="A70" s="32" t="str">
        <f>IF(A69="","","   End of Year Balance [maf]")</f>
        <v xml:space="preserve">   End of Year Balance [maf]</v>
      </c>
      <c r="C70" s="78">
        <f>IF(OR(C$27="",$A70=""),"",C68-C69)</f>
        <v>4.3451684655908362</v>
      </c>
      <c r="D70" s="78">
        <f t="shared" ref="D70:L70" ca="1" si="43">IF(OR(D$27="",$A70=""),"",D68-D69)</f>
        <v>4.3087142792871891</v>
      </c>
      <c r="E70" s="78">
        <f t="shared" ca="1" si="43"/>
        <v>4.2594820063998675</v>
      </c>
      <c r="F70" s="78">
        <f t="shared" ca="1" si="43"/>
        <v>3.9020352507175264</v>
      </c>
      <c r="G70" s="78">
        <f t="shared" ca="1" si="43"/>
        <v>3.5545525042848816</v>
      </c>
      <c r="H70" s="78" t="str">
        <f t="shared" si="43"/>
        <v/>
      </c>
      <c r="I70" s="78" t="str">
        <f t="shared" si="43"/>
        <v/>
      </c>
      <c r="J70" s="78" t="str">
        <f t="shared" si="43"/>
        <v/>
      </c>
      <c r="K70" s="78" t="str">
        <f t="shared" si="43"/>
        <v/>
      </c>
      <c r="L70" s="78" t="str">
        <f t="shared" si="43"/>
        <v/>
      </c>
      <c r="N70" t="str">
        <f t="shared" si="37"/>
        <v>Available water - Account Withdraw</v>
      </c>
      <c r="S70" s="39">
        <v>1045</v>
      </c>
      <c r="T70" s="40">
        <v>7.3260519999999998</v>
      </c>
      <c r="U70" s="41">
        <f t="shared" si="40"/>
        <v>0.96699999999999997</v>
      </c>
      <c r="V70" s="49">
        <v>7.5999999999999998E-2</v>
      </c>
      <c r="W70" s="41">
        <v>1.0369999999999999</v>
      </c>
      <c r="X70" s="41">
        <f t="shared" si="38"/>
        <v>1.0429999999999999</v>
      </c>
      <c r="Y70" s="42">
        <v>7.0000000000000007E-2</v>
      </c>
      <c r="Z70" s="52">
        <v>1043000</v>
      </c>
    </row>
    <row r="71" spans="1:26" x14ac:dyDescent="0.35">
      <c r="C71"/>
      <c r="S71" s="39">
        <v>1050</v>
      </c>
      <c r="T71" s="40">
        <v>7.6828779999999997</v>
      </c>
      <c r="U71" s="41">
        <f t="shared" si="40"/>
        <v>0.71699999999999997</v>
      </c>
      <c r="V71" s="49">
        <v>3.4000000000000002E-2</v>
      </c>
      <c r="W71" s="41">
        <v>0.78700000000000003</v>
      </c>
      <c r="X71" s="41">
        <f t="shared" si="38"/>
        <v>0.751</v>
      </c>
      <c r="Y71" s="42">
        <v>7.0000000000000007E-2</v>
      </c>
      <c r="Z71" s="52">
        <v>751000</v>
      </c>
    </row>
    <row r="72" spans="1:26" x14ac:dyDescent="0.35">
      <c r="A72" s="80" t="str">
        <f>IF(A$8="","[Unused]",A8)</f>
        <v>Mexico</v>
      </c>
      <c r="B72" s="81"/>
      <c r="C72" s="81"/>
      <c r="D72" s="81"/>
      <c r="E72" s="81"/>
      <c r="F72" s="81"/>
      <c r="G72" s="81"/>
      <c r="H72" s="81"/>
      <c r="I72" s="81"/>
      <c r="J72" s="81"/>
      <c r="K72" s="81"/>
      <c r="L72" s="81"/>
      <c r="M72" s="82" t="s">
        <v>108</v>
      </c>
      <c r="N72" s="80" t="s">
        <v>187</v>
      </c>
      <c r="S72" s="39">
        <v>1075</v>
      </c>
      <c r="T72" s="40">
        <v>9.6009879999900001</v>
      </c>
      <c r="U72" s="41">
        <f t="shared" si="40"/>
        <v>0.63300000000000001</v>
      </c>
      <c r="V72" s="49">
        <v>0.03</v>
      </c>
      <c r="W72" s="41">
        <v>0.68300000000000005</v>
      </c>
      <c r="X72" s="41">
        <f t="shared" si="38"/>
        <v>0.66300000000000003</v>
      </c>
      <c r="Y72" s="42">
        <v>0.05</v>
      </c>
      <c r="Z72" s="52">
        <v>663000</v>
      </c>
    </row>
    <row r="73" spans="1:26" x14ac:dyDescent="0.35">
      <c r="A73" s="32" t="str">
        <f>IF(A72="[Unused]","","   Volume of Sales(+) and Purchases(-) [maf]")</f>
        <v xml:space="preserve">   Volume of Sales(+) and Purchases(-) [maf]</v>
      </c>
      <c r="C73" s="25"/>
      <c r="D73" s="25"/>
      <c r="E73" s="25"/>
      <c r="F73" s="25">
        <v>0.2</v>
      </c>
      <c r="G73" s="25">
        <v>0.2</v>
      </c>
      <c r="H73" s="25"/>
      <c r="I73" s="25"/>
      <c r="J73" s="25"/>
      <c r="K73" s="25"/>
      <c r="L73" s="25"/>
      <c r="M73" s="79">
        <f>SUM(C73:L73)</f>
        <v>0.4</v>
      </c>
      <c r="N73" t="str">
        <f>IF(A73="","",N65)</f>
        <v>Add if multiple transactions, e.g.: 0.5 + 0.25</v>
      </c>
      <c r="S73" s="39">
        <v>1090</v>
      </c>
      <c r="T73" s="40">
        <v>10.857008</v>
      </c>
      <c r="U73" s="41">
        <f t="shared" si="40"/>
        <v>0.30000000000000004</v>
      </c>
      <c r="V73" s="49">
        <v>4.1000000000000002E-2</v>
      </c>
      <c r="W73" s="41">
        <v>0.3</v>
      </c>
      <c r="X73" s="41">
        <f t="shared" si="38"/>
        <v>0.34100000000000003</v>
      </c>
      <c r="Y73" s="38"/>
      <c r="Z73" s="52">
        <v>341000</v>
      </c>
    </row>
    <row r="74" spans="1:26" x14ac:dyDescent="0.35">
      <c r="A74" s="32" t="str">
        <f>IF(A73="","","   Cash Intake(+) and Payments(-) [$ Mill]")</f>
        <v xml:space="preserve">   Cash Intake(+) and Payments(-) [$ Mill]</v>
      </c>
      <c r="C74" s="77"/>
      <c r="D74" s="77"/>
      <c r="E74" s="77"/>
      <c r="F74" s="77">
        <f>350*F73</f>
        <v>70</v>
      </c>
      <c r="G74" s="77">
        <f>350*G73</f>
        <v>70</v>
      </c>
      <c r="H74" s="77"/>
      <c r="I74" s="77"/>
      <c r="J74" s="77"/>
      <c r="K74" s="77"/>
      <c r="L74" s="77"/>
      <c r="M74" s="76">
        <f>SUM(C74:L74)</f>
        <v>140</v>
      </c>
      <c r="N74" t="str">
        <f t="shared" ref="N74:N78" si="44">IF(A74="","",N66)</f>
        <v>Add if multiple transactions, e.g.: $350*0.5 + $450*0.25</v>
      </c>
      <c r="S74" s="39">
        <v>1091</v>
      </c>
      <c r="T74" s="40">
        <v>10.9</v>
      </c>
      <c r="U74" s="41">
        <v>0</v>
      </c>
      <c r="V74" s="49">
        <v>0</v>
      </c>
      <c r="W74" s="41">
        <v>0</v>
      </c>
      <c r="X74" s="41">
        <v>0</v>
      </c>
      <c r="Y74" s="38"/>
      <c r="Z74" s="52">
        <v>0</v>
      </c>
    </row>
    <row r="75" spans="1:26" x14ac:dyDescent="0.35">
      <c r="A75" s="32" t="str">
        <f>IF(A74="","","   Volume all players (should be zero)")</f>
        <v xml:space="preserve">   Volume all players (should be zero)</v>
      </c>
      <c r="C75" s="79">
        <f t="shared" ref="C75:M75" ca="1" si="45">IF(OR(C$27="",$A75=""),"",C$112)</f>
        <v>0</v>
      </c>
      <c r="D75" s="79">
        <f t="shared" ca="1" si="45"/>
        <v>0</v>
      </c>
      <c r="E75" s="79">
        <f t="shared" ca="1" si="45"/>
        <v>0</v>
      </c>
      <c r="F75" s="79">
        <f t="shared" ca="1" si="45"/>
        <v>0</v>
      </c>
      <c r="G75" s="79">
        <f t="shared" ca="1" si="45"/>
        <v>0</v>
      </c>
      <c r="H75" s="79" t="str">
        <f t="shared" si="45"/>
        <v/>
      </c>
      <c r="I75" s="79" t="str">
        <f t="shared" si="45"/>
        <v/>
      </c>
      <c r="J75" s="79" t="str">
        <f t="shared" si="45"/>
        <v/>
      </c>
      <c r="K75" s="79" t="str">
        <f t="shared" si="45"/>
        <v/>
      </c>
      <c r="L75" s="79" t="str">
        <f t="shared" si="45"/>
        <v/>
      </c>
      <c r="M75" t="str">
        <f t="shared" si="45"/>
        <v/>
      </c>
      <c r="N75" t="str">
        <f t="shared" si="44"/>
        <v>If non-zero, players need to change amount(s)</v>
      </c>
    </row>
    <row r="76" spans="1:26" x14ac:dyDescent="0.35">
      <c r="A76" s="1" t="str">
        <f>IF(A74="","","   Available Water [maf]")</f>
        <v xml:space="preserve">   Available Water [maf]</v>
      </c>
      <c r="C76" s="14">
        <f t="shared" ref="C76:L76" si="46">IF(OR(C$27="",$A76=""),"",C32+C50-C42-C73)</f>
        <v>1.6239063098110584</v>
      </c>
      <c r="D76" s="14">
        <f t="shared" ca="1" si="46"/>
        <v>1.805767657652722</v>
      </c>
      <c r="E76" s="14">
        <f t="shared" ca="1" si="46"/>
        <v>1.9380692627112355</v>
      </c>
      <c r="F76" s="14">
        <f ca="1">IF(OR(F$27="",$A76=""),"",F32+F50-F42-F73)</f>
        <v>1.8628792690234797</v>
      </c>
      <c r="G76" s="14">
        <f t="shared" ca="1" si="46"/>
        <v>1.7911279651117171</v>
      </c>
      <c r="H76" s="14" t="str">
        <f t="shared" si="46"/>
        <v/>
      </c>
      <c r="I76" s="14" t="str">
        <f t="shared" si="46"/>
        <v/>
      </c>
      <c r="J76" s="14" t="str">
        <f t="shared" si="46"/>
        <v/>
      </c>
      <c r="K76" s="14" t="str">
        <f t="shared" si="46"/>
        <v/>
      </c>
      <c r="L76" s="14" t="str">
        <f t="shared" si="46"/>
        <v/>
      </c>
      <c r="N76" t="str">
        <f t="shared" si="44"/>
        <v>Available water = Account Balance + Available Inflow - Evaporation + Sales - Purchases</v>
      </c>
    </row>
    <row r="77" spans="1:26" x14ac:dyDescent="0.35">
      <c r="A77" s="1" t="str">
        <f>IF(A76="","","   Account Withdraw [maf]")</f>
        <v xml:space="preserve">   Account Withdraw [maf]</v>
      </c>
      <c r="C77" s="43">
        <v>1.2581764826611881</v>
      </c>
      <c r="D77" s="43">
        <v>1.3</v>
      </c>
      <c r="E77" s="43">
        <v>1.3</v>
      </c>
      <c r="F77" s="43">
        <v>1.3</v>
      </c>
      <c r="G77" s="43">
        <v>1.3</v>
      </c>
      <c r="H77" s="43"/>
      <c r="I77" s="43"/>
      <c r="J77" s="43"/>
      <c r="K77" s="43"/>
      <c r="L77" s="43"/>
      <c r="N77" t="str">
        <f t="shared" si="44"/>
        <v>Must be less than Available water</v>
      </c>
    </row>
    <row r="78" spans="1:26" x14ac:dyDescent="0.35">
      <c r="A78" s="32" t="str">
        <f>IF(A77="","","   End of Year Balance [maf]")</f>
        <v xml:space="preserve">   End of Year Balance [maf]</v>
      </c>
      <c r="C78" s="78">
        <f>IF(OR(C$27="",$A78=""),"",C76-C77)</f>
        <v>0.36572982714987035</v>
      </c>
      <c r="D78" s="78">
        <f t="shared" ref="D78:L78" ca="1" si="47">IF(OR(D$27="",$A78=""),"",D76-D77)</f>
        <v>0.50576765765272191</v>
      </c>
      <c r="E78" s="78">
        <f t="shared" ca="1" si="47"/>
        <v>0.63806926271123543</v>
      </c>
      <c r="F78" s="78">
        <f t="shared" ca="1" si="47"/>
        <v>0.56287926902347962</v>
      </c>
      <c r="G78" s="78">
        <f t="shared" ca="1" si="47"/>
        <v>0.49112796511171708</v>
      </c>
      <c r="H78" s="78" t="str">
        <f t="shared" si="47"/>
        <v/>
      </c>
      <c r="I78" s="78" t="str">
        <f t="shared" si="47"/>
        <v/>
      </c>
      <c r="J78" s="78" t="str">
        <f t="shared" si="47"/>
        <v/>
      </c>
      <c r="K78" s="78" t="str">
        <f t="shared" si="47"/>
        <v/>
      </c>
      <c r="L78" s="78" t="str">
        <f t="shared" si="47"/>
        <v/>
      </c>
      <c r="N78" t="str">
        <f t="shared" si="44"/>
        <v>Available water - Account Withdraw</v>
      </c>
    </row>
    <row r="79" spans="1:26" x14ac:dyDescent="0.35">
      <c r="C79"/>
    </row>
    <row r="80" spans="1:26" x14ac:dyDescent="0.35">
      <c r="A80" s="80" t="str">
        <f>IF(A$9="","[Unused]",A9)</f>
        <v>Mohave &amp; Havasu Evap &amp; ET</v>
      </c>
      <c r="B80" s="81"/>
      <c r="C80" s="81"/>
      <c r="D80" s="81"/>
      <c r="E80" s="81"/>
      <c r="F80" s="81"/>
      <c r="G80" s="81"/>
      <c r="H80" s="81"/>
      <c r="I80" s="81"/>
      <c r="J80" s="81"/>
      <c r="K80" s="81"/>
      <c r="L80" s="81"/>
      <c r="M80" s="82" t="s">
        <v>108</v>
      </c>
      <c r="N80" s="80" t="s">
        <v>187</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9">
        <f>SUM(C81:L81)</f>
        <v>0</v>
      </c>
      <c r="N81" t="str">
        <f>IF(A81="","",N73)</f>
        <v>Add if multiple transactions, e.g.: 0.5 + 0.25</v>
      </c>
    </row>
    <row r="82" spans="1:14" x14ac:dyDescent="0.35">
      <c r="A82" s="32" t="str">
        <f>IF(A81="","","   Cash Intake(+) and Payments(-) [$ Mill]")</f>
        <v xml:space="preserve">   Cash Intake(+) and Payments(-) [$ Mill]</v>
      </c>
      <c r="C82" s="77"/>
      <c r="D82" s="77"/>
      <c r="E82" s="77"/>
      <c r="F82" s="77"/>
      <c r="G82" s="77"/>
      <c r="H82" s="77"/>
      <c r="I82" s="77"/>
      <c r="J82" s="77"/>
      <c r="K82" s="77"/>
      <c r="L82" s="77"/>
      <c r="M82" s="76">
        <f>SUM(C82:L82)</f>
        <v>0</v>
      </c>
      <c r="N82" t="str">
        <f t="shared" ref="N82:N86" si="48">IF(A82="","",N74)</f>
        <v>Add if multiple transactions, e.g.: $350*0.5 + $450*0.25</v>
      </c>
    </row>
    <row r="83" spans="1:14" x14ac:dyDescent="0.35">
      <c r="A83" s="32" t="str">
        <f>IF(A82="","","   Volume all players (should be zero)")</f>
        <v xml:space="preserve">   Volume all players (should be zero)</v>
      </c>
      <c r="C83" s="79">
        <f t="shared" ref="C83:M83" ca="1" si="49">IF(OR(C$27="",$A83=""),"",C$112)</f>
        <v>0</v>
      </c>
      <c r="D83" s="79">
        <f t="shared" ca="1" si="49"/>
        <v>0</v>
      </c>
      <c r="E83" s="79">
        <f t="shared" ca="1" si="49"/>
        <v>0</v>
      </c>
      <c r="F83" s="79">
        <f t="shared" ca="1" si="49"/>
        <v>0</v>
      </c>
      <c r="G83" s="79">
        <f t="shared" ca="1" si="49"/>
        <v>0</v>
      </c>
      <c r="H83" s="79" t="str">
        <f t="shared" si="49"/>
        <v/>
      </c>
      <c r="I83" s="79" t="str">
        <f t="shared" si="49"/>
        <v/>
      </c>
      <c r="J83" s="79" t="str">
        <f t="shared" si="49"/>
        <v/>
      </c>
      <c r="K83" s="79" t="str">
        <f t="shared" si="49"/>
        <v/>
      </c>
      <c r="L83" s="79" t="str">
        <f t="shared" si="49"/>
        <v/>
      </c>
      <c r="M83" t="str">
        <f t="shared" si="49"/>
        <v/>
      </c>
      <c r="N83" t="str">
        <f t="shared" si="48"/>
        <v>If non-zero, players need to change amount(s)</v>
      </c>
    </row>
    <row r="84" spans="1:14" x14ac:dyDescent="0.35">
      <c r="A84" s="1" t="str">
        <f>IF(A82="","","   Available Water [maf]")</f>
        <v xml:space="preserve">   Available Water [maf]</v>
      </c>
      <c r="C84" s="14">
        <f t="shared" ref="C84:L84" si="50">IF(OR(C$27="",$A84=""),"",C33+C51-C43-C81)</f>
        <v>0.6</v>
      </c>
      <c r="D84" s="14">
        <f t="shared" ca="1" si="50"/>
        <v>0.6</v>
      </c>
      <c r="E84" s="14">
        <f t="shared" ca="1" si="50"/>
        <v>0.6</v>
      </c>
      <c r="F84" s="14">
        <f t="shared" ca="1" si="50"/>
        <v>0.6</v>
      </c>
      <c r="G84" s="14">
        <f t="shared" ca="1" si="50"/>
        <v>0.6</v>
      </c>
      <c r="H84" s="14" t="str">
        <f t="shared" si="50"/>
        <v/>
      </c>
      <c r="I84" s="14" t="str">
        <f t="shared" si="50"/>
        <v/>
      </c>
      <c r="J84" s="14" t="str">
        <f t="shared" si="50"/>
        <v/>
      </c>
      <c r="K84" s="14" t="str">
        <f t="shared" si="50"/>
        <v/>
      </c>
      <c r="L84" s="14" t="str">
        <f t="shared" si="50"/>
        <v/>
      </c>
      <c r="N84" t="str">
        <f t="shared" si="48"/>
        <v>Available water = Account Balance + Available Inflow - Evaporation + Sales - Purchases</v>
      </c>
    </row>
    <row r="85" spans="1:14" x14ac:dyDescent="0.35">
      <c r="A85" s="1" t="str">
        <f>IF(A84="","","   Account Withdraw [maf]")</f>
        <v xml:space="preserve">   Account Withdraw [maf]</v>
      </c>
      <c r="C85" s="43">
        <f>C84</f>
        <v>0.6</v>
      </c>
      <c r="D85" s="43">
        <f t="shared" ref="D85:G85" ca="1" si="51">D84</f>
        <v>0.6</v>
      </c>
      <c r="E85" s="43">
        <f t="shared" ca="1" si="51"/>
        <v>0.6</v>
      </c>
      <c r="F85" s="43">
        <f t="shared" ca="1" si="51"/>
        <v>0.6</v>
      </c>
      <c r="G85" s="43">
        <f t="shared" ca="1" si="51"/>
        <v>0.6</v>
      </c>
      <c r="H85" s="43"/>
      <c r="I85" s="43"/>
      <c r="J85" s="43"/>
      <c r="K85" s="43"/>
      <c r="L85" s="43"/>
      <c r="N85" t="str">
        <f t="shared" si="48"/>
        <v>Must be less than Available water</v>
      </c>
    </row>
    <row r="86" spans="1:14" x14ac:dyDescent="0.35">
      <c r="A86" s="32" t="str">
        <f>IF(A85="","","   End of Year Balance [maf]")</f>
        <v xml:space="preserve">   End of Year Balance [maf]</v>
      </c>
      <c r="C86" s="78">
        <f>IF(OR(C$27="",$A86=""),"",C84-C85)</f>
        <v>0</v>
      </c>
      <c r="D86" s="78">
        <f t="shared" ref="D86" ca="1" si="52">IF(OR(D$27="",$A86=""),"",D84-D85)</f>
        <v>0</v>
      </c>
      <c r="E86" s="78">
        <f t="shared" ref="E86" ca="1" si="53">IF(OR(E$27="",$A86=""),"",E84-E85)</f>
        <v>0</v>
      </c>
      <c r="F86" s="78">
        <f t="shared" ref="F86" ca="1" si="54">IF(OR(F$27="",$A86=""),"",F84-F85)</f>
        <v>0</v>
      </c>
      <c r="G86" s="78">
        <f t="shared" ref="G86" ca="1" si="55">IF(OR(G$27="",$A86=""),"",G84-G85)</f>
        <v>0</v>
      </c>
      <c r="H86" s="78" t="str">
        <f t="shared" ref="H86" si="56">IF(OR(H$27="",$A86=""),"",H84-H85)</f>
        <v/>
      </c>
      <c r="I86" s="78" t="str">
        <f t="shared" ref="I86" si="57">IF(OR(I$27="",$A86=""),"",I84-I85)</f>
        <v/>
      </c>
      <c r="J86" s="78" t="str">
        <f t="shared" ref="J86" si="58">IF(OR(J$27="",$A86=""),"",J84-J85)</f>
        <v/>
      </c>
      <c r="K86" s="78" t="str">
        <f t="shared" ref="K86" si="59">IF(OR(K$27="",$A86=""),"",K84-K85)</f>
        <v/>
      </c>
      <c r="L86" s="78" t="str">
        <f t="shared" ref="L86" si="60">IF(OR(L$27="",$A86=""),"",L84-L85)</f>
        <v/>
      </c>
      <c r="N86" t="str">
        <f t="shared" si="48"/>
        <v>Available water - Account Withdraw</v>
      </c>
    </row>
    <row r="87" spans="1:14" x14ac:dyDescent="0.35">
      <c r="C87"/>
    </row>
    <row r="88" spans="1:14" x14ac:dyDescent="0.35">
      <c r="A88" s="80" t="str">
        <f>IF(A$10="","[Unused]",A10)</f>
        <v>Shared, Reserve</v>
      </c>
      <c r="B88" s="81"/>
      <c r="C88" s="81"/>
      <c r="D88" s="81"/>
      <c r="E88" s="81"/>
      <c r="F88" s="81"/>
      <c r="G88" s="81"/>
      <c r="H88" s="81"/>
      <c r="I88" s="81"/>
      <c r="J88" s="81"/>
      <c r="K88" s="81"/>
      <c r="L88" s="81"/>
      <c r="M88" s="82" t="s">
        <v>108</v>
      </c>
      <c r="N88" s="80" t="s">
        <v>187</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9">
        <f>SUM(C89:L89)</f>
        <v>0</v>
      </c>
      <c r="N89" t="str">
        <f>IF(A89="","",N81)</f>
        <v>Add if multiple transactions, e.g.: 0.5 + 0.25</v>
      </c>
    </row>
    <row r="90" spans="1:14" x14ac:dyDescent="0.35">
      <c r="A90" s="32" t="str">
        <f>IF(A89="","","   Cash Intake(+) and Payments(-) [$ Mill]")</f>
        <v xml:space="preserve">   Cash Intake(+) and Payments(-) [$ Mill]</v>
      </c>
      <c r="C90" s="77"/>
      <c r="D90" s="77"/>
      <c r="E90" s="77"/>
      <c r="F90" s="77"/>
      <c r="G90" s="77"/>
      <c r="H90" s="77"/>
      <c r="I90" s="77"/>
      <c r="J90" s="77"/>
      <c r="K90" s="77"/>
      <c r="L90" s="77"/>
      <c r="M90" s="76">
        <f>SUM(C90:L90)</f>
        <v>0</v>
      </c>
      <c r="N90" t="str">
        <f t="shared" ref="N90:N94" si="61">IF(A90="","",N82)</f>
        <v>Add if multiple transactions, e.g.: $350*0.5 + $450*0.25</v>
      </c>
    </row>
    <row r="91" spans="1:14" x14ac:dyDescent="0.35">
      <c r="A91" s="32" t="str">
        <f>IF(A90="","","   Volume all players (should be zero)")</f>
        <v xml:space="preserve">   Volume all players (should be zero)</v>
      </c>
      <c r="C91" s="79">
        <f t="shared" ref="C91:M91" ca="1" si="62">IF(OR(C$27="",$A91=""),"",C$112)</f>
        <v>0</v>
      </c>
      <c r="D91" s="79">
        <f t="shared" ca="1" si="62"/>
        <v>0</v>
      </c>
      <c r="E91" s="79">
        <f t="shared" ca="1" si="62"/>
        <v>0</v>
      </c>
      <c r="F91" s="79">
        <f t="shared" ca="1" si="62"/>
        <v>0</v>
      </c>
      <c r="G91" s="79">
        <f t="shared" ca="1" si="62"/>
        <v>0</v>
      </c>
      <c r="H91" s="79" t="str">
        <f t="shared" si="62"/>
        <v/>
      </c>
      <c r="I91" s="79" t="str">
        <f t="shared" si="62"/>
        <v/>
      </c>
      <c r="J91" s="79" t="str">
        <f t="shared" si="62"/>
        <v/>
      </c>
      <c r="K91" s="79" t="str">
        <f t="shared" si="62"/>
        <v/>
      </c>
      <c r="L91" s="79" t="str">
        <f t="shared" si="62"/>
        <v/>
      </c>
      <c r="M91" t="str">
        <f t="shared" si="62"/>
        <v/>
      </c>
      <c r="N91" t="str">
        <f t="shared" si="61"/>
        <v>If non-zero, players need to change amount(s)</v>
      </c>
    </row>
    <row r="92" spans="1:14" x14ac:dyDescent="0.35">
      <c r="A92" s="1" t="str">
        <f>IF(A90="","","   Available Water [maf]")</f>
        <v xml:space="preserve">   Available Water [maf]</v>
      </c>
      <c r="C92" s="14">
        <f t="shared" ref="C92:L92" si="63">IF(OR(C$27="",$A92=""),"",C34+C52-C44-C89)</f>
        <v>11.59116925</v>
      </c>
      <c r="D92" s="14">
        <f t="shared" ca="1" si="63"/>
        <v>11.59116925</v>
      </c>
      <c r="E92" s="14">
        <f t="shared" ca="1" si="63"/>
        <v>11.59116925</v>
      </c>
      <c r="F92" s="14">
        <f t="shared" ca="1" si="63"/>
        <v>11.59116925</v>
      </c>
      <c r="G92" s="14">
        <f t="shared" ca="1" si="63"/>
        <v>11.59116925</v>
      </c>
      <c r="H92" s="14" t="str">
        <f t="shared" si="63"/>
        <v/>
      </c>
      <c r="I92" s="14" t="str">
        <f t="shared" si="63"/>
        <v/>
      </c>
      <c r="J92" s="14" t="str">
        <f t="shared" si="63"/>
        <v/>
      </c>
      <c r="K92" s="14" t="str">
        <f t="shared" si="63"/>
        <v/>
      </c>
      <c r="L92" s="14" t="str">
        <f t="shared" si="63"/>
        <v/>
      </c>
      <c r="N92" t="str">
        <f t="shared" si="61"/>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61"/>
        <v>Must be less than Available water</v>
      </c>
    </row>
    <row r="94" spans="1:14" x14ac:dyDescent="0.35">
      <c r="A94" s="32" t="str">
        <f>IF(A93="","","   End of Year Balance [maf]")</f>
        <v xml:space="preserve">   End of Year Balance [maf]</v>
      </c>
      <c r="C94" s="78">
        <f>IF(OR(C$27="",$A94=""),"",C92-C93)</f>
        <v>11.59116925</v>
      </c>
      <c r="D94" s="78">
        <f t="shared" ref="D94" ca="1" si="64">IF(OR(D$27="",$A94=""),"",D92-D93)</f>
        <v>11.59116925</v>
      </c>
      <c r="E94" s="78">
        <f t="shared" ref="E94" ca="1" si="65">IF(OR(E$27="",$A94=""),"",E92-E93)</f>
        <v>11.59116925</v>
      </c>
      <c r="F94" s="78">
        <f t="shared" ref="F94" ca="1" si="66">IF(OR(F$27="",$A94=""),"",F92-F93)</f>
        <v>11.59116925</v>
      </c>
      <c r="G94" s="78">
        <f t="shared" ref="G94" ca="1" si="67">IF(OR(G$27="",$A94=""),"",G92-G93)</f>
        <v>11.59116925</v>
      </c>
      <c r="H94" s="78" t="str">
        <f t="shared" ref="H94" si="68">IF(OR(H$27="",$A94=""),"",H92-H93)</f>
        <v/>
      </c>
      <c r="I94" s="78" t="str">
        <f t="shared" ref="I94" si="69">IF(OR(I$27="",$A94=""),"",I92-I93)</f>
        <v/>
      </c>
      <c r="J94" s="78" t="str">
        <f t="shared" ref="J94" si="70">IF(OR(J$27="",$A94=""),"",J92-J93)</f>
        <v/>
      </c>
      <c r="K94" s="78" t="str">
        <f t="shared" ref="K94" si="71">IF(OR(K$27="",$A94=""),"",K92-K93)</f>
        <v/>
      </c>
      <c r="L94" s="78" t="str">
        <f t="shared" ref="L94" si="72">IF(OR(L$27="",$A94=""),"",L92-L93)</f>
        <v/>
      </c>
      <c r="N94" t="str">
        <f t="shared" si="61"/>
        <v>Available water - Account Withdraw</v>
      </c>
    </row>
    <row r="95" spans="1:14" x14ac:dyDescent="0.35">
      <c r="C95"/>
    </row>
    <row r="96" spans="1:14" x14ac:dyDescent="0.35">
      <c r="A96" s="80" t="str">
        <f>IF(A$11="","[Unused]",A11)</f>
        <v>[Unused]</v>
      </c>
      <c r="B96" s="81"/>
      <c r="C96" s="81"/>
      <c r="D96" s="81"/>
      <c r="E96" s="81"/>
      <c r="F96" s="81"/>
      <c r="G96" s="81"/>
      <c r="H96" s="81"/>
      <c r="I96" s="81"/>
      <c r="J96" s="81"/>
      <c r="K96" s="81"/>
      <c r="L96" s="81"/>
      <c r="M96" s="82" t="s">
        <v>108</v>
      </c>
      <c r="N96" s="80" t="s">
        <v>187</v>
      </c>
    </row>
    <row r="97" spans="1:14" x14ac:dyDescent="0.35">
      <c r="A97" s="32" t="str">
        <f>IF(A96="[Unused]","","   Volume of Sales(+) and Purchases(-) [maf]")</f>
        <v/>
      </c>
      <c r="C97" s="25"/>
      <c r="D97" s="25"/>
      <c r="E97" s="25"/>
      <c r="F97" s="25"/>
      <c r="G97" s="25"/>
      <c r="H97" s="25"/>
      <c r="I97" s="25"/>
      <c r="J97" s="25"/>
      <c r="K97" s="25"/>
      <c r="L97" s="25"/>
      <c r="M97" s="79">
        <f>SUM(C97:L97)</f>
        <v>0</v>
      </c>
      <c r="N97" t="str">
        <f>IF(A97="","",N89)</f>
        <v/>
      </c>
    </row>
    <row r="98" spans="1:14" x14ac:dyDescent="0.35">
      <c r="A98" s="32" t="str">
        <f>IF(A97="","","   Cash Intake(+) and Payments(-) [$ Mill]")</f>
        <v/>
      </c>
      <c r="C98" s="77"/>
      <c r="D98" s="77"/>
      <c r="E98" s="77"/>
      <c r="F98" s="77"/>
      <c r="G98" s="77"/>
      <c r="H98" s="77"/>
      <c r="I98" s="77"/>
      <c r="J98" s="77"/>
      <c r="K98" s="77"/>
      <c r="L98" s="77"/>
      <c r="M98" s="76">
        <f>SUM(C98:L98)</f>
        <v>0</v>
      </c>
      <c r="N98" t="str">
        <f t="shared" ref="N98:N102" si="73">IF(A98="","",N90)</f>
        <v/>
      </c>
    </row>
    <row r="99" spans="1:14" x14ac:dyDescent="0.35">
      <c r="A99" s="32" t="str">
        <f>IF(A98="","","   Volume all players (should be zero)")</f>
        <v/>
      </c>
      <c r="C99" s="79" t="str">
        <f t="shared" ref="C99:M99" si="74">IF(OR(C$27="",$A99=""),"",C$112)</f>
        <v/>
      </c>
      <c r="D99" s="79" t="str">
        <f t="shared" si="74"/>
        <v/>
      </c>
      <c r="E99" s="79" t="str">
        <f t="shared" si="74"/>
        <v/>
      </c>
      <c r="F99" s="79" t="str">
        <f t="shared" si="74"/>
        <v/>
      </c>
      <c r="G99" s="79" t="str">
        <f t="shared" si="74"/>
        <v/>
      </c>
      <c r="H99" s="79" t="str">
        <f t="shared" si="74"/>
        <v/>
      </c>
      <c r="I99" s="79" t="str">
        <f t="shared" si="74"/>
        <v/>
      </c>
      <c r="J99" s="79" t="str">
        <f t="shared" si="74"/>
        <v/>
      </c>
      <c r="K99" s="79" t="str">
        <f t="shared" si="74"/>
        <v/>
      </c>
      <c r="L99" s="79" t="str">
        <f t="shared" si="74"/>
        <v/>
      </c>
      <c r="M99" t="str">
        <f t="shared" si="74"/>
        <v/>
      </c>
      <c r="N99" t="str">
        <f t="shared" si="73"/>
        <v/>
      </c>
    </row>
    <row r="100" spans="1:14" x14ac:dyDescent="0.35">
      <c r="A100" s="1" t="str">
        <f>IF(A98="","","   Available Water [maf]")</f>
        <v/>
      </c>
      <c r="C100" s="14" t="str">
        <f t="shared" ref="C100:L100" si="75">IF(OR(C$27="",$A100=""),"",C35+C53-C45-C97)</f>
        <v/>
      </c>
      <c r="D100" s="14" t="str">
        <f t="shared" si="75"/>
        <v/>
      </c>
      <c r="E100" s="14" t="str">
        <f t="shared" si="75"/>
        <v/>
      </c>
      <c r="F100" s="14" t="str">
        <f t="shared" si="75"/>
        <v/>
      </c>
      <c r="G100" s="14" t="str">
        <f t="shared" si="75"/>
        <v/>
      </c>
      <c r="H100" s="14" t="str">
        <f t="shared" si="75"/>
        <v/>
      </c>
      <c r="I100" s="14" t="str">
        <f t="shared" si="75"/>
        <v/>
      </c>
      <c r="J100" s="14" t="str">
        <f t="shared" si="75"/>
        <v/>
      </c>
      <c r="K100" s="14" t="str">
        <f t="shared" si="75"/>
        <v/>
      </c>
      <c r="L100" s="14" t="str">
        <f t="shared" si="75"/>
        <v/>
      </c>
      <c r="N100" t="str">
        <f t="shared" si="73"/>
        <v/>
      </c>
    </row>
    <row r="101" spans="1:14" x14ac:dyDescent="0.35">
      <c r="A101" s="1" t="str">
        <f>IF(A100="","","   Account Withdraw [maf]")</f>
        <v/>
      </c>
      <c r="C101" s="43"/>
      <c r="D101" s="43"/>
      <c r="E101" s="43"/>
      <c r="F101" s="43"/>
      <c r="G101" s="43"/>
      <c r="H101" s="43"/>
      <c r="I101" s="43"/>
      <c r="J101" s="43"/>
      <c r="K101" s="43"/>
      <c r="L101" s="43"/>
      <c r="N101" t="str">
        <f t="shared" si="73"/>
        <v/>
      </c>
    </row>
    <row r="102" spans="1:14" x14ac:dyDescent="0.35">
      <c r="A102" s="32" t="str">
        <f>IF(A101="","","   End of Year Balance [maf]")</f>
        <v/>
      </c>
      <c r="C102" s="78" t="str">
        <f>IF(OR(C$27="",$A102=""),"",C100-C101)</f>
        <v/>
      </c>
      <c r="D102" s="78" t="str">
        <f t="shared" ref="D102" si="76">IF(OR(D$27="",$A102=""),"",D100-D101)</f>
        <v/>
      </c>
      <c r="E102" s="78" t="str">
        <f t="shared" ref="E102" si="77">IF(OR(E$27="",$A102=""),"",E100-E101)</f>
        <v/>
      </c>
      <c r="F102" s="78" t="str">
        <f t="shared" ref="F102" si="78">IF(OR(F$27="",$A102=""),"",F100-F101)</f>
        <v/>
      </c>
      <c r="G102" s="78" t="str">
        <f t="shared" ref="G102" si="79">IF(OR(G$27="",$A102=""),"",G100-G101)</f>
        <v/>
      </c>
      <c r="H102" s="78" t="str">
        <f t="shared" ref="H102" si="80">IF(OR(H$27="",$A102=""),"",H100-H101)</f>
        <v/>
      </c>
      <c r="I102" s="78" t="str">
        <f t="shared" ref="I102" si="81">IF(OR(I$27="",$A102=""),"",I100-I101)</f>
        <v/>
      </c>
      <c r="J102" s="78" t="str">
        <f t="shared" ref="J102" si="82">IF(OR(J$27="",$A102=""),"",J100-J101)</f>
        <v/>
      </c>
      <c r="K102" s="78" t="str">
        <f t="shared" ref="K102" si="83">IF(OR(K$27="",$A102=""),"",K100-K101)</f>
        <v/>
      </c>
      <c r="L102" s="78" t="str">
        <f t="shared" ref="L102" si="84">IF(OR(L$27="",$A102=""),"",L100-L101)</f>
        <v/>
      </c>
      <c r="N102" t="str">
        <f t="shared" si="73"/>
        <v/>
      </c>
    </row>
    <row r="103" spans="1:14" x14ac:dyDescent="0.35">
      <c r="C103"/>
    </row>
    <row r="104" spans="1:14" x14ac:dyDescent="0.35">
      <c r="A104" s="83" t="s">
        <v>198</v>
      </c>
      <c r="B104" s="84"/>
      <c r="C104" s="84"/>
      <c r="D104" s="84"/>
      <c r="E104" s="84"/>
      <c r="F104" s="84"/>
      <c r="G104" s="84"/>
      <c r="H104" s="84"/>
      <c r="I104" s="84"/>
      <c r="J104" s="84"/>
      <c r="K104" s="84"/>
      <c r="L104" s="84"/>
      <c r="M104" s="84"/>
      <c r="N104" s="84"/>
    </row>
    <row r="105" spans="1:14" x14ac:dyDescent="0.35">
      <c r="A105" s="1" t="s">
        <v>159</v>
      </c>
      <c r="C105"/>
      <c r="M105" t="s">
        <v>197</v>
      </c>
      <c r="N105" t="s">
        <v>160</v>
      </c>
    </row>
    <row r="106" spans="1:14" x14ac:dyDescent="0.35">
      <c r="A106" t="str">
        <f t="shared" ref="A106:A111" si="85">IF(A6="","","    "&amp;A6)</f>
        <v xml:space="preserve">    Upper Basin</v>
      </c>
      <c r="B106" s="1"/>
      <c r="C106" s="79">
        <f t="shared" ref="C106:L106" ca="1" si="86">IF(OR(C$27="",$A106=""),"",OFFSET(C$57,8*(ROW(B106)-ROW(B$106)),0))</f>
        <v>0.5</v>
      </c>
      <c r="D106" s="79">
        <f t="shared" ca="1" si="86"/>
        <v>0.4</v>
      </c>
      <c r="E106" s="79">
        <f t="shared" ca="1" si="86"/>
        <v>0.4</v>
      </c>
      <c r="F106" s="79">
        <f t="shared" ca="1" si="86"/>
        <v>-0.1</v>
      </c>
      <c r="G106" s="79">
        <f t="shared" ca="1" si="86"/>
        <v>-0.1</v>
      </c>
      <c r="H106" s="79" t="str">
        <f t="shared" ca="1" si="86"/>
        <v/>
      </c>
      <c r="I106" s="79" t="str">
        <f t="shared" ca="1" si="86"/>
        <v/>
      </c>
      <c r="J106" s="79" t="str">
        <f t="shared" ca="1" si="86"/>
        <v/>
      </c>
      <c r="K106" s="79" t="str">
        <f t="shared" ca="1" si="86"/>
        <v/>
      </c>
      <c r="L106" s="79" t="str">
        <f t="shared" ca="1" si="86"/>
        <v/>
      </c>
      <c r="M106" s="79">
        <f ca="1">IF(OR($A106=""),"",SUM(C106:L106))</f>
        <v>1.0999999999999999</v>
      </c>
      <c r="N106" s="76">
        <f>IF(OR($A106=""),"",M58)</f>
        <v>385</v>
      </c>
    </row>
    <row r="107" spans="1:14" x14ac:dyDescent="0.35">
      <c r="A107" t="str">
        <f t="shared" si="85"/>
        <v xml:space="preserve">    Lower Basin</v>
      </c>
      <c r="B107" s="1"/>
      <c r="C107" s="79">
        <f t="shared" ref="C107:L107" ca="1" si="87">IF(OR(C$27="",$A107=""),"",OFFSET(C$57,8*(ROW(B107)-ROW(B$106)),0))</f>
        <v>-0.5</v>
      </c>
      <c r="D107" s="79">
        <f t="shared" ca="1" si="87"/>
        <v>-0.4</v>
      </c>
      <c r="E107" s="79">
        <f t="shared" ca="1" si="87"/>
        <v>-0.4</v>
      </c>
      <c r="F107" s="79">
        <f t="shared" ca="1" si="87"/>
        <v>-0.1</v>
      </c>
      <c r="G107" s="79">
        <f t="shared" ca="1" si="87"/>
        <v>-0.1</v>
      </c>
      <c r="H107" s="79" t="str">
        <f t="shared" ca="1" si="87"/>
        <v/>
      </c>
      <c r="I107" s="79" t="str">
        <f t="shared" ca="1" si="87"/>
        <v/>
      </c>
      <c r="J107" s="79" t="str">
        <f t="shared" ca="1" si="87"/>
        <v/>
      </c>
      <c r="K107" s="79" t="str">
        <f t="shared" ca="1" si="87"/>
        <v/>
      </c>
      <c r="L107" s="79" t="str">
        <f t="shared" ca="1" si="87"/>
        <v/>
      </c>
      <c r="M107" s="79">
        <f t="shared" ref="M107:M111" ca="1" si="88">IF(OR($A107=""),"",SUM(C107:L107))</f>
        <v>-1.5000000000000002</v>
      </c>
      <c r="N107" s="76">
        <f>IF(OR($A107=""),"",M66)</f>
        <v>-525</v>
      </c>
    </row>
    <row r="108" spans="1:14" x14ac:dyDescent="0.35">
      <c r="A108" t="str">
        <f t="shared" si="85"/>
        <v xml:space="preserve">    Mexico</v>
      </c>
      <c r="B108" s="1"/>
      <c r="C108" s="79">
        <f t="shared" ref="C108:L108" ca="1" si="89">IF(OR(C$27="",$A108=""),"",OFFSET(C$57,8*(ROW(B108)-ROW(B$106)),0))</f>
        <v>0</v>
      </c>
      <c r="D108" s="79">
        <f t="shared" ca="1" si="89"/>
        <v>0</v>
      </c>
      <c r="E108" s="79">
        <f t="shared" ca="1" si="89"/>
        <v>0</v>
      </c>
      <c r="F108" s="79">
        <f t="shared" ca="1" si="89"/>
        <v>0.2</v>
      </c>
      <c r="G108" s="79">
        <f t="shared" ca="1" si="89"/>
        <v>0.2</v>
      </c>
      <c r="H108" s="79" t="str">
        <f t="shared" ca="1" si="89"/>
        <v/>
      </c>
      <c r="I108" s="79" t="str">
        <f t="shared" ca="1" si="89"/>
        <v/>
      </c>
      <c r="J108" s="79" t="str">
        <f t="shared" ca="1" si="89"/>
        <v/>
      </c>
      <c r="K108" s="79" t="str">
        <f t="shared" ca="1" si="89"/>
        <v/>
      </c>
      <c r="L108" s="79" t="str">
        <f t="shared" ca="1" si="89"/>
        <v/>
      </c>
      <c r="M108" s="79">
        <f t="shared" ca="1" si="88"/>
        <v>0.4</v>
      </c>
      <c r="N108" s="76">
        <f>IF(OR($A108=""),"",M74)</f>
        <v>140</v>
      </c>
    </row>
    <row r="109" spans="1:14" x14ac:dyDescent="0.35">
      <c r="A109" t="str">
        <f t="shared" si="85"/>
        <v xml:space="preserve">    Mohave &amp; Havasu Evap &amp; ET</v>
      </c>
      <c r="B109" s="1"/>
      <c r="C109" s="79">
        <f t="shared" ref="C109:L109" ca="1" si="90">IF(OR(C$27="",$A109=""),"",OFFSET(C$57,8*(ROW(B109)-ROW(B$106)),0))</f>
        <v>0</v>
      </c>
      <c r="D109" s="79">
        <f t="shared" ca="1" si="90"/>
        <v>0</v>
      </c>
      <c r="E109" s="79">
        <f t="shared" ca="1" si="90"/>
        <v>0</v>
      </c>
      <c r="F109" s="79">
        <f t="shared" ca="1" si="90"/>
        <v>0</v>
      </c>
      <c r="G109" s="79">
        <f t="shared" ca="1" si="90"/>
        <v>0</v>
      </c>
      <c r="H109" s="79" t="str">
        <f t="shared" ca="1" si="90"/>
        <v/>
      </c>
      <c r="I109" s="79" t="str">
        <f t="shared" ca="1" si="90"/>
        <v/>
      </c>
      <c r="J109" s="79" t="str">
        <f t="shared" ca="1" si="90"/>
        <v/>
      </c>
      <c r="K109" s="79" t="str">
        <f t="shared" ca="1" si="90"/>
        <v/>
      </c>
      <c r="L109" s="79" t="str">
        <f t="shared" ca="1" si="90"/>
        <v/>
      </c>
      <c r="M109" s="79">
        <f t="shared" ca="1" si="88"/>
        <v>0</v>
      </c>
      <c r="N109" s="76">
        <f>IF(OR($A109=""),"",M82)</f>
        <v>0</v>
      </c>
    </row>
    <row r="110" spans="1:14" x14ac:dyDescent="0.35">
      <c r="A110" t="str">
        <f t="shared" si="85"/>
        <v xml:space="preserve">    Shared, Reserve</v>
      </c>
      <c r="B110" s="1"/>
      <c r="C110" s="79">
        <f t="shared" ref="C110:L110" ca="1" si="91">IF(OR(C$27="",$A110=""),"",OFFSET(C$57,8*(ROW(B110)-ROW(B$106)),0))</f>
        <v>0</v>
      </c>
      <c r="D110" s="79">
        <f t="shared" ca="1" si="91"/>
        <v>0</v>
      </c>
      <c r="E110" s="79">
        <f t="shared" ca="1" si="91"/>
        <v>0</v>
      </c>
      <c r="F110" s="79">
        <f t="shared" ca="1" si="91"/>
        <v>0</v>
      </c>
      <c r="G110" s="79">
        <f t="shared" ca="1" si="91"/>
        <v>0</v>
      </c>
      <c r="H110" s="79" t="str">
        <f t="shared" ca="1" si="91"/>
        <v/>
      </c>
      <c r="I110" s="79" t="str">
        <f t="shared" ca="1" si="91"/>
        <v/>
      </c>
      <c r="J110" s="79" t="str">
        <f t="shared" ca="1" si="91"/>
        <v/>
      </c>
      <c r="K110" s="79" t="str">
        <f t="shared" ca="1" si="91"/>
        <v/>
      </c>
      <c r="L110" s="79" t="str">
        <f t="shared" ca="1" si="91"/>
        <v/>
      </c>
      <c r="M110" s="79">
        <f t="shared" ca="1" si="88"/>
        <v>0</v>
      </c>
      <c r="N110" s="76">
        <f>IF(OR($A110=""),"",M90)</f>
        <v>0</v>
      </c>
    </row>
    <row r="111" spans="1:14" x14ac:dyDescent="0.35">
      <c r="A111" t="str">
        <f t="shared" si="85"/>
        <v/>
      </c>
      <c r="B111" s="1"/>
      <c r="C111" s="79" t="str">
        <f t="shared" ref="C111:L111" ca="1" si="92">IF(OR(C$27="",$A111=""),"",OFFSET(C$57,8*(ROW(B111)-ROW(B$106)),0))</f>
        <v/>
      </c>
      <c r="D111" s="79" t="str">
        <f t="shared" ca="1" si="92"/>
        <v/>
      </c>
      <c r="E111" s="79" t="str">
        <f t="shared" ca="1" si="92"/>
        <v/>
      </c>
      <c r="F111" s="79" t="str">
        <f t="shared" ca="1" si="92"/>
        <v/>
      </c>
      <c r="G111" s="79" t="str">
        <f t="shared" ca="1" si="92"/>
        <v/>
      </c>
      <c r="H111" s="79" t="str">
        <f t="shared" ca="1" si="92"/>
        <v/>
      </c>
      <c r="I111" s="79" t="str">
        <f t="shared" ca="1" si="92"/>
        <v/>
      </c>
      <c r="J111" s="79" t="str">
        <f t="shared" ca="1" si="92"/>
        <v/>
      </c>
      <c r="K111" s="79" t="str">
        <f t="shared" ca="1" si="92"/>
        <v/>
      </c>
      <c r="L111" s="79" t="str">
        <f t="shared" ca="1" si="92"/>
        <v/>
      </c>
      <c r="M111" s="79" t="str">
        <f t="shared" si="88"/>
        <v/>
      </c>
      <c r="N111" s="76" t="str">
        <f>IF(OR($A111=""),"",M98)</f>
        <v/>
      </c>
    </row>
    <row r="112" spans="1:14" x14ac:dyDescent="0.35">
      <c r="A112" t="s">
        <v>154</v>
      </c>
      <c r="B112" s="1"/>
      <c r="C112" s="53">
        <f ca="1">IF(C$27&lt;&gt;"",SUM(C106:C111),"")</f>
        <v>0</v>
      </c>
      <c r="D112" s="53">
        <f t="shared" ref="D112:L112" ca="1" si="93">IF(D$27&lt;&gt;"",SUM(D106:D111),"")</f>
        <v>0</v>
      </c>
      <c r="E112" s="53">
        <f t="shared" ca="1" si="93"/>
        <v>0</v>
      </c>
      <c r="F112" s="53">
        <f t="shared" ca="1" si="93"/>
        <v>0</v>
      </c>
      <c r="G112" s="53">
        <f t="shared" ca="1" si="93"/>
        <v>0</v>
      </c>
      <c r="H112" s="53" t="str">
        <f t="shared" si="93"/>
        <v/>
      </c>
      <c r="I112" s="53" t="str">
        <f t="shared" si="93"/>
        <v/>
      </c>
      <c r="J112" s="53" t="str">
        <f t="shared" si="93"/>
        <v/>
      </c>
      <c r="K112" s="53" t="str">
        <f t="shared" si="93"/>
        <v/>
      </c>
      <c r="L112" s="53" t="str">
        <f t="shared" si="93"/>
        <v/>
      </c>
      <c r="M112" s="34"/>
    </row>
    <row r="113" spans="1:12" x14ac:dyDescent="0.35">
      <c r="A113" s="1" t="s">
        <v>135</v>
      </c>
      <c r="B113" s="1"/>
      <c r="C113" s="61"/>
      <c r="D113" s="2"/>
      <c r="E113" s="61"/>
      <c r="F113" s="2"/>
      <c r="G113" s="2"/>
      <c r="H113" s="2"/>
      <c r="I113" s="2"/>
      <c r="J113" s="2"/>
      <c r="K113" s="2"/>
      <c r="L113" s="2"/>
    </row>
    <row r="114" spans="1:12" x14ac:dyDescent="0.35">
      <c r="A114" t="str">
        <f>IF(A6="","","    "&amp;A6&amp;" - Consumptive Use and Headwaters Losses")</f>
        <v xml:space="preserve">    Upper Basin - Consumptive Use and Headwaters Losses</v>
      </c>
      <c r="C114" s="79">
        <f t="shared" ref="C114:L114" ca="1" si="94">IF(OR(C$27="",$A114=""),"",OFFSET(C$61,8*(ROW(B114)-ROW(B$114)),0))</f>
        <v>3.7</v>
      </c>
      <c r="D114" s="79">
        <f t="shared" ca="1" si="94"/>
        <v>3.3</v>
      </c>
      <c r="E114" s="79">
        <f t="shared" ca="1" si="94"/>
        <v>3</v>
      </c>
      <c r="F114" s="79">
        <f t="shared" ca="1" si="94"/>
        <v>2.8</v>
      </c>
      <c r="G114" s="79">
        <f t="shared" ca="1" si="94"/>
        <v>2.7</v>
      </c>
      <c r="H114" s="79" t="str">
        <f t="shared" ca="1" si="94"/>
        <v/>
      </c>
      <c r="I114" s="79" t="str">
        <f t="shared" ca="1" si="94"/>
        <v/>
      </c>
      <c r="J114" s="79" t="str">
        <f t="shared" ca="1" si="94"/>
        <v/>
      </c>
      <c r="K114" s="79" t="str">
        <f t="shared" ca="1" si="94"/>
        <v/>
      </c>
      <c r="L114" s="79" t="str">
        <f t="shared" ca="1" si="94"/>
        <v/>
      </c>
    </row>
    <row r="115" spans="1:12" x14ac:dyDescent="0.35">
      <c r="A115" t="str">
        <f>IF(A7="","","    "&amp;A7&amp;" - Release from Mead")</f>
        <v xml:space="preserve">    Lower Basin - Release from Mead</v>
      </c>
      <c r="C115" s="79">
        <f t="shared" ref="C115:L115" ca="1" si="95">IF(OR(C$27="",$A115=""),"",OFFSET(C$61,8*(ROW(B115)-ROW(B$114)),0))</f>
        <v>6.9</v>
      </c>
      <c r="D115" s="79">
        <f t="shared" ca="1" si="95"/>
        <v>6.9</v>
      </c>
      <c r="E115" s="79">
        <f t="shared" ca="1" si="95"/>
        <v>6.9</v>
      </c>
      <c r="F115" s="79">
        <f t="shared" ca="1" si="95"/>
        <v>6.9</v>
      </c>
      <c r="G115" s="79">
        <f t="shared" ca="1" si="95"/>
        <v>6.9</v>
      </c>
      <c r="H115" s="79" t="str">
        <f t="shared" ca="1" si="95"/>
        <v/>
      </c>
      <c r="I115" s="79" t="str">
        <f t="shared" ca="1" si="95"/>
        <v/>
      </c>
      <c r="J115" s="79" t="str">
        <f t="shared" ca="1" si="95"/>
        <v/>
      </c>
      <c r="K115" s="79" t="str">
        <f t="shared" ca="1" si="95"/>
        <v/>
      </c>
      <c r="L115" s="79" t="str">
        <f t="shared" ca="1" si="95"/>
        <v/>
      </c>
    </row>
    <row r="116" spans="1:12" x14ac:dyDescent="0.35">
      <c r="A116" t="str">
        <f>IF(A8="","","    "&amp;A8&amp;" - Release from Mead")</f>
        <v xml:space="preserve">    Mexico - Release from Mead</v>
      </c>
      <c r="C116" s="79">
        <f t="shared" ref="C116:L116" ca="1" si="96">IF(OR(C$27="",$A116=""),"",OFFSET(C$61,8*(ROW(B116)-ROW(B$114)),0))</f>
        <v>1.2581764826611881</v>
      </c>
      <c r="D116" s="79">
        <f t="shared" ca="1" si="96"/>
        <v>1.3</v>
      </c>
      <c r="E116" s="79">
        <f t="shared" ca="1" si="96"/>
        <v>1.3</v>
      </c>
      <c r="F116" s="79">
        <f t="shared" ca="1" si="96"/>
        <v>1.3</v>
      </c>
      <c r="G116" s="79">
        <f t="shared" ca="1" si="96"/>
        <v>1.3</v>
      </c>
      <c r="H116" s="79" t="str">
        <f t="shared" ca="1" si="96"/>
        <v/>
      </c>
      <c r="I116" s="79" t="str">
        <f t="shared" ca="1" si="96"/>
        <v/>
      </c>
      <c r="J116" s="79" t="str">
        <f t="shared" ca="1" si="96"/>
        <v/>
      </c>
      <c r="K116" s="79" t="str">
        <f t="shared" ca="1" si="96"/>
        <v/>
      </c>
      <c r="L116" s="79" t="str">
        <f t="shared" ca="1" si="96"/>
        <v/>
      </c>
    </row>
    <row r="117" spans="1:12" x14ac:dyDescent="0.35">
      <c r="A117" t="str">
        <f>IF(A9="","","    "&amp;A9&amp;" - Release from Mead")</f>
        <v xml:space="preserve">    Mohave &amp; Havasu Evap &amp; ET - Release from Mead</v>
      </c>
      <c r="C117" s="79">
        <f t="shared" ref="C117:L117" ca="1" si="97">IF(OR(C$27="",$A117=""),"",OFFSET(C$61,8*(ROW(B117)-ROW(B$114)),0))</f>
        <v>0.6</v>
      </c>
      <c r="D117" s="79">
        <f t="shared" ca="1" si="97"/>
        <v>0.6</v>
      </c>
      <c r="E117" s="79">
        <f t="shared" ca="1" si="97"/>
        <v>0.6</v>
      </c>
      <c r="F117" s="79">
        <f t="shared" ca="1" si="97"/>
        <v>0.6</v>
      </c>
      <c r="G117" s="79">
        <f t="shared" ca="1" si="97"/>
        <v>0.6</v>
      </c>
      <c r="H117" s="79" t="str">
        <f t="shared" ca="1" si="97"/>
        <v/>
      </c>
      <c r="I117" s="79" t="str">
        <f t="shared" ca="1" si="97"/>
        <v/>
      </c>
      <c r="J117" s="79" t="str">
        <f t="shared" ca="1" si="97"/>
        <v/>
      </c>
      <c r="K117" s="79" t="str">
        <f t="shared" ca="1" si="97"/>
        <v/>
      </c>
      <c r="L117" s="79" t="str">
        <f t="shared" ca="1" si="97"/>
        <v/>
      </c>
    </row>
    <row r="118" spans="1:12" x14ac:dyDescent="0.35">
      <c r="A118" t="str">
        <f>IF(A10="","","    "&amp;A10&amp;" - Release from Mead")</f>
        <v xml:space="preserve">    Shared, Reserve - Release from Mead</v>
      </c>
      <c r="C118" s="79">
        <f t="shared" ref="C118:L118" ca="1" si="98">IF(OR(C$27="",$A118=""),"",OFFSET(C$61,8*(ROW(B118)-ROW(B$114)),0))</f>
        <v>0</v>
      </c>
      <c r="D118" s="79">
        <f t="shared" ca="1" si="98"/>
        <v>0</v>
      </c>
      <c r="E118" s="79">
        <f t="shared" ca="1" si="98"/>
        <v>0</v>
      </c>
      <c r="F118" s="79">
        <f t="shared" ca="1" si="98"/>
        <v>0</v>
      </c>
      <c r="G118" s="79">
        <f t="shared" ca="1" si="98"/>
        <v>0</v>
      </c>
      <c r="H118" s="79" t="str">
        <f t="shared" ca="1" si="98"/>
        <v/>
      </c>
      <c r="I118" s="79" t="str">
        <f t="shared" ca="1" si="98"/>
        <v/>
      </c>
      <c r="J118" s="79" t="str">
        <f t="shared" ca="1" si="98"/>
        <v/>
      </c>
      <c r="K118" s="79" t="str">
        <f t="shared" ca="1" si="98"/>
        <v/>
      </c>
      <c r="L118" s="79" t="str">
        <f t="shared" ca="1" si="98"/>
        <v/>
      </c>
    </row>
    <row r="119" spans="1:12" x14ac:dyDescent="0.35">
      <c r="A119" t="str">
        <f>IF(A11="","","    "&amp;A11&amp;" - Release from Mead")</f>
        <v/>
      </c>
      <c r="C119" s="79" t="str">
        <f t="shared" ref="C119:L119" ca="1" si="99">IF(OR(C$27="",$A119=""),"",OFFSET(C$61,8*(ROW(B119)-ROW(B$114)),0))</f>
        <v/>
      </c>
      <c r="D119" s="79" t="str">
        <f t="shared" ca="1" si="99"/>
        <v/>
      </c>
      <c r="E119" s="79" t="str">
        <f t="shared" ca="1" si="99"/>
        <v/>
      </c>
      <c r="F119" s="79" t="str">
        <f t="shared" ca="1" si="99"/>
        <v/>
      </c>
      <c r="G119" s="79" t="str">
        <f t="shared" ca="1" si="99"/>
        <v/>
      </c>
      <c r="H119" s="79" t="str">
        <f t="shared" ca="1" si="99"/>
        <v/>
      </c>
      <c r="I119" s="79" t="str">
        <f t="shared" ca="1" si="99"/>
        <v/>
      </c>
      <c r="J119" s="79" t="str">
        <f t="shared" ca="1" si="99"/>
        <v/>
      </c>
      <c r="K119" s="79" t="str">
        <f t="shared" ca="1" si="99"/>
        <v/>
      </c>
      <c r="L119" s="79" t="str">
        <f t="shared" ca="1" si="99"/>
        <v/>
      </c>
    </row>
    <row r="120" spans="1:12" x14ac:dyDescent="0.35">
      <c r="A120" s="1" t="s">
        <v>140</v>
      </c>
      <c r="B120" s="1"/>
      <c r="D120" s="2"/>
      <c r="E120" s="2"/>
      <c r="F120" s="2"/>
      <c r="G120" s="2"/>
      <c r="H120" s="2"/>
      <c r="I120" s="2"/>
      <c r="J120" s="2"/>
      <c r="K120" s="2"/>
      <c r="L120" s="2"/>
    </row>
    <row r="121" spans="1:12" x14ac:dyDescent="0.35">
      <c r="A121" t="str">
        <f t="shared" ref="A121:A126" si="100">IF(A6="","","    "&amp;A6)</f>
        <v xml:space="preserve">    Upper Basin</v>
      </c>
      <c r="C121" s="79">
        <f t="shared" ref="C121:L121" ca="1" si="101">IF(OR(C$27="",$A121=""),"",OFFSET(C$62,8*(ROW(B121)-ROW(B$121)),0))</f>
        <v>3.1178582945981317</v>
      </c>
      <c r="D121" s="79">
        <f t="shared" ca="1" si="101"/>
        <v>1.7427998573977552</v>
      </c>
      <c r="E121" s="79">
        <f t="shared" ca="1" si="101"/>
        <v>0.7256345247277376</v>
      </c>
      <c r="F121" s="79">
        <f t="shared" ca="1" si="101"/>
        <v>0.45385150759843285</v>
      </c>
      <c r="G121" s="79">
        <f t="shared" ca="1" si="101"/>
        <v>0.29066646544284103</v>
      </c>
      <c r="H121" s="79" t="str">
        <f t="shared" ca="1" si="101"/>
        <v/>
      </c>
      <c r="I121" s="79" t="str">
        <f t="shared" ca="1" si="101"/>
        <v/>
      </c>
      <c r="J121" s="79" t="str">
        <f t="shared" ca="1" si="101"/>
        <v/>
      </c>
      <c r="K121" s="79" t="str">
        <f t="shared" ca="1" si="101"/>
        <v/>
      </c>
      <c r="L121" s="79" t="str">
        <f t="shared" ca="1" si="101"/>
        <v/>
      </c>
    </row>
    <row r="122" spans="1:12" x14ac:dyDescent="0.35">
      <c r="A122" t="str">
        <f t="shared" si="100"/>
        <v xml:space="preserve">    Lower Basin</v>
      </c>
      <c r="C122" s="79">
        <f t="shared" ref="C122:L122" ca="1" si="102">IF(OR(C$27="",$A122=""),"",OFFSET(C$62,8*(ROW(B122)-ROW(B$121)),0))</f>
        <v>4.3451684655908362</v>
      </c>
      <c r="D122" s="79">
        <f t="shared" ca="1" si="102"/>
        <v>4.3087142792871891</v>
      </c>
      <c r="E122" s="79">
        <f t="shared" ca="1" si="102"/>
        <v>4.2594820063998675</v>
      </c>
      <c r="F122" s="79">
        <f t="shared" ca="1" si="102"/>
        <v>3.9020352507175264</v>
      </c>
      <c r="G122" s="79">
        <f t="shared" ca="1" si="102"/>
        <v>3.5545525042848816</v>
      </c>
      <c r="H122" s="79" t="str">
        <f t="shared" ca="1" si="102"/>
        <v/>
      </c>
      <c r="I122" s="79" t="str">
        <f t="shared" ca="1" si="102"/>
        <v/>
      </c>
      <c r="J122" s="79" t="str">
        <f t="shared" ca="1" si="102"/>
        <v/>
      </c>
      <c r="K122" s="79" t="str">
        <f t="shared" ca="1" si="102"/>
        <v/>
      </c>
      <c r="L122" s="79" t="str">
        <f t="shared" ca="1" si="102"/>
        <v/>
      </c>
    </row>
    <row r="123" spans="1:12" x14ac:dyDescent="0.35">
      <c r="A123" t="str">
        <f t="shared" si="100"/>
        <v xml:space="preserve">    Mexico</v>
      </c>
      <c r="C123" s="79">
        <f t="shared" ref="C123:L123" ca="1" si="103">IF(OR(C$27="",$A123=""),"",OFFSET(C$62,8*(ROW(B123)-ROW(B$121)),0))</f>
        <v>0.36572982714987035</v>
      </c>
      <c r="D123" s="79">
        <f t="shared" ca="1" si="103"/>
        <v>0.50576765765272191</v>
      </c>
      <c r="E123" s="79">
        <f t="shared" ca="1" si="103"/>
        <v>0.63806926271123543</v>
      </c>
      <c r="F123" s="79">
        <f t="shared" ca="1" si="103"/>
        <v>0.56287926902347962</v>
      </c>
      <c r="G123" s="79">
        <f t="shared" ca="1" si="103"/>
        <v>0.49112796511171708</v>
      </c>
      <c r="H123" s="79" t="str">
        <f t="shared" ca="1" si="103"/>
        <v/>
      </c>
      <c r="I123" s="79" t="str">
        <f t="shared" ca="1" si="103"/>
        <v/>
      </c>
      <c r="J123" s="79" t="str">
        <f t="shared" ca="1" si="103"/>
        <v/>
      </c>
      <c r="K123" s="79" t="str">
        <f t="shared" ca="1" si="103"/>
        <v/>
      </c>
      <c r="L123" s="79" t="str">
        <f t="shared" ca="1" si="103"/>
        <v/>
      </c>
    </row>
    <row r="124" spans="1:12" x14ac:dyDescent="0.35">
      <c r="A124" t="str">
        <f t="shared" si="100"/>
        <v xml:space="preserve">    Mohave &amp; Havasu Evap &amp; ET</v>
      </c>
      <c r="C124" s="79">
        <f t="shared" ref="C124:L124" ca="1" si="104">IF(OR(C$27="",$A124=""),"",OFFSET(C$62,8*(ROW(B124)-ROW(B$121)),0))</f>
        <v>0</v>
      </c>
      <c r="D124" s="79">
        <f t="shared" ca="1" si="104"/>
        <v>0</v>
      </c>
      <c r="E124" s="79">
        <f t="shared" ca="1" si="104"/>
        <v>0</v>
      </c>
      <c r="F124" s="79">
        <f t="shared" ca="1" si="104"/>
        <v>0</v>
      </c>
      <c r="G124" s="79">
        <f t="shared" ca="1" si="104"/>
        <v>0</v>
      </c>
      <c r="H124" s="79" t="str">
        <f t="shared" ca="1" si="104"/>
        <v/>
      </c>
      <c r="I124" s="79" t="str">
        <f t="shared" ca="1" si="104"/>
        <v/>
      </c>
      <c r="J124" s="79" t="str">
        <f t="shared" ca="1" si="104"/>
        <v/>
      </c>
      <c r="K124" s="79" t="str">
        <f t="shared" ca="1" si="104"/>
        <v/>
      </c>
      <c r="L124" s="79" t="str">
        <f t="shared" ca="1" si="104"/>
        <v/>
      </c>
    </row>
    <row r="125" spans="1:12" x14ac:dyDescent="0.35">
      <c r="A125" t="str">
        <f t="shared" si="100"/>
        <v xml:space="preserve">    Shared, Reserve</v>
      </c>
      <c r="C125" s="79">
        <f t="shared" ref="C125:L125" ca="1" si="105">IF(OR(C$27="",$A125=""),"",OFFSET(C$62,8*(ROW(B125)-ROW(B$121)),0))</f>
        <v>11.59116925</v>
      </c>
      <c r="D125" s="79">
        <f t="shared" ca="1" si="105"/>
        <v>11.59116925</v>
      </c>
      <c r="E125" s="79">
        <f t="shared" ca="1" si="105"/>
        <v>11.59116925</v>
      </c>
      <c r="F125" s="79">
        <f t="shared" ca="1" si="105"/>
        <v>11.59116925</v>
      </c>
      <c r="G125" s="79">
        <f t="shared" ca="1" si="105"/>
        <v>11.59116925</v>
      </c>
      <c r="H125" s="79" t="str">
        <f t="shared" ca="1" si="105"/>
        <v/>
      </c>
      <c r="I125" s="79" t="str">
        <f t="shared" ca="1" si="105"/>
        <v/>
      </c>
      <c r="J125" s="79" t="str">
        <f t="shared" ca="1" si="105"/>
        <v/>
      </c>
      <c r="K125" s="79" t="str">
        <f t="shared" ca="1" si="105"/>
        <v/>
      </c>
      <c r="L125" s="79" t="str">
        <f t="shared" ca="1" si="105"/>
        <v/>
      </c>
    </row>
    <row r="126" spans="1:12" x14ac:dyDescent="0.35">
      <c r="A126" t="str">
        <f t="shared" si="100"/>
        <v/>
      </c>
      <c r="C126" s="79" t="str">
        <f t="shared" ref="C126:L126" ca="1" si="106">IF(OR(C$27="",$A126=""),"",OFFSET(C$62,8*(ROW(B126)-ROW(B$121)),0))</f>
        <v/>
      </c>
      <c r="D126" s="79" t="str">
        <f t="shared" ca="1" si="106"/>
        <v/>
      </c>
      <c r="E126" s="79" t="str">
        <f t="shared" ca="1" si="106"/>
        <v/>
      </c>
      <c r="F126" s="79" t="str">
        <f t="shared" ca="1" si="106"/>
        <v/>
      </c>
      <c r="G126" s="79" t="str">
        <f t="shared" ca="1" si="106"/>
        <v/>
      </c>
      <c r="H126" s="79" t="str">
        <f t="shared" ca="1" si="106"/>
        <v/>
      </c>
      <c r="I126" s="79" t="str">
        <f t="shared" ca="1" si="106"/>
        <v/>
      </c>
      <c r="J126" s="79" t="str">
        <f t="shared" ca="1" si="106"/>
        <v/>
      </c>
      <c r="K126" s="79" t="str">
        <f t="shared" ca="1" si="106"/>
        <v/>
      </c>
      <c r="L126" s="79" t="str">
        <f t="shared" ca="1" si="106"/>
        <v/>
      </c>
    </row>
    <row r="127" spans="1:12" x14ac:dyDescent="0.35">
      <c r="A127" s="1" t="s">
        <v>124</v>
      </c>
      <c r="B127" s="1"/>
      <c r="C127" s="14">
        <f ca="1">IF(C$27&lt;&gt;"",SUM(C121:C126),"")</f>
        <v>19.419925837338837</v>
      </c>
      <c r="D127" s="14">
        <f t="shared" ref="D127:L127" ca="1" si="107">IF(D$27&lt;&gt;"",SUM(D121:D126),"")</f>
        <v>18.148451044337666</v>
      </c>
      <c r="E127" s="14">
        <f t="shared" ca="1" si="107"/>
        <v>17.214355043838843</v>
      </c>
      <c r="F127" s="14">
        <f t="shared" ca="1" si="107"/>
        <v>16.509935277339437</v>
      </c>
      <c r="G127" s="14">
        <f t="shared" ca="1" si="107"/>
        <v>15.92751618483944</v>
      </c>
      <c r="H127" s="14" t="str">
        <f t="shared" si="107"/>
        <v/>
      </c>
      <c r="I127" s="14" t="str">
        <f t="shared" si="107"/>
        <v/>
      </c>
      <c r="J127" s="14" t="str">
        <f t="shared" si="107"/>
        <v/>
      </c>
      <c r="K127" s="14" t="str">
        <f t="shared" si="107"/>
        <v/>
      </c>
      <c r="L127" s="14" t="str">
        <f t="shared" si="107"/>
        <v/>
      </c>
    </row>
    <row r="128" spans="1:12" x14ac:dyDescent="0.35">
      <c r="A128" s="1" t="s">
        <v>219</v>
      </c>
      <c r="B128" s="1"/>
      <c r="C128" s="89">
        <v>0.5</v>
      </c>
      <c r="D128" s="89">
        <v>0.5</v>
      </c>
      <c r="E128" s="89">
        <v>0.5</v>
      </c>
      <c r="F128" s="89">
        <v>0.5</v>
      </c>
      <c r="G128" s="89">
        <v>0.5</v>
      </c>
      <c r="H128" s="89"/>
      <c r="I128" s="89"/>
      <c r="J128" s="89"/>
      <c r="K128" s="89"/>
      <c r="L128" s="89"/>
    </row>
    <row r="129" spans="1:14" x14ac:dyDescent="0.35">
      <c r="A129" s="1" t="s">
        <v>215</v>
      </c>
      <c r="B129" s="1"/>
      <c r="C129" s="14">
        <f ca="1">IF(C27="","",C$128*C$127)</f>
        <v>9.7099629186694187</v>
      </c>
      <c r="D129" s="14">
        <f t="shared" ref="D129:L129" ca="1" si="108">IF(D27="","",D$128*D$127)</f>
        <v>9.0742255221688328</v>
      </c>
      <c r="E129" s="14">
        <f t="shared" ca="1" si="108"/>
        <v>8.6071775219194215</v>
      </c>
      <c r="F129" s="14">
        <f t="shared" ca="1" si="108"/>
        <v>8.2549676386697186</v>
      </c>
      <c r="G129" s="14">
        <f t="shared" ca="1" si="108"/>
        <v>7.9637580924197202</v>
      </c>
      <c r="H129" s="14" t="str">
        <f t="shared" si="108"/>
        <v/>
      </c>
      <c r="I129" s="14" t="str">
        <f t="shared" si="108"/>
        <v/>
      </c>
      <c r="J129" s="14" t="str">
        <f t="shared" si="108"/>
        <v/>
      </c>
      <c r="K129" s="14" t="str">
        <f t="shared" si="108"/>
        <v/>
      </c>
      <c r="L129" s="14" t="str">
        <f t="shared" si="108"/>
        <v/>
      </c>
    </row>
    <row r="130" spans="1:14" x14ac:dyDescent="0.35">
      <c r="A130" s="1" t="s">
        <v>216</v>
      </c>
      <c r="B130" s="1"/>
      <c r="C130" s="14">
        <f ca="1">IF(C28="","",(1-C$128)*C$127)</f>
        <v>9.7099629186694187</v>
      </c>
      <c r="D130" s="14">
        <f t="shared" ref="D130:L130" ca="1" si="109">IF(D28="","",(1-D$128)*D$127)</f>
        <v>9.0742255221688328</v>
      </c>
      <c r="E130" s="14">
        <f t="shared" ca="1" si="109"/>
        <v>8.6071775219194215</v>
      </c>
      <c r="F130" s="14">
        <f t="shared" ca="1" si="109"/>
        <v>8.2549676386697186</v>
      </c>
      <c r="G130" s="14">
        <f t="shared" ca="1" si="109"/>
        <v>7.9637580924197202</v>
      </c>
      <c r="H130" s="14" t="str">
        <f t="shared" si="109"/>
        <v/>
      </c>
      <c r="I130" s="14" t="str">
        <f t="shared" si="109"/>
        <v/>
      </c>
      <c r="J130" s="14" t="str">
        <f t="shared" si="109"/>
        <v/>
      </c>
      <c r="K130" s="14" t="str">
        <f t="shared" si="109"/>
        <v/>
      </c>
      <c r="L130" s="14" t="str">
        <f t="shared" si="109"/>
        <v/>
      </c>
    </row>
    <row r="131" spans="1:14" x14ac:dyDescent="0.35">
      <c r="A131" s="1" t="s">
        <v>146</v>
      </c>
      <c r="B131" s="1"/>
      <c r="C131" s="14">
        <f ca="1">IF(C$27&lt;&gt;"",-C129+C37+C27-C61-VLOOKUP(C37*1000000,'Powell-Elevation-Area'!$B$5:$D$689,3)*$B$21/1000000,"")</f>
        <v>8.0671402013300089</v>
      </c>
      <c r="D131" s="14">
        <f ca="1">IF(D$27&lt;&gt;"",-D129+D37+D27-D61-VLOOKUP(D37*1000000,'Powell-Elevation-Area'!$B$5:$D$689,3)*$B$21/1000000,"")</f>
        <v>7.8531906035000141</v>
      </c>
      <c r="E131" s="14">
        <f ca="1">IF(E$27&lt;&gt;"",-E129+E37+E27-E61-VLOOKUP(E37*1000000,'Powell-Elevation-Area'!$B$5:$D$689,3)*$B$21/1000000,"")</f>
        <v>8.0053139997499834</v>
      </c>
      <c r="F131" s="14">
        <f ca="1">IF(F$27&lt;&gt;"",-F129+F37+F27-F61-VLOOKUP(F37*1000000,'Powell-Elevation-Area'!$B$5:$D$689,3)*$B$21/1000000,"")</f>
        <v>8.1071261167497024</v>
      </c>
      <c r="G131" s="14">
        <f ca="1">IF(G$27&lt;&gt;"",-G129+G37+G27-G61-VLOOKUP(G37*1000000,'Powell-Elevation-Area'!$B$5:$D$689,3)*$B$21/1000000,"")</f>
        <v>8.1583524537499983</v>
      </c>
      <c r="H131" s="14" t="str">
        <f>IF(H$27&lt;&gt;"",-H129+H37+H27-H61-VLOOKUP(H37*1000000,'Powell-Elevation-Area'!$B$5:$D$689,3)*$B$21/1000000,"")</f>
        <v/>
      </c>
      <c r="I131" s="14" t="str">
        <f>IF(I$27&lt;&gt;"",-I129+I37+I27-I61-VLOOKUP(I37*1000000,'Powell-Elevation-Area'!$B$5:$D$689,3)*$B$21/1000000,"")</f>
        <v/>
      </c>
      <c r="J131" s="14" t="str">
        <f>IF(J$27&lt;&gt;"",-J129+J37+J27-J61-VLOOKUP(J37*1000000,'Powell-Elevation-Area'!$B$5:$D$689,3)*$B$21/1000000,"")</f>
        <v/>
      </c>
      <c r="K131" s="14" t="str">
        <f>IF(K$27&lt;&gt;"",-K129+K37+K27-K61-VLOOKUP(K37*1000000,'Powell-Elevation-Area'!$B$5:$D$689,3)*$B$21/1000000,"")</f>
        <v/>
      </c>
      <c r="L131" s="14" t="str">
        <f>IF(L$27&lt;&gt;"",-L129+L37+L27-L61-VLOOKUP(L37*1000000,'Powell-Elevation-Area'!$B$5:$D$689,3)*$B$21/1000000,"")</f>
        <v/>
      </c>
      <c r="N131" t="s">
        <v>217</v>
      </c>
    </row>
    <row r="132" spans="1:14" x14ac:dyDescent="0.35">
      <c r="C132" s="29"/>
    </row>
    <row r="133" spans="1:14" x14ac:dyDescent="0.35">
      <c r="A133" s="1" t="s">
        <v>126</v>
      </c>
      <c r="C133" s="12">
        <f>IF(C$27&lt;&gt;"",0.2,"")</f>
        <v>0.2</v>
      </c>
      <c r="D133" s="12">
        <f t="shared" ref="D133:L133" si="110">IF(D$27&lt;&gt;"",0.2,"")</f>
        <v>0.2</v>
      </c>
      <c r="E133" s="12">
        <f t="shared" si="110"/>
        <v>0.2</v>
      </c>
      <c r="F133" s="12">
        <f t="shared" si="110"/>
        <v>0.2</v>
      </c>
      <c r="G133" s="12">
        <f t="shared" si="110"/>
        <v>0.2</v>
      </c>
      <c r="H133" s="12" t="str">
        <f t="shared" si="110"/>
        <v/>
      </c>
      <c r="I133" s="12" t="str">
        <f t="shared" si="110"/>
        <v/>
      </c>
      <c r="J133" s="12" t="str">
        <f t="shared" si="110"/>
        <v/>
      </c>
      <c r="K133" s="12" t="str">
        <f t="shared" si="110"/>
        <v/>
      </c>
      <c r="L133" s="12" t="str">
        <f t="shared" si="110"/>
        <v/>
      </c>
    </row>
    <row r="134" spans="1:14" x14ac:dyDescent="0.35">
      <c r="A134" t="s">
        <v>127</v>
      </c>
      <c r="C134" s="14">
        <f t="shared" ref="C134:L134" ca="1" si="111">IF(C$27&lt;&gt;"",C115+C133,"")</f>
        <v>7.1000000000000005</v>
      </c>
      <c r="D134" s="14">
        <f t="shared" ca="1" si="111"/>
        <v>7.1000000000000005</v>
      </c>
      <c r="E134" s="14">
        <f t="shared" ca="1" si="111"/>
        <v>7.1000000000000005</v>
      </c>
      <c r="F134" s="14">
        <f t="shared" ca="1" si="111"/>
        <v>7.1000000000000005</v>
      </c>
      <c r="G134" s="14">
        <f t="shared" ca="1" si="111"/>
        <v>7.1000000000000005</v>
      </c>
      <c r="H134" s="14" t="str">
        <f t="shared" si="111"/>
        <v/>
      </c>
      <c r="I134" s="14" t="str">
        <f t="shared" si="111"/>
        <v/>
      </c>
      <c r="J134" s="14" t="str">
        <f t="shared" si="111"/>
        <v/>
      </c>
      <c r="K134" s="14" t="str">
        <f t="shared" si="111"/>
        <v/>
      </c>
      <c r="L134" s="14" t="str">
        <f t="shared" si="111"/>
        <v/>
      </c>
    </row>
    <row r="136" spans="1:14" x14ac:dyDescent="0.35">
      <c r="D136" s="18"/>
    </row>
  </sheetData>
  <mergeCells count="9">
    <mergeCell ref="C9:G9"/>
    <mergeCell ref="C10:G10"/>
    <mergeCell ref="C11:G11"/>
    <mergeCell ref="A3:G3"/>
    <mergeCell ref="C4:G4"/>
    <mergeCell ref="C5:G5"/>
    <mergeCell ref="C6:G6"/>
    <mergeCell ref="C7:G7"/>
    <mergeCell ref="C8:G8"/>
  </mergeCells>
  <conditionalFormatting sqref="D61">
    <cfRule type="cellIs" dxfId="214" priority="79" operator="greaterThan">
      <formula>$D$60</formula>
    </cfRule>
  </conditionalFormatting>
  <conditionalFormatting sqref="C61">
    <cfRule type="cellIs" dxfId="213" priority="68" operator="greaterThan">
      <formula>$C$60</formula>
    </cfRule>
  </conditionalFormatting>
  <conditionalFormatting sqref="E61">
    <cfRule type="cellIs" dxfId="212" priority="66" operator="greaterThan">
      <formula>$E$60</formula>
    </cfRule>
  </conditionalFormatting>
  <conditionalFormatting sqref="F61">
    <cfRule type="cellIs" dxfId="211" priority="65" operator="greaterThan">
      <formula>$F$60</formula>
    </cfRule>
  </conditionalFormatting>
  <conditionalFormatting sqref="G61">
    <cfRule type="cellIs" dxfId="210" priority="64" operator="greaterThan">
      <formula>$G$60</formula>
    </cfRule>
  </conditionalFormatting>
  <conditionalFormatting sqref="H61">
    <cfRule type="cellIs" dxfId="209" priority="63" operator="greaterThan">
      <formula>$H$60</formula>
    </cfRule>
  </conditionalFormatting>
  <conditionalFormatting sqref="I61">
    <cfRule type="cellIs" dxfId="208" priority="62" operator="greaterThan">
      <formula>$I$60</formula>
    </cfRule>
  </conditionalFormatting>
  <conditionalFormatting sqref="J61">
    <cfRule type="cellIs" dxfId="207" priority="61" operator="greaterThan">
      <formula>$J$60</formula>
    </cfRule>
  </conditionalFormatting>
  <conditionalFormatting sqref="K61">
    <cfRule type="cellIs" dxfId="206" priority="60" operator="greaterThan">
      <formula>$K$60</formula>
    </cfRule>
  </conditionalFormatting>
  <conditionalFormatting sqref="L61">
    <cfRule type="cellIs" dxfId="205" priority="59" operator="greaterThan">
      <formula>$L$60</formula>
    </cfRule>
  </conditionalFormatting>
  <conditionalFormatting sqref="C69">
    <cfRule type="cellIs" dxfId="204" priority="51" operator="greaterThan">
      <formula>$C$68</formula>
    </cfRule>
  </conditionalFormatting>
  <conditionalFormatting sqref="D69">
    <cfRule type="cellIs" dxfId="203" priority="50" operator="greaterThan">
      <formula>$D$68</formula>
    </cfRule>
  </conditionalFormatting>
  <conditionalFormatting sqref="E69">
    <cfRule type="cellIs" dxfId="202" priority="49" operator="greaterThan">
      <formula>$E$68</formula>
    </cfRule>
  </conditionalFormatting>
  <conditionalFormatting sqref="F69">
    <cfRule type="cellIs" dxfId="201" priority="48" operator="greaterThan">
      <formula>$F$68</formula>
    </cfRule>
  </conditionalFormatting>
  <conditionalFormatting sqref="G69">
    <cfRule type="cellIs" dxfId="200" priority="47" operator="greaterThan">
      <formula>$G$68</formula>
    </cfRule>
  </conditionalFormatting>
  <conditionalFormatting sqref="H69">
    <cfRule type="cellIs" dxfId="199" priority="46" operator="greaterThan">
      <formula>$H$68</formula>
    </cfRule>
  </conditionalFormatting>
  <conditionalFormatting sqref="I69">
    <cfRule type="cellIs" dxfId="198" priority="45" operator="greaterThan">
      <formula>$I$68</formula>
    </cfRule>
  </conditionalFormatting>
  <conditionalFormatting sqref="J69">
    <cfRule type="cellIs" dxfId="197" priority="44" operator="greaterThan">
      <formula>$J$68</formula>
    </cfRule>
  </conditionalFormatting>
  <conditionalFormatting sqref="K69">
    <cfRule type="cellIs" dxfId="196" priority="43" operator="greaterThan">
      <formula>$K$68</formula>
    </cfRule>
  </conditionalFormatting>
  <conditionalFormatting sqref="L69">
    <cfRule type="cellIs" dxfId="195" priority="42" operator="greaterThan">
      <formula>$L$68</formula>
    </cfRule>
  </conditionalFormatting>
  <conditionalFormatting sqref="C77">
    <cfRule type="cellIs" dxfId="194" priority="41" operator="greaterThan">
      <formula>$C$76</formula>
    </cfRule>
  </conditionalFormatting>
  <conditionalFormatting sqref="D77">
    <cfRule type="cellIs" dxfId="193" priority="40" operator="greaterThan">
      <formula>$D$76</formula>
    </cfRule>
  </conditionalFormatting>
  <conditionalFormatting sqref="E77">
    <cfRule type="cellIs" dxfId="192" priority="39" operator="greaterThan">
      <formula>$E$76</formula>
    </cfRule>
  </conditionalFormatting>
  <conditionalFormatting sqref="F77">
    <cfRule type="cellIs" dxfId="191" priority="38" operator="greaterThan">
      <formula>$F$76</formula>
    </cfRule>
  </conditionalFormatting>
  <conditionalFormatting sqref="G77">
    <cfRule type="cellIs" dxfId="190" priority="37" operator="greaterThan">
      <formula>$G$76</formula>
    </cfRule>
  </conditionalFormatting>
  <conditionalFormatting sqref="H77">
    <cfRule type="cellIs" dxfId="189" priority="36" operator="greaterThan">
      <formula>$H$76</formula>
    </cfRule>
  </conditionalFormatting>
  <conditionalFormatting sqref="I77">
    <cfRule type="cellIs" dxfId="188" priority="35" operator="greaterThan">
      <formula>$I$76</formula>
    </cfRule>
  </conditionalFormatting>
  <conditionalFormatting sqref="J77">
    <cfRule type="cellIs" dxfId="187" priority="34" operator="greaterThan">
      <formula>$J$76</formula>
    </cfRule>
  </conditionalFormatting>
  <conditionalFormatting sqref="K77">
    <cfRule type="cellIs" dxfId="186" priority="33" operator="greaterThan">
      <formula>$K$76</formula>
    </cfRule>
  </conditionalFormatting>
  <conditionalFormatting sqref="L77">
    <cfRule type="cellIs" dxfId="185" priority="32" operator="greaterThan">
      <formula>$L$76</formula>
    </cfRule>
  </conditionalFormatting>
  <conditionalFormatting sqref="C85">
    <cfRule type="cellIs" dxfId="184" priority="31" operator="greaterThan">
      <formula>$C$84</formula>
    </cfRule>
  </conditionalFormatting>
  <conditionalFormatting sqref="D85">
    <cfRule type="cellIs" dxfId="183" priority="30" operator="greaterThan">
      <formula>$D$84</formula>
    </cfRule>
  </conditionalFormatting>
  <conditionalFormatting sqref="E85">
    <cfRule type="cellIs" dxfId="182" priority="29" operator="greaterThan">
      <formula>$E$84</formula>
    </cfRule>
  </conditionalFormatting>
  <conditionalFormatting sqref="F85">
    <cfRule type="cellIs" dxfId="181" priority="28" operator="greaterThan">
      <formula>$F$84</formula>
    </cfRule>
  </conditionalFormatting>
  <conditionalFormatting sqref="G85">
    <cfRule type="cellIs" dxfId="180" priority="27" operator="greaterThan">
      <formula>$G$84</formula>
    </cfRule>
  </conditionalFormatting>
  <conditionalFormatting sqref="H85">
    <cfRule type="cellIs" dxfId="179" priority="26" operator="greaterThan">
      <formula>$H$84</formula>
    </cfRule>
  </conditionalFormatting>
  <conditionalFormatting sqref="I85">
    <cfRule type="cellIs" dxfId="178" priority="25" operator="greaterThan">
      <formula>$I$84</formula>
    </cfRule>
  </conditionalFormatting>
  <conditionalFormatting sqref="J85">
    <cfRule type="cellIs" dxfId="177" priority="24" operator="greaterThan">
      <formula>$J$84</formula>
    </cfRule>
  </conditionalFormatting>
  <conditionalFormatting sqref="K85">
    <cfRule type="cellIs" dxfId="176" priority="23" operator="greaterThan">
      <formula>$K$84</formula>
    </cfRule>
  </conditionalFormatting>
  <conditionalFormatting sqref="L85">
    <cfRule type="cellIs" dxfId="175" priority="22" operator="greaterThan">
      <formula>$L$84</formula>
    </cfRule>
  </conditionalFormatting>
  <conditionalFormatting sqref="C93">
    <cfRule type="cellIs" dxfId="174" priority="21" operator="greaterThan">
      <formula>$C$92</formula>
    </cfRule>
  </conditionalFormatting>
  <conditionalFormatting sqref="D93">
    <cfRule type="cellIs" dxfId="173" priority="20" operator="greaterThan">
      <formula>$D$92</formula>
    </cfRule>
  </conditionalFormatting>
  <conditionalFormatting sqref="E93">
    <cfRule type="cellIs" dxfId="172" priority="19" operator="greaterThan">
      <formula>$E$92</formula>
    </cfRule>
  </conditionalFormatting>
  <conditionalFormatting sqref="F93">
    <cfRule type="cellIs" dxfId="171" priority="18" operator="greaterThan">
      <formula>$F$92</formula>
    </cfRule>
  </conditionalFormatting>
  <conditionalFormatting sqref="G93">
    <cfRule type="cellIs" dxfId="170" priority="17" operator="greaterThan">
      <formula>$G$92</formula>
    </cfRule>
  </conditionalFormatting>
  <conditionalFormatting sqref="H93">
    <cfRule type="cellIs" dxfId="169" priority="16" operator="greaterThan">
      <formula>$H$92</formula>
    </cfRule>
  </conditionalFormatting>
  <conditionalFormatting sqref="I93">
    <cfRule type="cellIs" dxfId="168" priority="15" operator="greaterThan">
      <formula>$I$92</formula>
    </cfRule>
  </conditionalFormatting>
  <conditionalFormatting sqref="J93">
    <cfRule type="cellIs" dxfId="167" priority="14" operator="greaterThan">
      <formula>$J$92</formula>
    </cfRule>
  </conditionalFormatting>
  <conditionalFormatting sqref="K93">
    <cfRule type="cellIs" dxfId="166" priority="13" operator="greaterThan">
      <formula>$K$92</formula>
    </cfRule>
  </conditionalFormatting>
  <conditionalFormatting sqref="L93">
    <cfRule type="cellIs" dxfId="165" priority="12" operator="greaterThan">
      <formula>$L$92</formula>
    </cfRule>
  </conditionalFormatting>
  <conditionalFormatting sqref="C101">
    <cfRule type="cellIs" dxfId="164" priority="11" operator="greaterThan">
      <formula>$C$100</formula>
    </cfRule>
  </conditionalFormatting>
  <conditionalFormatting sqref="D101">
    <cfRule type="cellIs" dxfId="163" priority="10" operator="greaterThan">
      <formula>$D$100</formula>
    </cfRule>
  </conditionalFormatting>
  <conditionalFormatting sqref="E101">
    <cfRule type="cellIs" dxfId="162" priority="9" operator="greaterThan">
      <formula>$E$100</formula>
    </cfRule>
  </conditionalFormatting>
  <conditionalFormatting sqref="F101">
    <cfRule type="cellIs" dxfId="161" priority="8" operator="greaterThan">
      <formula>$F$100</formula>
    </cfRule>
  </conditionalFormatting>
  <conditionalFormatting sqref="G101">
    <cfRule type="cellIs" dxfId="160" priority="7" operator="greaterThan">
      <formula>$G$100</formula>
    </cfRule>
  </conditionalFormatting>
  <conditionalFormatting sqref="H101">
    <cfRule type="cellIs" dxfId="159" priority="6" operator="greaterThan">
      <formula>$H$100</formula>
    </cfRule>
  </conditionalFormatting>
  <conditionalFormatting sqref="I101">
    <cfRule type="cellIs" dxfId="158" priority="5" operator="greaterThan">
      <formula>$I$100</formula>
    </cfRule>
  </conditionalFormatting>
  <conditionalFormatting sqref="J101">
    <cfRule type="cellIs" dxfId="157" priority="4" operator="greaterThan">
      <formula>$J$100</formula>
    </cfRule>
  </conditionalFormatting>
  <conditionalFormatting sqref="K101">
    <cfRule type="cellIs" dxfId="156" priority="3" operator="greaterThan">
      <formula>$K$100</formula>
    </cfRule>
  </conditionalFormatting>
  <conditionalFormatting sqref="L101">
    <cfRule type="cellIs" dxfId="155" priority="2"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9"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67"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58"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57"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56"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55"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4"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3"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2"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F45D6-CB8D-4DA8-B027-A278257E1A52}">
  <dimension ref="A1:Z136"/>
  <sheetViews>
    <sheetView topLeftCell="A53" zoomScale="150" zoomScaleNormal="150" workbookViewId="0">
      <selection activeCell="G61" sqref="G61"/>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10" t="s">
        <v>161</v>
      </c>
      <c r="B3" s="110"/>
      <c r="C3" s="110"/>
      <c r="D3" s="110"/>
      <c r="E3" s="110"/>
      <c r="F3" s="110"/>
      <c r="G3" s="110"/>
      <c r="H3" s="87"/>
      <c r="I3" s="87"/>
      <c r="J3" s="87"/>
      <c r="K3" s="87"/>
    </row>
    <row r="4" spans="1:11" x14ac:dyDescent="0.35">
      <c r="A4" s="60" t="s">
        <v>39</v>
      </c>
      <c r="B4" s="60" t="s">
        <v>43</v>
      </c>
      <c r="C4" s="111" t="s">
        <v>44</v>
      </c>
      <c r="D4" s="112"/>
      <c r="E4" s="112"/>
      <c r="F4" s="112"/>
      <c r="G4" s="113"/>
    </row>
    <row r="5" spans="1:11" x14ac:dyDescent="0.35">
      <c r="A5" s="88" t="s">
        <v>52</v>
      </c>
      <c r="B5" s="88"/>
      <c r="C5" s="114"/>
      <c r="D5" s="114"/>
      <c r="E5" s="114"/>
      <c r="F5" s="114"/>
      <c r="G5" s="114"/>
    </row>
    <row r="6" spans="1:11" x14ac:dyDescent="0.35">
      <c r="A6" s="86" t="s">
        <v>40</v>
      </c>
      <c r="B6" s="86" t="s">
        <v>165</v>
      </c>
      <c r="C6" s="108" t="s">
        <v>162</v>
      </c>
      <c r="D6" s="108"/>
      <c r="E6" s="108"/>
      <c r="F6" s="108"/>
      <c r="G6" s="108"/>
    </row>
    <row r="7" spans="1:11" x14ac:dyDescent="0.35">
      <c r="A7" s="86" t="s">
        <v>41</v>
      </c>
      <c r="B7" s="86" t="s">
        <v>165</v>
      </c>
      <c r="C7" s="108" t="s">
        <v>162</v>
      </c>
      <c r="D7" s="108"/>
      <c r="E7" s="108"/>
      <c r="F7" s="108"/>
      <c r="G7" s="108"/>
    </row>
    <row r="8" spans="1:11" x14ac:dyDescent="0.35">
      <c r="A8" s="86" t="s">
        <v>42</v>
      </c>
      <c r="B8" s="86" t="s">
        <v>165</v>
      </c>
      <c r="C8" s="108" t="s">
        <v>162</v>
      </c>
      <c r="D8" s="108"/>
      <c r="E8" s="108"/>
      <c r="F8" s="108"/>
      <c r="G8" s="108"/>
    </row>
    <row r="9" spans="1:11" x14ac:dyDescent="0.35">
      <c r="A9" s="86" t="s">
        <v>157</v>
      </c>
      <c r="B9" s="86" t="s">
        <v>165</v>
      </c>
      <c r="C9" s="108" t="s">
        <v>163</v>
      </c>
      <c r="D9" s="108"/>
      <c r="E9" s="108"/>
      <c r="F9" s="108"/>
      <c r="G9" s="108"/>
    </row>
    <row r="10" spans="1:11" x14ac:dyDescent="0.35">
      <c r="A10" s="86" t="s">
        <v>170</v>
      </c>
      <c r="B10" s="86" t="s">
        <v>165</v>
      </c>
      <c r="C10" s="109" t="s">
        <v>200</v>
      </c>
      <c r="D10" s="109"/>
      <c r="E10" s="109"/>
      <c r="F10" s="109"/>
      <c r="G10" s="109"/>
    </row>
    <row r="11" spans="1:11" x14ac:dyDescent="0.35">
      <c r="A11" s="86"/>
      <c r="B11" s="86"/>
      <c r="C11" s="109"/>
      <c r="D11" s="109"/>
      <c r="E11" s="109"/>
      <c r="F11" s="109"/>
      <c r="G11" s="109"/>
    </row>
    <row r="12" spans="1:11" x14ac:dyDescent="0.35">
      <c r="A12" s="16"/>
      <c r="B12" s="2"/>
      <c r="C12"/>
    </row>
    <row r="13" spans="1:11" x14ac:dyDescent="0.35">
      <c r="A13" s="19" t="s">
        <v>46</v>
      </c>
      <c r="B13" s="2"/>
      <c r="C13"/>
    </row>
    <row r="14" spans="1:11" x14ac:dyDescent="0.35">
      <c r="A14" s="20" t="s">
        <v>220</v>
      </c>
    </row>
    <row r="15" spans="1:11" x14ac:dyDescent="0.35">
      <c r="A15" s="22" t="s">
        <v>201</v>
      </c>
      <c r="B15" s="19"/>
    </row>
    <row r="16" spans="1:11" x14ac:dyDescent="0.35">
      <c r="A16" s="21" t="s">
        <v>47</v>
      </c>
    </row>
    <row r="18" spans="1:14" x14ac:dyDescent="0.35">
      <c r="A18" s="1" t="s">
        <v>54</v>
      </c>
      <c r="D18" s="20" t="s">
        <v>166</v>
      </c>
    </row>
    <row r="20" spans="1:14" x14ac:dyDescent="0.35">
      <c r="A20" s="1" t="s">
        <v>32</v>
      </c>
      <c r="B20" s="1" t="s">
        <v>111</v>
      </c>
      <c r="C20" s="13" t="s">
        <v>112</v>
      </c>
    </row>
    <row r="21" spans="1:14" x14ac:dyDescent="0.35">
      <c r="A21" t="s">
        <v>110</v>
      </c>
      <c r="B21" s="12">
        <v>5.73</v>
      </c>
      <c r="C21" s="12">
        <v>6</v>
      </c>
      <c r="D21" s="23" t="s">
        <v>113</v>
      </c>
    </row>
    <row r="22" spans="1:14" x14ac:dyDescent="0.35">
      <c r="A22" t="s">
        <v>144</v>
      </c>
      <c r="B22" s="12">
        <v>11</v>
      </c>
      <c r="C22" s="12">
        <v>10.1</v>
      </c>
      <c r="D22" s="11" t="s">
        <v>34</v>
      </c>
    </row>
    <row r="23" spans="1:14" x14ac:dyDescent="0.35">
      <c r="A23" t="s">
        <v>208</v>
      </c>
      <c r="B23" s="71">
        <v>3525</v>
      </c>
      <c r="C23" s="71">
        <v>1020</v>
      </c>
      <c r="D23" s="11"/>
    </row>
    <row r="24" spans="1:14" x14ac:dyDescent="0.35">
      <c r="A24" t="s">
        <v>190</v>
      </c>
      <c r="B24" s="12">
        <f>VLOOKUP(B23,'Powell-Elevation-Area'!$A$5:$B$689,2)/1000000</f>
        <v>5.9265762500000001</v>
      </c>
      <c r="C24" s="12">
        <f>VLOOKUP(C23,'Mead-Elevation-Area'!$A$5:$B$689,2)/1000000</f>
        <v>5.664593</v>
      </c>
      <c r="D24" s="11"/>
      <c r="E24" s="46"/>
    </row>
    <row r="26" spans="1:14" s="1" customFormat="1" x14ac:dyDescent="0.35">
      <c r="A26" s="56" t="s">
        <v>35</v>
      </c>
      <c r="B26" s="56" t="s">
        <v>49</v>
      </c>
      <c r="C26" s="57" t="s">
        <v>5</v>
      </c>
      <c r="D26" s="57" t="s">
        <v>6</v>
      </c>
      <c r="E26" s="57" t="s">
        <v>7</v>
      </c>
      <c r="F26" s="57" t="s">
        <v>8</v>
      </c>
      <c r="G26" s="57" t="s">
        <v>9</v>
      </c>
      <c r="H26" s="57" t="s">
        <v>10</v>
      </c>
      <c r="I26" s="57" t="s">
        <v>11</v>
      </c>
      <c r="J26" s="57" t="s">
        <v>12</v>
      </c>
      <c r="K26" s="57" t="s">
        <v>36</v>
      </c>
      <c r="L26" s="57" t="s">
        <v>37</v>
      </c>
      <c r="M26" s="57" t="s">
        <v>108</v>
      </c>
      <c r="N26" s="57" t="s">
        <v>187</v>
      </c>
    </row>
    <row r="27" spans="1:14" x14ac:dyDescent="0.35">
      <c r="A27" s="1" t="s">
        <v>45</v>
      </c>
      <c r="B27" s="1"/>
      <c r="C27" s="45">
        <v>11</v>
      </c>
      <c r="D27" s="45">
        <f>C27</f>
        <v>11</v>
      </c>
      <c r="E27" s="45">
        <f t="shared" ref="E27:G27" si="0">D27</f>
        <v>11</v>
      </c>
      <c r="F27" s="45">
        <f t="shared" si="0"/>
        <v>11</v>
      </c>
      <c r="G27" s="45">
        <f t="shared" si="0"/>
        <v>11</v>
      </c>
      <c r="H27" s="45"/>
      <c r="I27" s="45"/>
      <c r="J27" s="45"/>
      <c r="K27" s="45"/>
      <c r="L27" s="45"/>
    </row>
    <row r="28" spans="1:14" x14ac:dyDescent="0.35">
      <c r="A28" s="1" t="s">
        <v>122</v>
      </c>
      <c r="B28" s="1"/>
      <c r="C28" s="12">
        <f>IF(C$27&lt;&gt;"",0.8,"")</f>
        <v>0.8</v>
      </c>
      <c r="D28" s="12">
        <f t="shared" ref="D28:L28" si="1">IF(D$27&lt;&gt;"",0.8,"")</f>
        <v>0.8</v>
      </c>
      <c r="E28" s="12">
        <f t="shared" si="1"/>
        <v>0.8</v>
      </c>
      <c r="F28" s="12">
        <f t="shared" si="1"/>
        <v>0.8</v>
      </c>
      <c r="G28" s="12">
        <f t="shared" si="1"/>
        <v>0.8</v>
      </c>
      <c r="H28" s="12" t="str">
        <f t="shared" si="1"/>
        <v/>
      </c>
      <c r="I28" s="12" t="str">
        <f t="shared" si="1"/>
        <v/>
      </c>
      <c r="J28" s="12" t="str">
        <f t="shared" si="1"/>
        <v/>
      </c>
      <c r="K28" s="12" t="str">
        <f t="shared" si="1"/>
        <v/>
      </c>
      <c r="L28" s="12" t="str">
        <f t="shared" si="1"/>
        <v/>
      </c>
    </row>
    <row r="29" spans="1:14" x14ac:dyDescent="0.35">
      <c r="A29" s="1" t="s">
        <v>125</v>
      </c>
      <c r="B29" s="14">
        <f>SUM(B30:B35)-SUM(B22:C22)</f>
        <v>0</v>
      </c>
      <c r="C29" s="14">
        <f>IF(C$27&lt;&gt;"",SUM(B22:C22),"")</f>
        <v>21.1</v>
      </c>
      <c r="D29" s="14">
        <f ca="1">IF(D$27&lt;&gt;"",C127,"")</f>
        <v>18.752768986666695</v>
      </c>
      <c r="E29" s="14">
        <f t="shared" ref="E29:L29" ca="1" si="2">IF(E$27&lt;&gt;"",D127,"")</f>
        <v>16.475227016332759</v>
      </c>
      <c r="F29" s="14">
        <f t="shared" ca="1" si="2"/>
        <v>14.923886960353624</v>
      </c>
      <c r="G29" s="14">
        <f t="shared" ca="1" si="2"/>
        <v>14.605210133423089</v>
      </c>
      <c r="H29" s="14" t="str">
        <f t="shared" si="2"/>
        <v/>
      </c>
      <c r="I29" s="14" t="str">
        <f t="shared" si="2"/>
        <v/>
      </c>
      <c r="J29" s="14" t="str">
        <f t="shared" si="2"/>
        <v/>
      </c>
      <c r="K29" s="14" t="str">
        <f t="shared" si="2"/>
        <v/>
      </c>
      <c r="L29" s="14" t="str">
        <f t="shared" si="2"/>
        <v/>
      </c>
    </row>
    <row r="30" spans="1:14" x14ac:dyDescent="0.35">
      <c r="A30" t="str">
        <f t="shared" ref="A30:A35" si="3">IF(A6="","","    "&amp;A6&amp;" Balance")</f>
        <v xml:space="preserve">    Upper Basin Balance</v>
      </c>
      <c r="B30" s="54">
        <f>B22-B24</f>
        <v>5.0734237499999999</v>
      </c>
      <c r="C30" s="14">
        <f>IF(OR(C$27="",$A30=""),"",B30)</f>
        <v>5.0734237499999999</v>
      </c>
      <c r="D30" s="14">
        <f ca="1">IF(OR(D$27="",$A30=""),"",C121)</f>
        <v>3.1178582945981317</v>
      </c>
      <c r="E30" s="14">
        <f t="shared" ref="E30:L30" ca="1" si="4">IF(OR(E$27="",$A30=""),"",D121)</f>
        <v>1.2360940760985697</v>
      </c>
      <c r="F30" s="14">
        <f t="shared" ca="1" si="4"/>
        <v>0</v>
      </c>
      <c r="G30" s="14">
        <f t="shared" ca="1" si="4"/>
        <v>0</v>
      </c>
      <c r="H30" s="14" t="str">
        <f t="shared" si="4"/>
        <v/>
      </c>
      <c r="I30" s="14" t="str">
        <f t="shared" si="4"/>
        <v/>
      </c>
      <c r="J30" s="14" t="str">
        <f t="shared" si="4"/>
        <v/>
      </c>
      <c r="K30" s="14" t="str">
        <f t="shared" si="4"/>
        <v/>
      </c>
      <c r="L30" s="14" t="str">
        <f t="shared" si="4"/>
        <v/>
      </c>
      <c r="N30" t="s">
        <v>192</v>
      </c>
    </row>
    <row r="31" spans="1:14" x14ac:dyDescent="0.35">
      <c r="A31" t="str">
        <f t="shared" si="3"/>
        <v xml:space="preserve">    Lower Basin Balance</v>
      </c>
      <c r="B31" s="54">
        <f>C22-C24-B32</f>
        <v>4.2614069999999993</v>
      </c>
      <c r="C31" s="14">
        <f t="shared" ref="C31:C35" si="5">IF(OR(C$27="",$A31=""),"",B31)</f>
        <v>4.2614069999999993</v>
      </c>
      <c r="D31" s="14">
        <f t="shared" ref="D31:L35" ca="1" si="6">IF(OR(D$27="",$A31=""),"",C122)</f>
        <v>3.8781684655908366</v>
      </c>
      <c r="E31" s="14">
        <f t="shared" ca="1" si="6"/>
        <v>3.49079800648044</v>
      </c>
      <c r="F31" s="14">
        <f t="shared" ca="1" si="6"/>
        <v>3.1839578856013135</v>
      </c>
      <c r="G31" s="14">
        <f t="shared" ca="1" si="6"/>
        <v>2.8735680193285829</v>
      </c>
      <c r="H31" s="14" t="str">
        <f t="shared" si="6"/>
        <v/>
      </c>
      <c r="I31" s="14" t="str">
        <f t="shared" si="6"/>
        <v/>
      </c>
      <c r="J31" s="14" t="str">
        <f t="shared" si="6"/>
        <v/>
      </c>
      <c r="K31" s="14" t="str">
        <f t="shared" si="6"/>
        <v/>
      </c>
      <c r="L31" s="14" t="str">
        <f t="shared" si="6"/>
        <v/>
      </c>
      <c r="N31" t="s">
        <v>189</v>
      </c>
    </row>
    <row r="32" spans="1:14" x14ac:dyDescent="0.35">
      <c r="A32" t="str">
        <f t="shared" si="3"/>
        <v xml:space="preserve">    Mexico Balance</v>
      </c>
      <c r="B32" s="70">
        <v>0.17399999999999999</v>
      </c>
      <c r="C32" s="58">
        <f t="shared" si="5"/>
        <v>0.17399999999999999</v>
      </c>
      <c r="D32" s="58">
        <f t="shared" ca="1" si="6"/>
        <v>0.16557297647772518</v>
      </c>
      <c r="E32" s="58">
        <f t="shared" ca="1" si="6"/>
        <v>0.15716568375375006</v>
      </c>
      <c r="F32" s="58">
        <f t="shared" ca="1" si="6"/>
        <v>0.14875982475231098</v>
      </c>
      <c r="G32" s="58">
        <f t="shared" ca="1" si="6"/>
        <v>0.14047286409450632</v>
      </c>
      <c r="H32" s="14" t="str">
        <f t="shared" si="6"/>
        <v/>
      </c>
      <c r="I32" s="14" t="str">
        <f t="shared" si="6"/>
        <v/>
      </c>
      <c r="J32" s="14" t="str">
        <f t="shared" si="6"/>
        <v/>
      </c>
      <c r="K32" s="14" t="str">
        <f t="shared" si="6"/>
        <v/>
      </c>
      <c r="L32" s="14" t="str">
        <f t="shared" si="6"/>
        <v/>
      </c>
      <c r="N32" t="s">
        <v>188</v>
      </c>
    </row>
    <row r="33" spans="1:14" x14ac:dyDescent="0.35">
      <c r="A33" t="str">
        <f t="shared" si="3"/>
        <v xml:space="preserve">    Mohave &amp; Havasu Evap &amp; ET Balance</v>
      </c>
      <c r="B33" s="55">
        <v>0</v>
      </c>
      <c r="C33" s="14">
        <f t="shared" si="5"/>
        <v>0</v>
      </c>
      <c r="D33" s="14">
        <f t="shared" ca="1" si="6"/>
        <v>0</v>
      </c>
      <c r="E33" s="14">
        <f t="shared" ca="1" si="6"/>
        <v>0</v>
      </c>
      <c r="F33" s="14">
        <f t="shared" ca="1" si="6"/>
        <v>0</v>
      </c>
      <c r="G33" s="14">
        <f t="shared" ca="1" si="6"/>
        <v>0</v>
      </c>
      <c r="H33" s="14" t="str">
        <f t="shared" si="6"/>
        <v/>
      </c>
      <c r="I33" s="14" t="str">
        <f t="shared" si="6"/>
        <v/>
      </c>
      <c r="J33" s="14" t="str">
        <f t="shared" si="6"/>
        <v/>
      </c>
      <c r="K33" s="14" t="str">
        <f t="shared" si="6"/>
        <v/>
      </c>
      <c r="L33" s="14" t="str">
        <f t="shared" si="6"/>
        <v/>
      </c>
    </row>
    <row r="34" spans="1:14" x14ac:dyDescent="0.35">
      <c r="A34" t="str">
        <f t="shared" si="3"/>
        <v xml:space="preserve">    Shared, Reserve Balance</v>
      </c>
      <c r="B34" s="54">
        <f>SUM(B24:C24)</f>
        <v>11.59116925</v>
      </c>
      <c r="C34" s="14">
        <f t="shared" si="5"/>
        <v>11.59116925</v>
      </c>
      <c r="D34" s="14">
        <f t="shared" ca="1" si="6"/>
        <v>11.59116925</v>
      </c>
      <c r="E34" s="14">
        <f t="shared" ca="1" si="6"/>
        <v>11.59116925</v>
      </c>
      <c r="F34" s="14">
        <f t="shared" ca="1" si="6"/>
        <v>11.59116925</v>
      </c>
      <c r="G34" s="14">
        <f t="shared" ca="1" si="6"/>
        <v>11.59116925</v>
      </c>
      <c r="H34" s="14" t="str">
        <f t="shared" si="6"/>
        <v/>
      </c>
      <c r="I34" s="14" t="str">
        <f t="shared" si="6"/>
        <v/>
      </c>
      <c r="J34" s="14" t="str">
        <f t="shared" si="6"/>
        <v/>
      </c>
      <c r="K34" s="14" t="str">
        <f t="shared" si="6"/>
        <v/>
      </c>
      <c r="L34" s="14" t="str">
        <f t="shared" si="6"/>
        <v/>
      </c>
      <c r="N34" t="s">
        <v>191</v>
      </c>
    </row>
    <row r="35" spans="1:14" x14ac:dyDescent="0.35">
      <c r="A35" t="str">
        <f t="shared" si="3"/>
        <v/>
      </c>
      <c r="B35" s="55"/>
      <c r="C35" s="14"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218</v>
      </c>
      <c r="C36"/>
    </row>
    <row r="37" spans="1:14" x14ac:dyDescent="0.35">
      <c r="A37" t="s">
        <v>114</v>
      </c>
      <c r="C37" s="14">
        <f>IF(C$27&lt;&gt;"",B22,"")</f>
        <v>11</v>
      </c>
      <c r="D37" s="14">
        <f ca="1">IF(D$27&lt;&gt;"",C129,"")</f>
        <v>9.3763844933333473</v>
      </c>
      <c r="E37" s="14">
        <f t="shared" ref="E37:G38" ca="1" si="7">IF(E$27&lt;&gt;"",D129,"")</f>
        <v>8.2376135081663797</v>
      </c>
      <c r="F37" s="14">
        <f t="shared" ca="1" si="7"/>
        <v>7.4619434801768119</v>
      </c>
      <c r="G37" s="14">
        <f t="shared" ca="1" si="7"/>
        <v>7.3026050667115445</v>
      </c>
      <c r="H37" s="14" t="str">
        <f t="shared" ref="H37:L38" si="8">IF(H27&lt;&gt;"",$B37*H$29,"")</f>
        <v/>
      </c>
      <c r="I37" s="14" t="str">
        <f t="shared" si="8"/>
        <v/>
      </c>
      <c r="J37" s="14" t="str">
        <f t="shared" si="8"/>
        <v/>
      </c>
      <c r="K37" s="14" t="str">
        <f t="shared" si="8"/>
        <v/>
      </c>
      <c r="L37" s="14" t="str">
        <f t="shared" si="8"/>
        <v/>
      </c>
    </row>
    <row r="38" spans="1:14" x14ac:dyDescent="0.35">
      <c r="A38" t="s">
        <v>115</v>
      </c>
      <c r="C38" s="14">
        <f>IF(C$27&lt;&gt;"",C22,"")</f>
        <v>10.1</v>
      </c>
      <c r="D38" s="14">
        <f ca="1">IF(D$27&lt;&gt;"",C130,"")</f>
        <v>9.3763844933333473</v>
      </c>
      <c r="E38" s="14">
        <f t="shared" ca="1" si="7"/>
        <v>8.2376135081663797</v>
      </c>
      <c r="F38" s="14">
        <f t="shared" ca="1" si="7"/>
        <v>7.4619434801768119</v>
      </c>
      <c r="G38" s="14">
        <f t="shared" ca="1" si="7"/>
        <v>7.3026050667115445</v>
      </c>
      <c r="H38" s="14" t="str">
        <f t="shared" si="8"/>
        <v/>
      </c>
      <c r="I38" s="14" t="str">
        <f t="shared" si="8"/>
        <v/>
      </c>
      <c r="J38" s="14" t="str">
        <f t="shared" si="8"/>
        <v/>
      </c>
      <c r="K38" s="14" t="str">
        <f t="shared" si="8"/>
        <v/>
      </c>
      <c r="L38" s="14" t="str">
        <f t="shared" si="8"/>
        <v/>
      </c>
    </row>
    <row r="39" spans="1:14" x14ac:dyDescent="0.35">
      <c r="A39" s="1" t="s">
        <v>120</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0.95220863700059999</v>
      </c>
      <c r="E39" s="14">
        <f ca="1">IF(E$27&lt;&gt;"",VLOOKUP(E37*1000000,'Powell-Elevation-Area'!$B$5:$D$689,3)*$B$21/1000000 + VLOOKUP(E38*1000000,'Mead-Elevation-Area'!$B$5:$D$676,3)*$C$21/1000000,"")</f>
        <v>0.88116204509999996</v>
      </c>
      <c r="F39" s="14">
        <f ca="1">IF(F$27&lt;&gt;"",VLOOKUP(F37*1000000,'Powell-Elevation-Area'!$B$5:$D$689,3)*$B$21/1000000 + VLOOKUP(F38*1000000,'Mead-Elevation-Area'!$B$5:$D$676,3)*$C$21/1000000,"")</f>
        <v>0.83136467999942698</v>
      </c>
      <c r="G39" s="14">
        <f ca="1">IF(G$27&lt;&gt;"",VLOOKUP(G37*1000000,'Powell-Elevation-Area'!$B$5:$D$689,3)*$B$21/1000000 + VLOOKUP(G38*1000000,'Mead-Elevation-Area'!$B$5:$D$676,3)*$C$21/1000000,"")</f>
        <v>0.82228660500117301</v>
      </c>
      <c r="H39" s="14" t="str">
        <f>IF(H$27&lt;&gt;"",VLOOKUP(H37*1000000,'Powell-Elevation-Area'!$B$5:$D$689,3)*$B$21/1000000 + VLOOKUP(H38*1000000,'Mead-Elevation-Area'!$B$5:$D$676,3)*$C$21/1000000,"")</f>
        <v/>
      </c>
      <c r="I39" s="14" t="str">
        <f>IF(I$27&lt;&gt;"",VLOOKUP(I37*1000000,'Powell-Elevation-Area'!$B$5:$D$689,3)*$B$21/1000000 + VLOOKUP(I38*1000000,'Mead-Elevation-Area'!$B$5:$D$676,3)*$C$21/1000000,"")</f>
        <v/>
      </c>
      <c r="J39" s="14" t="str">
        <f>IF(J$27&lt;&gt;"",VLOOKUP(J37*1000000,'Powell-Elevation-Area'!$B$5:$D$689,3)*$B$21/1000000 + VLOOKUP(J38*1000000,'Mead-Elevation-Area'!$B$5:$D$676,3)*$C$21/1000000,"")</f>
        <v/>
      </c>
      <c r="K39" s="14" t="str">
        <f>IF(K$27&lt;&gt;"",VLOOKUP(K37*1000000,'Powell-Elevation-Area'!$B$5:$D$689,3)*$B$21/1000000 + VLOOKUP(K38*1000000,'Mead-Elevation-Area'!$B$5:$D$676,3)*$C$21/1000000,"")</f>
        <v/>
      </c>
      <c r="L39" s="14" t="str">
        <f>IF(L$27&lt;&gt;"",VLOOKUP(L37*1000000,'Powell-Elevation-Area'!$B$5:$D$689,3)*$B$21/1000000 + VLOOKUP(L38*1000000,'Mead-Elevation-Area'!$B$5:$D$676,3)*$C$21/1000000,"")</f>
        <v/>
      </c>
    </row>
    <row r="40" spans="1:14" x14ac:dyDescent="0.35">
      <c r="A40" t="str">
        <f t="shared" ref="A40:A45" si="9">IF(A6="","","    "&amp;A6&amp;" Share")</f>
        <v xml:space="preserve">    Upper Basin Share</v>
      </c>
      <c r="B40" s="1"/>
      <c r="C40" s="14">
        <f>IF(OR(C$27="",$A40=""),"",C$39*C30/C$29)</f>
        <v>0.24571184643515467</v>
      </c>
      <c r="D40" s="14">
        <f t="shared" ref="D40:L40" ca="1" si="10">IF(OR(D$27="",$A40=""),"",D$39*D30/D$29)</f>
        <v>0.15831537194166734</v>
      </c>
      <c r="E40" s="14">
        <f t="shared" ca="1" si="10"/>
        <v>6.6111330845470606E-2</v>
      </c>
      <c r="F40" s="14">
        <f t="shared" ca="1" si="10"/>
        <v>0</v>
      </c>
      <c r="G40" s="14">
        <f t="shared" ca="1" si="10"/>
        <v>0</v>
      </c>
      <c r="H40" s="14" t="str">
        <f t="shared" si="10"/>
        <v/>
      </c>
      <c r="I40" s="14" t="str">
        <f t="shared" si="10"/>
        <v/>
      </c>
      <c r="J40" s="14" t="str">
        <f t="shared" si="10"/>
        <v/>
      </c>
      <c r="K40" s="14" t="str">
        <f t="shared" si="10"/>
        <v/>
      </c>
      <c r="L40" s="14" t="str">
        <f t="shared" si="10"/>
        <v/>
      </c>
    </row>
    <row r="41" spans="1:14" x14ac:dyDescent="0.35">
      <c r="A41" t="str">
        <f t="shared" si="9"/>
        <v xml:space="preserve">    Lower Basin Share</v>
      </c>
      <c r="B41" s="1"/>
      <c r="C41" s="14">
        <f t="shared" ref="C41:L45" si="11">IF(OR(C$27="",$A41=""),"",C$39*C31/C$29)</f>
        <v>0.20638492544244763</v>
      </c>
      <c r="D41" s="14">
        <f t="shared" ca="1" si="11"/>
        <v>0.19692161255250223</v>
      </c>
      <c r="E41" s="14">
        <f t="shared" ca="1" si="11"/>
        <v>0.1867020531718287</v>
      </c>
      <c r="F41" s="14">
        <f t="shared" ca="1" si="11"/>
        <v>0.1773686798705065</v>
      </c>
      <c r="G41" s="14">
        <f t="shared" ca="1" si="11"/>
        <v>0.16178449123756924</v>
      </c>
      <c r="H41" s="14" t="str">
        <f t="shared" si="11"/>
        <v/>
      </c>
      <c r="I41" s="14" t="str">
        <f t="shared" si="11"/>
        <v/>
      </c>
      <c r="J41" s="14" t="str">
        <f t="shared" si="11"/>
        <v/>
      </c>
      <c r="K41" s="14" t="str">
        <f t="shared" si="11"/>
        <v/>
      </c>
      <c r="L41" s="14" t="str">
        <f t="shared" si="11"/>
        <v/>
      </c>
    </row>
    <row r="42" spans="1:14" x14ac:dyDescent="0.35">
      <c r="A42" t="str">
        <f t="shared" si="9"/>
        <v xml:space="preserve">    Mexico Share</v>
      </c>
      <c r="B42" s="1"/>
      <c r="C42" s="14">
        <f t="shared" si="11"/>
        <v>8.4270235222746598E-3</v>
      </c>
      <c r="D42" s="14">
        <f t="shared" ca="1" si="11"/>
        <v>8.4072927239750087E-3</v>
      </c>
      <c r="E42" s="14">
        <f t="shared" ca="1" si="11"/>
        <v>8.4058590014391543E-3</v>
      </c>
      <c r="F42" s="14">
        <f t="shared" ca="1" si="11"/>
        <v>8.2869606578047528E-3</v>
      </c>
      <c r="G42" s="14">
        <f t="shared" ca="1" si="11"/>
        <v>7.9087499225175759E-3</v>
      </c>
      <c r="H42" s="14" t="str">
        <f t="shared" si="11"/>
        <v/>
      </c>
      <c r="I42" s="14" t="str">
        <f t="shared" si="11"/>
        <v/>
      </c>
      <c r="J42" s="14" t="str">
        <f t="shared" si="11"/>
        <v/>
      </c>
      <c r="K42" s="14" t="str">
        <f t="shared" si="11"/>
        <v/>
      </c>
      <c r="L42" s="14" t="str">
        <f t="shared" si="11"/>
        <v/>
      </c>
    </row>
    <row r="43" spans="1:14" x14ac:dyDescent="0.35">
      <c r="A43" t="str">
        <f t="shared" si="9"/>
        <v xml:space="preserve">    Mohave &amp; Havasu Evap &amp; ET Share</v>
      </c>
      <c r="B43" s="1"/>
      <c r="C43" s="14">
        <f t="shared" si="11"/>
        <v>0</v>
      </c>
      <c r="D43" s="14">
        <f t="shared" ca="1" si="11"/>
        <v>0</v>
      </c>
      <c r="E43" s="14">
        <f t="shared" ca="1" si="11"/>
        <v>0</v>
      </c>
      <c r="F43" s="14">
        <f t="shared" ca="1" si="11"/>
        <v>0</v>
      </c>
      <c r="G43" s="14">
        <f t="shared" ca="1" si="11"/>
        <v>0</v>
      </c>
      <c r="H43" s="14" t="str">
        <f t="shared" si="11"/>
        <v/>
      </c>
      <c r="I43" s="14" t="str">
        <f t="shared" si="11"/>
        <v/>
      </c>
      <c r="J43" s="14" t="str">
        <f t="shared" si="11"/>
        <v/>
      </c>
      <c r="K43" s="14" t="str">
        <f t="shared" si="11"/>
        <v/>
      </c>
      <c r="L43" s="14" t="str">
        <f t="shared" si="11"/>
        <v/>
      </c>
    </row>
    <row r="44" spans="1:14" x14ac:dyDescent="0.35">
      <c r="A44" t="str">
        <f t="shared" si="9"/>
        <v xml:space="preserve">    Shared, Reserve Share</v>
      </c>
      <c r="B44" s="1"/>
      <c r="C44" s="14">
        <f t="shared" si="11"/>
        <v>0.56137388460009618</v>
      </c>
      <c r="D44" s="14">
        <f t="shared" ca="1" si="11"/>
        <v>0.58856435978245536</v>
      </c>
      <c r="E44" s="14">
        <f t="shared" ca="1" si="11"/>
        <v>0.61994280208126151</v>
      </c>
      <c r="F44" s="14">
        <f t="shared" ca="1" si="11"/>
        <v>0.6457090394711158</v>
      </c>
      <c r="G44" s="14">
        <f t="shared" ca="1" si="11"/>
        <v>0.65259336384108613</v>
      </c>
      <c r="H44" s="14" t="str">
        <f t="shared" si="11"/>
        <v/>
      </c>
      <c r="I44" s="14" t="str">
        <f t="shared" si="11"/>
        <v/>
      </c>
      <c r="J44" s="14" t="str">
        <f t="shared" si="11"/>
        <v/>
      </c>
      <c r="K44" s="14" t="str">
        <f t="shared" si="11"/>
        <v/>
      </c>
      <c r="L44" s="14" t="str">
        <f t="shared" si="11"/>
        <v/>
      </c>
    </row>
    <row r="45" spans="1:14" x14ac:dyDescent="0.35">
      <c r="A45" t="str">
        <f t="shared" si="9"/>
        <v/>
      </c>
      <c r="B45" s="1"/>
      <c r="C45" s="14" t="str">
        <f t="shared" si="11"/>
        <v/>
      </c>
      <c r="D45" s="14" t="str">
        <f t="shared" si="11"/>
        <v/>
      </c>
      <c r="E45" s="14" t="str">
        <f t="shared" si="11"/>
        <v/>
      </c>
      <c r="F45" s="14" t="str">
        <f t="shared" si="11"/>
        <v/>
      </c>
      <c r="G45" s="14" t="str">
        <f t="shared" si="11"/>
        <v/>
      </c>
      <c r="H45" s="14" t="str">
        <f t="shared" si="11"/>
        <v/>
      </c>
      <c r="I45" s="14" t="str">
        <f t="shared" si="11"/>
        <v/>
      </c>
      <c r="J45" s="14" t="str">
        <f t="shared" si="11"/>
        <v/>
      </c>
      <c r="K45" s="14" t="str">
        <f t="shared" si="11"/>
        <v/>
      </c>
      <c r="L45" s="14" t="str">
        <f t="shared" si="11"/>
        <v/>
      </c>
    </row>
    <row r="46" spans="1:14" x14ac:dyDescent="0.35">
      <c r="A46" s="1" t="s">
        <v>155</v>
      </c>
      <c r="B46" s="1"/>
      <c r="C46" s="50">
        <f>IF(C$27&lt;&gt;"",1.5-0.21/9/2-IF(SUM(C31,C32,C34/2)&lt;$T$66,$V$66,IF(C$31&lt;=$T$73,VLOOKUP(SUM(C31,C32,C34/2),$T$66:$V$74,3),0)),"")</f>
        <v>1.4583333333333333</v>
      </c>
      <c r="D46" s="50">
        <f t="shared" ref="D46:L46" ca="1" si="12">IF(D$27&lt;&gt;"",1.5-0.21/9/2-IF(SUM(D31,D32,D34/2)&lt;$T$66,$V$66,IF(D$31&lt;=$T$73,VLOOKUP(SUM(D31,D32,D34/2),$T$66:$V$74,3),0)),"")</f>
        <v>1.4583333333333333</v>
      </c>
      <c r="E46" s="50">
        <f t="shared" ca="1" si="12"/>
        <v>1.4543333333333333</v>
      </c>
      <c r="F46" s="50">
        <f t="shared" ca="1" si="12"/>
        <v>1.4543333333333333</v>
      </c>
      <c r="G46" s="50">
        <f t="shared" ca="1" si="12"/>
        <v>1.4543333333333333</v>
      </c>
      <c r="H46" s="50" t="str">
        <f t="shared" si="12"/>
        <v/>
      </c>
      <c r="I46" s="50" t="str">
        <f t="shared" si="12"/>
        <v/>
      </c>
      <c r="J46" s="50" t="str">
        <f t="shared" si="12"/>
        <v/>
      </c>
      <c r="K46" s="50" t="str">
        <f t="shared" si="12"/>
        <v/>
      </c>
      <c r="L46" s="50" t="str">
        <f t="shared" si="12"/>
        <v/>
      </c>
    </row>
    <row r="47" spans="1:14" x14ac:dyDescent="0.35">
      <c r="A47" s="1" t="s">
        <v>202</v>
      </c>
      <c r="B47" s="1"/>
      <c r="C47" s="53">
        <f>IF(C27="","",SUM(C27:C28))</f>
        <v>11.8</v>
      </c>
      <c r="D47" s="53">
        <f t="shared" ref="D47:L47" si="13">IF(D27="","",SUM(D27:D28))</f>
        <v>11.8</v>
      </c>
      <c r="E47" s="53">
        <f t="shared" si="13"/>
        <v>11.8</v>
      </c>
      <c r="F47" s="53">
        <f t="shared" si="13"/>
        <v>11.8</v>
      </c>
      <c r="G47" s="53">
        <f t="shared" si="13"/>
        <v>11.8</v>
      </c>
      <c r="H47" s="53" t="str">
        <f t="shared" si="13"/>
        <v/>
      </c>
      <c r="I47" s="53" t="str">
        <f t="shared" si="13"/>
        <v/>
      </c>
      <c r="J47" s="53" t="str">
        <f t="shared" si="13"/>
        <v/>
      </c>
      <c r="K47" s="53" t="str">
        <f t="shared" si="13"/>
        <v/>
      </c>
      <c r="L47" s="53" t="str">
        <f t="shared" si="13"/>
        <v/>
      </c>
      <c r="M47" s="46"/>
      <c r="N47" s="46"/>
    </row>
    <row r="48" spans="1:14" x14ac:dyDescent="0.35">
      <c r="A48" t="str">
        <f>IF(A6="","","    To "&amp;A6)</f>
        <v xml:space="preserve">    To Upper Basin</v>
      </c>
      <c r="B48" s="24" t="s">
        <v>156</v>
      </c>
      <c r="C48" s="14">
        <f>IF(OR(C$27="",$A48=""),"",IF(C$47&gt;SUM(C49:C53),C$47-SUM(C49:C53),0))</f>
        <v>2.4901463910332868</v>
      </c>
      <c r="D48" s="14">
        <f t="shared" ref="D48:L48" ca="1" si="14">IF(OR(D$27="",$A48=""),"",IF(D$47&gt;SUM(D49:D53),D$47-SUM(D49:D53),0))</f>
        <v>2.4765511534421059</v>
      </c>
      <c r="E48" s="14">
        <f t="shared" ca="1" si="14"/>
        <v>2.4628619322927037</v>
      </c>
      <c r="F48" s="14">
        <f t="shared" ca="1" si="14"/>
        <v>2.4499788135977756</v>
      </c>
      <c r="G48" s="14">
        <f t="shared" ca="1" si="14"/>
        <v>2.4465366514127904</v>
      </c>
      <c r="H48" s="14" t="str">
        <f t="shared" si="14"/>
        <v/>
      </c>
      <c r="I48" s="14" t="str">
        <f t="shared" si="14"/>
        <v/>
      </c>
      <c r="J48" s="14" t="str">
        <f t="shared" si="14"/>
        <v/>
      </c>
      <c r="K48" s="14" t="str">
        <f t="shared" si="14"/>
        <v/>
      </c>
      <c r="L48" s="14" t="str">
        <f t="shared" si="14"/>
        <v/>
      </c>
      <c r="M48" s="29"/>
      <c r="N48" s="29"/>
    </row>
    <row r="49" spans="1:26" x14ac:dyDescent="0.35">
      <c r="A49" t="str">
        <f t="shared" ref="A49:A53" si="15">IF(A7="","","    To "&amp;A7)</f>
        <v xml:space="preserve">    To Lower Basin</v>
      </c>
      <c r="B49" s="44">
        <f>7.5</f>
        <v>7.5</v>
      </c>
      <c r="C49" s="14">
        <f>IF(OR(C$27="",$A49=""),"",C28-C52/2-C51-C50/2+MIN($B49,C27-C50/2-C52/2))</f>
        <v>6.6901463910332852</v>
      </c>
      <c r="D49" s="14">
        <f t="shared" ref="D49:G49" ca="1" si="16">IF(OR(D$27="",$A49=""),"",D28-D52/2-D51-D50/2+MIN($B49,D27-D50/2-D52/2))</f>
        <v>6.676551153442106</v>
      </c>
      <c r="E49" s="14">
        <f t="shared" ca="1" si="16"/>
        <v>6.662861932292703</v>
      </c>
      <c r="F49" s="14">
        <f t="shared" ca="1" si="16"/>
        <v>6.6499788135977758</v>
      </c>
      <c r="G49" s="14">
        <f t="shared" ca="1" si="16"/>
        <v>6.6465366514127906</v>
      </c>
      <c r="H49" s="14" t="str">
        <f>IF(OR(H$27="",$A49=""),"",H28-H52/2-H51-H50/2+MIN($B49,H27-H50/2-H52/2))</f>
        <v/>
      </c>
      <c r="I49" s="14" t="str">
        <f t="shared" ref="I49:L49" si="17">IF(OR(I$27="",$A49=""),"",I28-I52/2-I51-I50/2+MIN($B49,I27-I50/2-I52/2))</f>
        <v/>
      </c>
      <c r="J49" s="14" t="str">
        <f t="shared" si="17"/>
        <v/>
      </c>
      <c r="K49" s="14" t="str">
        <f t="shared" si="17"/>
        <v/>
      </c>
      <c r="L49" s="14" t="str">
        <f t="shared" si="17"/>
        <v/>
      </c>
      <c r="M49" s="29"/>
      <c r="N49" s="29"/>
    </row>
    <row r="50" spans="1:26" x14ac:dyDescent="0.35">
      <c r="A50" t="str">
        <f t="shared" si="15"/>
        <v xml:space="preserve">    To Mexico</v>
      </c>
      <c r="B50" s="44" t="s">
        <v>204</v>
      </c>
      <c r="C50" s="14">
        <f>IF(OR(C$27="",$A50=""),"",IF(C$47&gt;SUM(C51:C52,C46),C46,C$47-SUM(C51:C52)))</f>
        <v>1.4583333333333333</v>
      </c>
      <c r="D50" s="14">
        <f t="shared" ref="D50:L50" ca="1" si="18">IF(OR(D$27="",$A50=""),"",IF(D$47&gt;SUM(D51:D52,D46),D46,D$47-SUM(D51:D52)))</f>
        <v>1.4583333333333333</v>
      </c>
      <c r="E50" s="14">
        <f t="shared" ca="1" si="18"/>
        <v>1.4543333333333333</v>
      </c>
      <c r="F50" s="14">
        <f t="shared" ca="1" si="18"/>
        <v>1.4543333333333333</v>
      </c>
      <c r="G50" s="14">
        <f t="shared" ca="1" si="18"/>
        <v>1.4543333333333333</v>
      </c>
      <c r="H50" s="14" t="str">
        <f t="shared" si="18"/>
        <v/>
      </c>
      <c r="I50" s="14" t="str">
        <f t="shared" si="18"/>
        <v/>
      </c>
      <c r="J50" s="14" t="str">
        <f t="shared" si="18"/>
        <v/>
      </c>
      <c r="K50" s="14" t="str">
        <f t="shared" si="18"/>
        <v/>
      </c>
      <c r="L50" s="14" t="str">
        <f t="shared" si="18"/>
        <v/>
      </c>
      <c r="M50" s="29"/>
      <c r="N50" s="29"/>
    </row>
    <row r="51" spans="1:26" x14ac:dyDescent="0.35">
      <c r="A51" t="str">
        <f t="shared" si="15"/>
        <v xml:space="preserve">    To Mohave &amp; Havasu Evap &amp; ET</v>
      </c>
      <c r="B51" s="44">
        <v>0.6</v>
      </c>
      <c r="C51" s="14">
        <f>IF(OR(C$27="",$A51=""),"",IF(C$47&gt;C52+$B$51,$B51,C$47-C52))</f>
        <v>0.6</v>
      </c>
      <c r="D51" s="14">
        <f t="shared" ref="D51:L51" ca="1" si="19">IF(OR(D$27="",$A51=""),"",IF(D$47&gt;D52+$B$51,$B51,D$47-D52))</f>
        <v>0.6</v>
      </c>
      <c r="E51" s="14">
        <f t="shared" ca="1" si="19"/>
        <v>0.6</v>
      </c>
      <c r="F51" s="14">
        <f t="shared" ca="1" si="19"/>
        <v>0.6</v>
      </c>
      <c r="G51" s="14">
        <f t="shared" ca="1" si="19"/>
        <v>0.6</v>
      </c>
      <c r="H51" s="14" t="str">
        <f t="shared" si="19"/>
        <v/>
      </c>
      <c r="I51" s="14" t="str">
        <f t="shared" si="19"/>
        <v/>
      </c>
      <c r="J51" s="14" t="str">
        <f t="shared" si="19"/>
        <v/>
      </c>
      <c r="K51" s="14" t="str">
        <f t="shared" si="19"/>
        <v/>
      </c>
      <c r="L51" s="14" t="str">
        <f t="shared" si="19"/>
        <v/>
      </c>
      <c r="M51" s="29"/>
      <c r="N51" s="29"/>
    </row>
    <row r="52" spans="1:26" x14ac:dyDescent="0.35">
      <c r="A52" t="str">
        <f t="shared" si="15"/>
        <v xml:space="preserve">    To Shared, Reserve</v>
      </c>
      <c r="B52" s="44" t="s">
        <v>203</v>
      </c>
      <c r="C52" s="14">
        <f>IF(OR(C$27="",$A52=""),"",IF(C$47&gt;C44,C44,C$47))</f>
        <v>0.56137388460009618</v>
      </c>
      <c r="D52" s="14">
        <f t="shared" ref="D52:L52" ca="1" si="20">IF(OR(D$27="",$A52=""),"",IF(D$47&gt;D44,D44,D$47))</f>
        <v>0.58856435978245536</v>
      </c>
      <c r="E52" s="14">
        <f t="shared" ca="1" si="20"/>
        <v>0.61994280208126151</v>
      </c>
      <c r="F52" s="14">
        <f t="shared" ca="1" si="20"/>
        <v>0.6457090394711158</v>
      </c>
      <c r="G52" s="14">
        <f t="shared" ca="1" si="20"/>
        <v>0.65259336384108613</v>
      </c>
      <c r="H52" s="14" t="str">
        <f t="shared" si="20"/>
        <v/>
      </c>
      <c r="I52" s="14" t="str">
        <f t="shared" si="20"/>
        <v/>
      </c>
      <c r="J52" s="14" t="str">
        <f t="shared" si="20"/>
        <v/>
      </c>
      <c r="K52" s="14" t="str">
        <f t="shared" si="20"/>
        <v/>
      </c>
      <c r="L52" s="14" t="str">
        <f t="shared" si="20"/>
        <v/>
      </c>
      <c r="M52" s="29"/>
      <c r="N52" s="29"/>
    </row>
    <row r="53" spans="1:26" x14ac:dyDescent="0.35">
      <c r="A53" t="str">
        <f t="shared" si="15"/>
        <v/>
      </c>
      <c r="B53" s="44"/>
      <c r="C53" s="58" t="str">
        <f t="shared" ref="C53:L53" si="21">IF(OR(C$27="",$A53=""),"",IF(C$27&gt;$B53,$B53,C$27))</f>
        <v/>
      </c>
      <c r="D53" s="58" t="str">
        <f t="shared" si="21"/>
        <v/>
      </c>
      <c r="E53" s="58" t="str">
        <f t="shared" si="21"/>
        <v/>
      </c>
      <c r="F53" s="58" t="str">
        <f t="shared" si="21"/>
        <v/>
      </c>
      <c r="G53" s="58" t="str">
        <f t="shared" si="21"/>
        <v/>
      </c>
      <c r="H53" s="58" t="str">
        <f t="shared" si="21"/>
        <v/>
      </c>
      <c r="I53" s="58" t="str">
        <f t="shared" si="21"/>
        <v/>
      </c>
      <c r="J53" s="58" t="str">
        <f t="shared" si="21"/>
        <v/>
      </c>
      <c r="K53" s="58" t="str">
        <f t="shared" si="21"/>
        <v/>
      </c>
      <c r="L53" s="58" t="str">
        <f t="shared" si="21"/>
        <v/>
      </c>
      <c r="M53" s="29"/>
      <c r="N53" s="29"/>
    </row>
    <row r="54" spans="1:26" x14ac:dyDescent="0.35">
      <c r="C54"/>
    </row>
    <row r="55" spans="1:26" x14ac:dyDescent="0.35">
      <c r="A55" s="83" t="s">
        <v>196</v>
      </c>
      <c r="B55" s="84"/>
      <c r="C55" s="84"/>
      <c r="D55" s="84"/>
      <c r="E55" s="84"/>
      <c r="F55" s="84"/>
      <c r="G55" s="84"/>
      <c r="H55" s="84"/>
      <c r="I55" s="84"/>
      <c r="J55" s="84"/>
      <c r="K55" s="84"/>
      <c r="L55" s="84"/>
      <c r="M55" s="84"/>
      <c r="N55" s="84"/>
    </row>
    <row r="56" spans="1:26" x14ac:dyDescent="0.35">
      <c r="A56" s="80" t="str">
        <f>IF(A$6="[Unused]","",A6)</f>
        <v>Upper Basin</v>
      </c>
      <c r="B56" s="81"/>
      <c r="C56" s="81"/>
      <c r="D56" s="81"/>
      <c r="E56" s="81"/>
      <c r="F56" s="81"/>
      <c r="G56" s="81"/>
      <c r="H56" s="81"/>
      <c r="I56" s="81"/>
      <c r="J56" s="81"/>
      <c r="K56" s="81"/>
      <c r="L56" s="81"/>
      <c r="M56" s="82" t="s">
        <v>108</v>
      </c>
      <c r="N56" s="80" t="s">
        <v>187</v>
      </c>
    </row>
    <row r="57" spans="1:26" x14ac:dyDescent="0.35">
      <c r="A57" s="32" t="str">
        <f>IF(A56="[Unused]","","   Volume of Sales(+) and Purchases(-) [maf]")</f>
        <v xml:space="preserve">   Volume of Sales(+) and Purchases(-) [maf]</v>
      </c>
      <c r="C57" s="25"/>
      <c r="D57" s="25"/>
      <c r="E57" s="25"/>
      <c r="F57" s="25"/>
      <c r="G57" s="25"/>
      <c r="H57" s="25"/>
      <c r="I57" s="25"/>
      <c r="J57" s="25"/>
      <c r="K57" s="25"/>
      <c r="L57" s="25"/>
      <c r="M57" s="79">
        <f>SUM(C57:L57)</f>
        <v>0</v>
      </c>
      <c r="N57" t="str">
        <f>IF(A57="","","Add if multiple transactions, e.g.: 0.5 + 0.25")</f>
        <v>Add if multiple transactions, e.g.: 0.5 + 0.25</v>
      </c>
    </row>
    <row r="58" spans="1:26" x14ac:dyDescent="0.35">
      <c r="A58" s="32" t="str">
        <f>IF(A57="","","   Cash Intake(+) and Payments(-) [$ Mill]")</f>
        <v xml:space="preserve">   Cash Intake(+) and Payments(-) [$ Mill]</v>
      </c>
      <c r="C58" s="77"/>
      <c r="D58" s="77"/>
      <c r="E58" s="77"/>
      <c r="F58" s="77"/>
      <c r="G58" s="77"/>
      <c r="H58" s="77"/>
      <c r="I58" s="77"/>
      <c r="J58" s="77"/>
      <c r="K58" s="77"/>
      <c r="L58" s="77"/>
      <c r="M58" s="76">
        <f>SUM(C58:L58)</f>
        <v>0</v>
      </c>
      <c r="N58" t="str">
        <f>IF(A58="","","Add if multiple transactions, e.g.: $350*0.5 + $450*0.25")</f>
        <v>Add if multiple transactions, e.g.: $350*0.5 + $450*0.25</v>
      </c>
    </row>
    <row r="59" spans="1:26" x14ac:dyDescent="0.35">
      <c r="A59" s="32" t="str">
        <f>IF(A58="","","   Volume of all players (should be zero)")</f>
        <v xml:space="preserve">   Volume of all players (should be zero)</v>
      </c>
      <c r="C59" s="79">
        <f t="shared" ref="C59:M59" ca="1" si="22">IF(OR(C$27="",$A59=""),"",C$112)</f>
        <v>0</v>
      </c>
      <c r="D59" s="79">
        <f t="shared" ca="1" si="22"/>
        <v>0</v>
      </c>
      <c r="E59" s="79">
        <f t="shared" ca="1" si="22"/>
        <v>0</v>
      </c>
      <c r="F59" s="79">
        <f t="shared" ca="1" si="22"/>
        <v>0</v>
      </c>
      <c r="G59" s="79">
        <f t="shared" ca="1" si="22"/>
        <v>0</v>
      </c>
      <c r="H59" s="79" t="str">
        <f t="shared" si="22"/>
        <v/>
      </c>
      <c r="I59" s="79" t="str">
        <f t="shared" si="22"/>
        <v/>
      </c>
      <c r="J59" s="79" t="str">
        <f t="shared" si="22"/>
        <v/>
      </c>
      <c r="K59" s="79" t="str">
        <f t="shared" si="22"/>
        <v/>
      </c>
      <c r="L59" s="79" t="str">
        <f t="shared" si="22"/>
        <v/>
      </c>
      <c r="M59" t="str">
        <f t="shared" si="22"/>
        <v/>
      </c>
      <c r="N59" t="str">
        <f>IF(A59="","","If non-zero, players need to change amount(s)")</f>
        <v>If non-zero, players need to change amount(s)</v>
      </c>
    </row>
    <row r="60" spans="1:26" x14ac:dyDescent="0.35">
      <c r="A60" s="1" t="str">
        <f>IF(A58="","","   Available Water [maf]")</f>
        <v xml:space="preserve">   Available Water [maf]</v>
      </c>
      <c r="C60" s="14">
        <f>IF(OR(C$27="",$A60=""),"",C30+C48-C40-C57)</f>
        <v>7.3178582945981319</v>
      </c>
      <c r="D60" s="14">
        <f t="shared" ref="D60:L60" ca="1" si="23">IF(OR(D$27="",$A60=""),"",D30+D48-D40-D57)</f>
        <v>5.4360940760985699</v>
      </c>
      <c r="E60" s="14">
        <f t="shared" ca="1" si="23"/>
        <v>3.632844677545803</v>
      </c>
      <c r="F60" s="14">
        <f t="shared" ca="1" si="23"/>
        <v>2.4499788135977756</v>
      </c>
      <c r="G60" s="14">
        <f t="shared" ca="1" si="23"/>
        <v>2.4465366514127904</v>
      </c>
      <c r="H60" s="14" t="str">
        <f t="shared" si="23"/>
        <v/>
      </c>
      <c r="I60" s="14" t="str">
        <f t="shared" si="23"/>
        <v/>
      </c>
      <c r="J60" s="14" t="str">
        <f t="shared" si="23"/>
        <v/>
      </c>
      <c r="K60" s="14" t="str">
        <f t="shared" si="23"/>
        <v/>
      </c>
      <c r="L60" s="14" t="str">
        <f t="shared" si="23"/>
        <v/>
      </c>
      <c r="N60" t="str">
        <f>IF(A60="","","Available water = Account Balance + Available Inflow - Evaporation + Sales - Purchases")</f>
        <v>Available water = Account Balance + Available Inflow - Evaporation + Sales - Purchases</v>
      </c>
    </row>
    <row r="61" spans="1:26" x14ac:dyDescent="0.35">
      <c r="A61" s="1" t="str">
        <f>IF(A60="","","   Account Withdraw [maf] (less than available water)")</f>
        <v xml:space="preserve">   Account Withdraw [maf] (less than available water)</v>
      </c>
      <c r="C61" s="43">
        <f>IF(C60&gt;4.2,4.2,MAX(C60,0))</f>
        <v>4.2</v>
      </c>
      <c r="D61" s="43">
        <f t="shared" ref="D61:G61" ca="1" si="24">IF(D60&gt;4.2,4.2,MAX(D60,0))</f>
        <v>4.2</v>
      </c>
      <c r="E61" s="43">
        <f t="shared" ca="1" si="24"/>
        <v>3.632844677545803</v>
      </c>
      <c r="F61" s="43">
        <f t="shared" ca="1" si="24"/>
        <v>2.4499788135977756</v>
      </c>
      <c r="G61" s="43">
        <f t="shared" ca="1" si="24"/>
        <v>2.4465366514127904</v>
      </c>
      <c r="H61" s="43"/>
      <c r="I61" s="43"/>
      <c r="J61" s="43"/>
      <c r="K61" s="43"/>
      <c r="L61" s="43"/>
      <c r="N61" t="str">
        <f>IF(A61="","","Must be less than Available water")</f>
        <v>Must be less than Available water</v>
      </c>
    </row>
    <row r="62" spans="1:26" x14ac:dyDescent="0.35">
      <c r="A62" s="32" t="str">
        <f>IF(A61="","","   End of Year Balance [maf]")</f>
        <v xml:space="preserve">   End of Year Balance [maf]</v>
      </c>
      <c r="C62" s="78">
        <f>IF(OR(C$27="",$A62=""),"",C60-C61)</f>
        <v>3.1178582945981317</v>
      </c>
      <c r="D62" s="78">
        <f t="shared" ref="D62:L62" ca="1" si="25">IF(OR(D$27="",$A62=""),"",D60-D61)</f>
        <v>1.2360940760985697</v>
      </c>
      <c r="E62" s="78">
        <f t="shared" ca="1" si="25"/>
        <v>0</v>
      </c>
      <c r="F62" s="78">
        <f t="shared" ca="1" si="25"/>
        <v>0</v>
      </c>
      <c r="G62" s="78">
        <f t="shared" ca="1" si="25"/>
        <v>0</v>
      </c>
      <c r="H62" s="78" t="str">
        <f t="shared" si="25"/>
        <v/>
      </c>
      <c r="I62" s="78" t="str">
        <f t="shared" si="25"/>
        <v/>
      </c>
      <c r="J62" s="78" t="str">
        <f t="shared" si="25"/>
        <v/>
      </c>
      <c r="K62" s="78" t="str">
        <f t="shared" si="25"/>
        <v/>
      </c>
      <c r="L62" s="78" t="str">
        <f t="shared" si="25"/>
        <v/>
      </c>
      <c r="N62" t="str">
        <f>IF(A62="","","Available water - Account Withdraw")</f>
        <v>Available water - Account Withdraw</v>
      </c>
    </row>
    <row r="63" spans="1:26" x14ac:dyDescent="0.35">
      <c r="C63"/>
      <c r="S63" s="1" t="s">
        <v>199</v>
      </c>
    </row>
    <row r="64" spans="1:26" x14ac:dyDescent="0.35">
      <c r="A64" s="80" t="str">
        <f>IF(A$7="","[Unused]",A7)</f>
        <v>Lower Basin</v>
      </c>
      <c r="B64" s="81"/>
      <c r="C64" s="81"/>
      <c r="D64" s="81"/>
      <c r="E64" s="81"/>
      <c r="F64" s="81"/>
      <c r="G64" s="81"/>
      <c r="H64" s="81"/>
      <c r="I64" s="81"/>
      <c r="J64" s="81"/>
      <c r="K64" s="81"/>
      <c r="L64" s="81"/>
      <c r="M64" s="82" t="s">
        <v>108</v>
      </c>
      <c r="N64" s="80" t="s">
        <v>187</v>
      </c>
      <c r="S64" s="37" t="s">
        <v>129</v>
      </c>
      <c r="T64" s="37" t="s">
        <v>130</v>
      </c>
      <c r="U64" s="38" t="s">
        <v>131</v>
      </c>
      <c r="V64" s="38" t="s">
        <v>132</v>
      </c>
      <c r="W64" s="37" t="s">
        <v>133</v>
      </c>
      <c r="X64" s="37" t="s">
        <v>133</v>
      </c>
      <c r="Y64" s="51" t="s">
        <v>152</v>
      </c>
      <c r="Z64" s="51" t="s">
        <v>153</v>
      </c>
    </row>
    <row r="65" spans="1:26" x14ac:dyDescent="0.35">
      <c r="A65" s="32" t="str">
        <f>IF(A64="[Unused]","","   Volume of Sales(+) and Purchases(-) [maf]")</f>
        <v xml:space="preserve">   Volume of Sales(+) and Purchases(-) [maf]</v>
      </c>
      <c r="C65" s="25"/>
      <c r="D65" s="25"/>
      <c r="E65" s="25"/>
      <c r="F65" s="25"/>
      <c r="G65" s="25"/>
      <c r="H65" s="25"/>
      <c r="I65" s="25"/>
      <c r="J65" s="25"/>
      <c r="K65" s="25"/>
      <c r="L65" s="25"/>
      <c r="M65" s="79">
        <f>SUM(C65:L65)</f>
        <v>0</v>
      </c>
      <c r="N65" t="str">
        <f>IF(A65="","",N57)</f>
        <v>Add if multiple transactions, e.g.: 0.5 + 0.25</v>
      </c>
      <c r="S65">
        <v>955</v>
      </c>
      <c r="T65" s="29">
        <v>0</v>
      </c>
      <c r="U65" s="85">
        <f>U66</f>
        <v>1.2000000000000002</v>
      </c>
      <c r="V65" s="85">
        <f t="shared" ref="V65:Z65" si="26">V66</f>
        <v>0.15</v>
      </c>
      <c r="W65" s="85">
        <f t="shared" si="26"/>
        <v>1.325</v>
      </c>
      <c r="X65" s="85">
        <f t="shared" si="26"/>
        <v>1.35</v>
      </c>
      <c r="Y65" s="85">
        <f t="shared" si="26"/>
        <v>0.125</v>
      </c>
      <c r="Z65" s="6">
        <f t="shared" si="26"/>
        <v>1350000</v>
      </c>
    </row>
    <row r="66" spans="1:26" x14ac:dyDescent="0.35">
      <c r="A66" s="32" t="str">
        <f>IF(A65="","","   Cash Intake(+) and Payments(-) [$ Mill]")</f>
        <v xml:space="preserve">   Cash Intake(+) and Payments(-) [$ Mill]</v>
      </c>
      <c r="C66" s="77"/>
      <c r="D66" s="77"/>
      <c r="E66" s="77"/>
      <c r="F66" s="77"/>
      <c r="G66" s="77"/>
      <c r="H66" s="77"/>
      <c r="I66" s="77"/>
      <c r="J66" s="77"/>
      <c r="K66" s="77"/>
      <c r="L66" s="77"/>
      <c r="M66" s="76">
        <f>SUM(C66:L66)</f>
        <v>0</v>
      </c>
      <c r="N66" t="str">
        <f t="shared" ref="N66:N70" si="27">IF(A66="","",N58)</f>
        <v>Add if multiple transactions, e.g.: $350*0.5 + $450*0.25</v>
      </c>
      <c r="S66" s="39">
        <v>1025</v>
      </c>
      <c r="T66" s="40">
        <v>5.981122</v>
      </c>
      <c r="U66" s="41">
        <f>X66-V66</f>
        <v>1.2000000000000002</v>
      </c>
      <c r="V66" s="49">
        <v>0.15</v>
      </c>
      <c r="W66" s="41">
        <v>1.325</v>
      </c>
      <c r="X66" s="41">
        <f t="shared" ref="X66:X73" si="28">Z66/1000000</f>
        <v>1.35</v>
      </c>
      <c r="Y66" s="42">
        <v>0.125</v>
      </c>
      <c r="Z66" s="52">
        <v>1350000</v>
      </c>
    </row>
    <row r="67" spans="1:26" x14ac:dyDescent="0.35">
      <c r="A67" s="32" t="str">
        <f>IF(A66="","","   Volume all players (should be zero)")</f>
        <v xml:space="preserve">   Volume all players (should be zero)</v>
      </c>
      <c r="C67" s="79">
        <f t="shared" ref="C67:M67" ca="1" si="29">IF(OR(C$27="",$A67=""),"",C$112)</f>
        <v>0</v>
      </c>
      <c r="D67" s="79">
        <f t="shared" ca="1" si="29"/>
        <v>0</v>
      </c>
      <c r="E67" s="79">
        <f t="shared" ca="1" si="29"/>
        <v>0</v>
      </c>
      <c r="F67" s="79">
        <f t="shared" ca="1" si="29"/>
        <v>0</v>
      </c>
      <c r="G67" s="79">
        <f t="shared" ca="1" si="29"/>
        <v>0</v>
      </c>
      <c r="H67" s="79" t="str">
        <f t="shared" si="29"/>
        <v/>
      </c>
      <c r="I67" s="79" t="str">
        <f t="shared" si="29"/>
        <v/>
      </c>
      <c r="J67" s="79" t="str">
        <f t="shared" si="29"/>
        <v/>
      </c>
      <c r="K67" s="79" t="str">
        <f t="shared" si="29"/>
        <v/>
      </c>
      <c r="L67" s="79" t="str">
        <f t="shared" si="29"/>
        <v/>
      </c>
      <c r="M67" t="str">
        <f t="shared" si="29"/>
        <v/>
      </c>
      <c r="N67" t="str">
        <f t="shared" si="27"/>
        <v>If non-zero, players need to change amount(s)</v>
      </c>
      <c r="S67" s="39">
        <v>1030</v>
      </c>
      <c r="T67" s="40">
        <v>6.305377</v>
      </c>
      <c r="U67" s="41">
        <f t="shared" ref="U67:U73" si="30">X67-V67</f>
        <v>1.117</v>
      </c>
      <c r="V67" s="49">
        <v>0.10100000000000001</v>
      </c>
      <c r="W67" s="41">
        <v>1.1870000000000001</v>
      </c>
      <c r="X67" s="41">
        <f t="shared" si="28"/>
        <v>1.218</v>
      </c>
      <c r="Y67" s="42">
        <v>7.0000000000000007E-2</v>
      </c>
      <c r="Z67" s="52">
        <v>1218000</v>
      </c>
    </row>
    <row r="68" spans="1:26" x14ac:dyDescent="0.35">
      <c r="A68" s="1" t="str">
        <f>IF(A66="","","   Available Water [maf]")</f>
        <v xml:space="preserve">   Available Water [maf]</v>
      </c>
      <c r="C68" s="14">
        <f t="shared" ref="C68:L68" si="31">IF(OR(C$27="",$A68=""),"",C31+C49-C41-C65)</f>
        <v>10.745168465590837</v>
      </c>
      <c r="D68" s="14">
        <f t="shared" ca="1" si="31"/>
        <v>10.35779800648044</v>
      </c>
      <c r="E68" s="14">
        <f t="shared" ca="1" si="31"/>
        <v>9.9669578856013139</v>
      </c>
      <c r="F68" s="14">
        <f t="shared" ca="1" si="31"/>
        <v>9.6565680193285832</v>
      </c>
      <c r="G68" s="14">
        <f t="shared" ca="1" si="31"/>
        <v>9.3583201795038047</v>
      </c>
      <c r="H68" s="14" t="str">
        <f t="shared" si="31"/>
        <v/>
      </c>
      <c r="I68" s="14" t="str">
        <f t="shared" si="31"/>
        <v/>
      </c>
      <c r="J68" s="14" t="str">
        <f t="shared" si="31"/>
        <v/>
      </c>
      <c r="K68" s="14" t="str">
        <f t="shared" si="31"/>
        <v/>
      </c>
      <c r="L68" s="14" t="str">
        <f t="shared" si="31"/>
        <v/>
      </c>
      <c r="N68" t="str">
        <f t="shared" si="27"/>
        <v>Available water = Account Balance + Available Inflow - Evaporation + Sales - Purchases</v>
      </c>
      <c r="S68" s="39">
        <v>1035</v>
      </c>
      <c r="T68" s="40">
        <v>6.6375080000000004</v>
      </c>
      <c r="U68" s="41">
        <f t="shared" si="30"/>
        <v>1.0669999999999999</v>
      </c>
      <c r="V68" s="49">
        <v>9.1999999999999998E-2</v>
      </c>
      <c r="W68" s="41">
        <v>1.137</v>
      </c>
      <c r="X68" s="41">
        <f t="shared" si="28"/>
        <v>1.159</v>
      </c>
      <c r="Y68" s="42">
        <v>7.0000000000000007E-2</v>
      </c>
      <c r="Z68" s="52">
        <v>1159000</v>
      </c>
    </row>
    <row r="69" spans="1:26" x14ac:dyDescent="0.35">
      <c r="A69" s="1" t="str">
        <f>IF(A68="","","   Account Withdraw [maf]")</f>
        <v xml:space="preserve">   Account Withdraw [maf]</v>
      </c>
      <c r="C69" s="43">
        <f>7.5-VLOOKUP(C31+C32+$C$24,$T$65:$U$74,2)</f>
        <v>6.867</v>
      </c>
      <c r="D69" s="43">
        <f t="shared" ref="D69:G69" ca="1" si="32">7.5-VLOOKUP(D31+D32+$C$24,$T$65:$U$74,2)</f>
        <v>6.867</v>
      </c>
      <c r="E69" s="43">
        <f t="shared" ca="1" si="32"/>
        <v>6.7830000000000004</v>
      </c>
      <c r="F69" s="43">
        <f t="shared" ca="1" si="32"/>
        <v>6.7830000000000004</v>
      </c>
      <c r="G69" s="43">
        <f t="shared" ca="1" si="32"/>
        <v>6.7830000000000004</v>
      </c>
      <c r="H69" s="43"/>
      <c r="I69" s="43"/>
      <c r="J69" s="43"/>
      <c r="K69" s="43"/>
      <c r="L69" s="43"/>
      <c r="N69" t="str">
        <f t="shared" si="27"/>
        <v>Must be less than Available water</v>
      </c>
      <c r="S69" s="39">
        <v>1040</v>
      </c>
      <c r="T69" s="40">
        <v>6.977665</v>
      </c>
      <c r="U69" s="41">
        <f t="shared" si="30"/>
        <v>1.0169999999999999</v>
      </c>
      <c r="V69" s="49">
        <v>8.4000000000000005E-2</v>
      </c>
      <c r="W69" s="41">
        <v>1.087</v>
      </c>
      <c r="X69" s="41">
        <f t="shared" si="28"/>
        <v>1.101</v>
      </c>
      <c r="Y69" s="42">
        <v>7.0000000000000007E-2</v>
      </c>
      <c r="Z69" s="52">
        <v>1101000</v>
      </c>
    </row>
    <row r="70" spans="1:26" x14ac:dyDescent="0.35">
      <c r="A70" s="32" t="str">
        <f>IF(A69="","","   End of Year Balance [maf]")</f>
        <v xml:space="preserve">   End of Year Balance [maf]</v>
      </c>
      <c r="C70" s="78">
        <f>IF(OR(C$27="",$A70=""),"",C68-C69)</f>
        <v>3.8781684655908366</v>
      </c>
      <c r="D70" s="78">
        <f t="shared" ref="D70:L70" ca="1" si="33">IF(OR(D$27="",$A70=""),"",D68-D69)</f>
        <v>3.49079800648044</v>
      </c>
      <c r="E70" s="78">
        <f t="shared" ca="1" si="33"/>
        <v>3.1839578856013135</v>
      </c>
      <c r="F70" s="78">
        <f t="shared" ca="1" si="33"/>
        <v>2.8735680193285829</v>
      </c>
      <c r="G70" s="78">
        <f t="shared" ca="1" si="33"/>
        <v>2.5753201795038043</v>
      </c>
      <c r="H70" s="78" t="str">
        <f t="shared" si="33"/>
        <v/>
      </c>
      <c r="I70" s="78" t="str">
        <f t="shared" si="33"/>
        <v/>
      </c>
      <c r="J70" s="78" t="str">
        <f t="shared" si="33"/>
        <v/>
      </c>
      <c r="K70" s="78" t="str">
        <f t="shared" si="33"/>
        <v/>
      </c>
      <c r="L70" s="78" t="str">
        <f t="shared" si="33"/>
        <v/>
      </c>
      <c r="N70" t="str">
        <f t="shared" si="27"/>
        <v>Available water - Account Withdraw</v>
      </c>
      <c r="S70" s="39">
        <v>1045</v>
      </c>
      <c r="T70" s="40">
        <v>7.3260519999999998</v>
      </c>
      <c r="U70" s="41">
        <f t="shared" si="30"/>
        <v>0.96699999999999997</v>
      </c>
      <c r="V70" s="49">
        <v>7.5999999999999998E-2</v>
      </c>
      <c r="W70" s="41">
        <v>1.0369999999999999</v>
      </c>
      <c r="X70" s="41">
        <f t="shared" si="28"/>
        <v>1.0429999999999999</v>
      </c>
      <c r="Y70" s="42">
        <v>7.0000000000000007E-2</v>
      </c>
      <c r="Z70" s="52">
        <v>1043000</v>
      </c>
    </row>
    <row r="71" spans="1:26" x14ac:dyDescent="0.35">
      <c r="C71"/>
      <c r="S71" s="39">
        <v>1050</v>
      </c>
      <c r="T71" s="40">
        <v>7.6828779999999997</v>
      </c>
      <c r="U71" s="41">
        <f t="shared" si="30"/>
        <v>0.71699999999999997</v>
      </c>
      <c r="V71" s="49">
        <v>3.4000000000000002E-2</v>
      </c>
      <c r="W71" s="41">
        <v>0.78700000000000003</v>
      </c>
      <c r="X71" s="41">
        <f t="shared" si="28"/>
        <v>0.751</v>
      </c>
      <c r="Y71" s="42">
        <v>7.0000000000000007E-2</v>
      </c>
      <c r="Z71" s="52">
        <v>751000</v>
      </c>
    </row>
    <row r="72" spans="1:26" x14ac:dyDescent="0.35">
      <c r="A72" s="80" t="str">
        <f>IF(A$8="","[Unused]",A8)</f>
        <v>Mexico</v>
      </c>
      <c r="B72" s="81"/>
      <c r="C72" s="81"/>
      <c r="D72" s="81"/>
      <c r="E72" s="81"/>
      <c r="F72" s="81"/>
      <c r="G72" s="81"/>
      <c r="H72" s="81"/>
      <c r="I72" s="81"/>
      <c r="J72" s="81"/>
      <c r="K72" s="81"/>
      <c r="L72" s="81"/>
      <c r="M72" s="82" t="s">
        <v>108</v>
      </c>
      <c r="N72" s="80" t="s">
        <v>187</v>
      </c>
      <c r="S72" s="39">
        <v>1075</v>
      </c>
      <c r="T72" s="40">
        <v>9.6009879999900001</v>
      </c>
      <c r="U72" s="41">
        <f t="shared" si="30"/>
        <v>0.63300000000000001</v>
      </c>
      <c r="V72" s="49">
        <v>0.03</v>
      </c>
      <c r="W72" s="41">
        <v>0.68300000000000005</v>
      </c>
      <c r="X72" s="41">
        <f t="shared" si="28"/>
        <v>0.66300000000000003</v>
      </c>
      <c r="Y72" s="42">
        <v>0.05</v>
      </c>
      <c r="Z72" s="52">
        <v>663000</v>
      </c>
    </row>
    <row r="73" spans="1:26" x14ac:dyDescent="0.35">
      <c r="A73" s="32" t="str">
        <f>IF(A72="[Unused]","","   Volume of Sales(+) and Purchases(-) [maf]")</f>
        <v xml:space="preserve">   Volume of Sales(+) and Purchases(-) [maf]</v>
      </c>
      <c r="C73" s="25"/>
      <c r="D73" s="25"/>
      <c r="E73" s="25"/>
      <c r="F73" s="25"/>
      <c r="G73" s="25"/>
      <c r="H73" s="25"/>
      <c r="I73" s="25"/>
      <c r="J73" s="25"/>
      <c r="K73" s="25"/>
      <c r="L73" s="25"/>
      <c r="M73" s="79">
        <f>SUM(C73:L73)</f>
        <v>0</v>
      </c>
      <c r="N73" t="str">
        <f>IF(A73="","",N65)</f>
        <v>Add if multiple transactions, e.g.: 0.5 + 0.25</v>
      </c>
      <c r="S73" s="39">
        <v>1090</v>
      </c>
      <c r="T73" s="40">
        <v>10.857008</v>
      </c>
      <c r="U73" s="41">
        <f t="shared" si="30"/>
        <v>0.30000000000000004</v>
      </c>
      <c r="V73" s="49">
        <v>4.1000000000000002E-2</v>
      </c>
      <c r="W73" s="41">
        <v>0.3</v>
      </c>
      <c r="X73" s="41">
        <f t="shared" si="28"/>
        <v>0.34100000000000003</v>
      </c>
      <c r="Y73" s="38"/>
      <c r="Z73" s="52">
        <v>341000</v>
      </c>
    </row>
    <row r="74" spans="1:26" x14ac:dyDescent="0.35">
      <c r="A74" s="32" t="str">
        <f>IF(A73="","","   Cash Intake(+) and Payments(-) [$ Mill]")</f>
        <v xml:space="preserve">   Cash Intake(+) and Payments(-) [$ Mill]</v>
      </c>
      <c r="C74" s="77"/>
      <c r="D74" s="77"/>
      <c r="E74" s="77"/>
      <c r="F74" s="77"/>
      <c r="G74" s="77"/>
      <c r="H74" s="77"/>
      <c r="I74" s="77"/>
      <c r="J74" s="77"/>
      <c r="K74" s="77"/>
      <c r="L74" s="77"/>
      <c r="M74" s="76">
        <f>SUM(C74:L74)</f>
        <v>0</v>
      </c>
      <c r="N74" t="str">
        <f t="shared" ref="N74:N78" si="34">IF(A74="","",N66)</f>
        <v>Add if multiple transactions, e.g.: $350*0.5 + $450*0.25</v>
      </c>
      <c r="S74" s="39">
        <v>1091</v>
      </c>
      <c r="T74" s="40">
        <v>10.9</v>
      </c>
      <c r="U74" s="41">
        <v>0</v>
      </c>
      <c r="V74" s="49">
        <v>0</v>
      </c>
      <c r="W74" s="41">
        <v>0</v>
      </c>
      <c r="X74" s="41">
        <v>0</v>
      </c>
      <c r="Y74" s="38"/>
      <c r="Z74" s="52">
        <v>0</v>
      </c>
    </row>
    <row r="75" spans="1:26" x14ac:dyDescent="0.35">
      <c r="A75" s="32" t="str">
        <f>IF(A74="","","   Volume all players (should be zero)")</f>
        <v xml:space="preserve">   Volume all players (should be zero)</v>
      </c>
      <c r="C75" s="79">
        <f t="shared" ref="C75:M75" ca="1" si="35">IF(OR(C$27="",$A75=""),"",C$112)</f>
        <v>0</v>
      </c>
      <c r="D75" s="79">
        <f t="shared" ca="1" si="35"/>
        <v>0</v>
      </c>
      <c r="E75" s="79">
        <f t="shared" ca="1" si="35"/>
        <v>0</v>
      </c>
      <c r="F75" s="79">
        <f t="shared" ca="1" si="35"/>
        <v>0</v>
      </c>
      <c r="G75" s="79">
        <f t="shared" ca="1" si="35"/>
        <v>0</v>
      </c>
      <c r="H75" s="79" t="str">
        <f t="shared" si="35"/>
        <v/>
      </c>
      <c r="I75" s="79" t="str">
        <f t="shared" si="35"/>
        <v/>
      </c>
      <c r="J75" s="79" t="str">
        <f t="shared" si="35"/>
        <v/>
      </c>
      <c r="K75" s="79" t="str">
        <f t="shared" si="35"/>
        <v/>
      </c>
      <c r="L75" s="79" t="str">
        <f t="shared" si="35"/>
        <v/>
      </c>
      <c r="M75" t="str">
        <f t="shared" si="35"/>
        <v/>
      </c>
      <c r="N75" t="str">
        <f t="shared" si="34"/>
        <v>If non-zero, players need to change amount(s)</v>
      </c>
    </row>
    <row r="76" spans="1:26" x14ac:dyDescent="0.35">
      <c r="A76" s="1" t="str">
        <f>IF(A74="","","   Available Water [maf]")</f>
        <v xml:space="preserve">   Available Water [maf]</v>
      </c>
      <c r="C76" s="14">
        <f t="shared" ref="C76:L76" si="36">IF(OR(C$27="",$A76=""),"",C32+C50-C42-C73)</f>
        <v>1.6239063098110584</v>
      </c>
      <c r="D76" s="14">
        <f t="shared" ca="1" si="36"/>
        <v>1.6154990170870833</v>
      </c>
      <c r="E76" s="14">
        <f t="shared" ca="1" si="36"/>
        <v>1.6030931580856442</v>
      </c>
      <c r="F76" s="14">
        <f ca="1">IF(OR(F$27="",$A76=""),"",F32+F50-F42-F73)</f>
        <v>1.5948061974278396</v>
      </c>
      <c r="G76" s="14">
        <f t="shared" ca="1" si="36"/>
        <v>1.5868974475053219</v>
      </c>
      <c r="H76" s="14" t="str">
        <f t="shared" si="36"/>
        <v/>
      </c>
      <c r="I76" s="14" t="str">
        <f t="shared" si="36"/>
        <v/>
      </c>
      <c r="J76" s="14" t="str">
        <f t="shared" si="36"/>
        <v/>
      </c>
      <c r="K76" s="14" t="str">
        <f t="shared" si="36"/>
        <v/>
      </c>
      <c r="L76" s="14" t="str">
        <f t="shared" si="36"/>
        <v/>
      </c>
      <c r="N76" t="str">
        <f t="shared" si="34"/>
        <v>Available water = Account Balance + Available Inflow - Evaporation + Sales - Purchases</v>
      </c>
    </row>
    <row r="77" spans="1:26" x14ac:dyDescent="0.35">
      <c r="A77" s="1" t="str">
        <f>IF(A76="","","   Account Withdraw [maf]")</f>
        <v xml:space="preserve">   Account Withdraw [maf]</v>
      </c>
      <c r="C77" s="50">
        <f>C46</f>
        <v>1.4583333333333333</v>
      </c>
      <c r="D77" s="50">
        <f t="shared" ref="D77:G77" ca="1" si="37">D46</f>
        <v>1.4583333333333333</v>
      </c>
      <c r="E77" s="50">
        <f t="shared" ca="1" si="37"/>
        <v>1.4543333333333333</v>
      </c>
      <c r="F77" s="50">
        <f t="shared" ca="1" si="37"/>
        <v>1.4543333333333333</v>
      </c>
      <c r="G77" s="50">
        <f t="shared" ca="1" si="37"/>
        <v>1.4543333333333333</v>
      </c>
      <c r="H77" s="43"/>
      <c r="I77" s="43"/>
      <c r="J77" s="43"/>
      <c r="K77" s="43"/>
      <c r="L77" s="43"/>
      <c r="N77" t="str">
        <f t="shared" si="34"/>
        <v>Must be less than Available water</v>
      </c>
    </row>
    <row r="78" spans="1:26" x14ac:dyDescent="0.35">
      <c r="A78" s="32" t="str">
        <f>IF(A77="","","   End of Year Balance [maf]")</f>
        <v xml:space="preserve">   End of Year Balance [maf]</v>
      </c>
      <c r="C78" s="78">
        <f>IF(OR(C$27="",$A78=""),"",C76-C77)</f>
        <v>0.16557297647772518</v>
      </c>
      <c r="D78" s="78">
        <f t="shared" ref="D78:L78" ca="1" si="38">IF(OR(D$27="",$A78=""),"",D76-D77)</f>
        <v>0.15716568375375006</v>
      </c>
      <c r="E78" s="78">
        <f t="shared" ca="1" si="38"/>
        <v>0.14875982475231098</v>
      </c>
      <c r="F78" s="78">
        <f t="shared" ca="1" si="38"/>
        <v>0.14047286409450632</v>
      </c>
      <c r="G78" s="78">
        <f t="shared" ca="1" si="38"/>
        <v>0.13256411417198866</v>
      </c>
      <c r="H78" s="78" t="str">
        <f t="shared" si="38"/>
        <v/>
      </c>
      <c r="I78" s="78" t="str">
        <f t="shared" si="38"/>
        <v/>
      </c>
      <c r="J78" s="78" t="str">
        <f t="shared" si="38"/>
        <v/>
      </c>
      <c r="K78" s="78" t="str">
        <f t="shared" si="38"/>
        <v/>
      </c>
      <c r="L78" s="78" t="str">
        <f t="shared" si="38"/>
        <v/>
      </c>
      <c r="N78" t="str">
        <f t="shared" si="34"/>
        <v>Available water - Account Withdraw</v>
      </c>
    </row>
    <row r="79" spans="1:26" x14ac:dyDescent="0.35">
      <c r="C79"/>
    </row>
    <row r="80" spans="1:26" x14ac:dyDescent="0.35">
      <c r="A80" s="80" t="str">
        <f>IF(A$9="","[Unused]",A9)</f>
        <v>Mohave &amp; Havasu Evap &amp; ET</v>
      </c>
      <c r="B80" s="81"/>
      <c r="C80" s="81"/>
      <c r="D80" s="81"/>
      <c r="E80" s="81"/>
      <c r="F80" s="81"/>
      <c r="G80" s="81"/>
      <c r="H80" s="81"/>
      <c r="I80" s="81"/>
      <c r="J80" s="81"/>
      <c r="K80" s="81"/>
      <c r="L80" s="81"/>
      <c r="M80" s="82" t="s">
        <v>108</v>
      </c>
      <c r="N80" s="80" t="s">
        <v>187</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9">
        <f>SUM(C81:L81)</f>
        <v>0</v>
      </c>
      <c r="N81" t="str">
        <f>IF(A81="","",N73)</f>
        <v>Add if multiple transactions, e.g.: 0.5 + 0.25</v>
      </c>
    </row>
    <row r="82" spans="1:14" x14ac:dyDescent="0.35">
      <c r="A82" s="32" t="str">
        <f>IF(A81="","","   Cash Intake(+) and Payments(-) [$ Mill]")</f>
        <v xml:space="preserve">   Cash Intake(+) and Payments(-) [$ Mill]</v>
      </c>
      <c r="C82" s="77"/>
      <c r="D82" s="77"/>
      <c r="E82" s="77"/>
      <c r="F82" s="77"/>
      <c r="G82" s="77"/>
      <c r="H82" s="77"/>
      <c r="I82" s="77"/>
      <c r="J82" s="77"/>
      <c r="K82" s="77"/>
      <c r="L82" s="77"/>
      <c r="M82" s="76">
        <f>SUM(C82:L82)</f>
        <v>0</v>
      </c>
      <c r="N82" t="str">
        <f t="shared" ref="N82:N86" si="39">IF(A82="","",N74)</f>
        <v>Add if multiple transactions, e.g.: $350*0.5 + $450*0.25</v>
      </c>
    </row>
    <row r="83" spans="1:14" x14ac:dyDescent="0.35">
      <c r="A83" s="32" t="str">
        <f>IF(A82="","","   Volume all players (should be zero)")</f>
        <v xml:space="preserve">   Volume all players (should be zero)</v>
      </c>
      <c r="C83" s="79">
        <f t="shared" ref="C83:M83" ca="1" si="40">IF(OR(C$27="",$A83=""),"",C$112)</f>
        <v>0</v>
      </c>
      <c r="D83" s="79">
        <f t="shared" ca="1" si="40"/>
        <v>0</v>
      </c>
      <c r="E83" s="79">
        <f t="shared" ca="1" si="40"/>
        <v>0</v>
      </c>
      <c r="F83" s="79">
        <f t="shared" ca="1" si="40"/>
        <v>0</v>
      </c>
      <c r="G83" s="79">
        <f t="shared" ca="1" si="40"/>
        <v>0</v>
      </c>
      <c r="H83" s="79" t="str">
        <f t="shared" si="40"/>
        <v/>
      </c>
      <c r="I83" s="79" t="str">
        <f t="shared" si="40"/>
        <v/>
      </c>
      <c r="J83" s="79" t="str">
        <f t="shared" si="40"/>
        <v/>
      </c>
      <c r="K83" s="79" t="str">
        <f t="shared" si="40"/>
        <v/>
      </c>
      <c r="L83" s="79" t="str">
        <f t="shared" si="40"/>
        <v/>
      </c>
      <c r="M83" t="str">
        <f t="shared" si="40"/>
        <v/>
      </c>
      <c r="N83" t="str">
        <f t="shared" si="39"/>
        <v>If non-zero, players need to change amount(s)</v>
      </c>
    </row>
    <row r="84" spans="1:14" x14ac:dyDescent="0.35">
      <c r="A84" s="1" t="str">
        <f>IF(A82="","","   Available Water [maf]")</f>
        <v xml:space="preserve">   Available Water [maf]</v>
      </c>
      <c r="C84" s="14">
        <f t="shared" ref="C84:L84" si="41">IF(OR(C$27="",$A84=""),"",C33+C51-C43-C81)</f>
        <v>0.6</v>
      </c>
      <c r="D84" s="14">
        <f t="shared" ca="1" si="41"/>
        <v>0.6</v>
      </c>
      <c r="E84" s="14">
        <f t="shared" ca="1" si="41"/>
        <v>0.6</v>
      </c>
      <c r="F84" s="14">
        <f t="shared" ca="1" si="41"/>
        <v>0.6</v>
      </c>
      <c r="G84" s="14">
        <f t="shared" ca="1" si="41"/>
        <v>0.6</v>
      </c>
      <c r="H84" s="14" t="str">
        <f t="shared" si="41"/>
        <v/>
      </c>
      <c r="I84" s="14" t="str">
        <f t="shared" si="41"/>
        <v/>
      </c>
      <c r="J84" s="14" t="str">
        <f t="shared" si="41"/>
        <v/>
      </c>
      <c r="K84" s="14" t="str">
        <f t="shared" si="41"/>
        <v/>
      </c>
      <c r="L84" s="14" t="str">
        <f t="shared" si="41"/>
        <v/>
      </c>
      <c r="N84" t="str">
        <f t="shared" si="39"/>
        <v>Available water = Account Balance + Available Inflow - Evaporation + Sales - Purchases</v>
      </c>
    </row>
    <row r="85" spans="1:14" x14ac:dyDescent="0.35">
      <c r="A85" s="1" t="str">
        <f>IF(A84="","","   Account Withdraw [maf]")</f>
        <v xml:space="preserve">   Account Withdraw [maf]</v>
      </c>
      <c r="C85" s="43">
        <f>C84</f>
        <v>0.6</v>
      </c>
      <c r="D85" s="43">
        <f t="shared" ref="D85:G85" ca="1" si="42">D84</f>
        <v>0.6</v>
      </c>
      <c r="E85" s="43">
        <f t="shared" ca="1" si="42"/>
        <v>0.6</v>
      </c>
      <c r="F85" s="43">
        <f t="shared" ca="1" si="42"/>
        <v>0.6</v>
      </c>
      <c r="G85" s="43">
        <f t="shared" ca="1" si="42"/>
        <v>0.6</v>
      </c>
      <c r="H85" s="43"/>
      <c r="I85" s="43"/>
      <c r="J85" s="43"/>
      <c r="K85" s="43"/>
      <c r="L85" s="43"/>
      <c r="N85" t="str">
        <f t="shared" si="39"/>
        <v>Must be less than Available water</v>
      </c>
    </row>
    <row r="86" spans="1:14" x14ac:dyDescent="0.35">
      <c r="A86" s="32" t="str">
        <f>IF(A85="","","   End of Year Balance [maf]")</f>
        <v xml:space="preserve">   End of Year Balance [maf]</v>
      </c>
      <c r="C86" s="78">
        <f>IF(OR(C$27="",$A86=""),"",C84-C85)</f>
        <v>0</v>
      </c>
      <c r="D86" s="78">
        <f t="shared" ref="D86:L86" ca="1" si="43">IF(OR(D$27="",$A86=""),"",D84-D85)</f>
        <v>0</v>
      </c>
      <c r="E86" s="78">
        <f t="shared" ca="1" si="43"/>
        <v>0</v>
      </c>
      <c r="F86" s="78">
        <f t="shared" ca="1" si="43"/>
        <v>0</v>
      </c>
      <c r="G86" s="78">
        <f t="shared" ca="1" si="43"/>
        <v>0</v>
      </c>
      <c r="H86" s="78" t="str">
        <f t="shared" si="43"/>
        <v/>
      </c>
      <c r="I86" s="78" t="str">
        <f t="shared" si="43"/>
        <v/>
      </c>
      <c r="J86" s="78" t="str">
        <f t="shared" si="43"/>
        <v/>
      </c>
      <c r="K86" s="78" t="str">
        <f t="shared" si="43"/>
        <v/>
      </c>
      <c r="L86" s="78" t="str">
        <f t="shared" si="43"/>
        <v/>
      </c>
      <c r="N86" t="str">
        <f t="shared" si="39"/>
        <v>Available water - Account Withdraw</v>
      </c>
    </row>
    <row r="87" spans="1:14" x14ac:dyDescent="0.35">
      <c r="C87"/>
    </row>
    <row r="88" spans="1:14" x14ac:dyDescent="0.35">
      <c r="A88" s="80" t="str">
        <f>IF(A$10="","[Unused]",A10)</f>
        <v>Shared, Reserve</v>
      </c>
      <c r="B88" s="81"/>
      <c r="C88" s="81"/>
      <c r="D88" s="81"/>
      <c r="E88" s="81"/>
      <c r="F88" s="81"/>
      <c r="G88" s="81"/>
      <c r="H88" s="81"/>
      <c r="I88" s="81"/>
      <c r="J88" s="81"/>
      <c r="K88" s="81"/>
      <c r="L88" s="81"/>
      <c r="M88" s="82" t="s">
        <v>108</v>
      </c>
      <c r="N88" s="80" t="s">
        <v>187</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9">
        <f>SUM(C89:L89)</f>
        <v>0</v>
      </c>
      <c r="N89" t="str">
        <f>IF(A89="","",N81)</f>
        <v>Add if multiple transactions, e.g.: 0.5 + 0.25</v>
      </c>
    </row>
    <row r="90" spans="1:14" x14ac:dyDescent="0.35">
      <c r="A90" s="32" t="str">
        <f>IF(A89="","","   Cash Intake(+) and Payments(-) [$ Mill]")</f>
        <v xml:space="preserve">   Cash Intake(+) and Payments(-) [$ Mill]</v>
      </c>
      <c r="C90" s="77"/>
      <c r="D90" s="77"/>
      <c r="E90" s="77"/>
      <c r="F90" s="77"/>
      <c r="G90" s="77"/>
      <c r="H90" s="77"/>
      <c r="I90" s="77"/>
      <c r="J90" s="77"/>
      <c r="K90" s="77"/>
      <c r="L90" s="77"/>
      <c r="M90" s="76">
        <f>SUM(C90:L90)</f>
        <v>0</v>
      </c>
      <c r="N90" t="str">
        <f t="shared" ref="N90:N94" si="44">IF(A90="","",N82)</f>
        <v>Add if multiple transactions, e.g.: $350*0.5 + $450*0.25</v>
      </c>
    </row>
    <row r="91" spans="1:14" x14ac:dyDescent="0.35">
      <c r="A91" s="32" t="str">
        <f>IF(A90="","","   Volume all players (should be zero)")</f>
        <v xml:space="preserve">   Volume all players (should be zero)</v>
      </c>
      <c r="C91" s="79">
        <f t="shared" ref="C91:M91" ca="1" si="45">IF(OR(C$27="",$A91=""),"",C$112)</f>
        <v>0</v>
      </c>
      <c r="D91" s="79">
        <f t="shared" ca="1" si="45"/>
        <v>0</v>
      </c>
      <c r="E91" s="79">
        <f t="shared" ca="1" si="45"/>
        <v>0</v>
      </c>
      <c r="F91" s="79">
        <f t="shared" ca="1" si="45"/>
        <v>0</v>
      </c>
      <c r="G91" s="79">
        <f t="shared" ca="1" si="45"/>
        <v>0</v>
      </c>
      <c r="H91" s="79" t="str">
        <f t="shared" si="45"/>
        <v/>
      </c>
      <c r="I91" s="79" t="str">
        <f t="shared" si="45"/>
        <v/>
      </c>
      <c r="J91" s="79" t="str">
        <f t="shared" si="45"/>
        <v/>
      </c>
      <c r="K91" s="79" t="str">
        <f t="shared" si="45"/>
        <v/>
      </c>
      <c r="L91" s="79" t="str">
        <f t="shared" si="45"/>
        <v/>
      </c>
      <c r="M91" t="str">
        <f t="shared" si="45"/>
        <v/>
      </c>
      <c r="N91" t="str">
        <f t="shared" si="44"/>
        <v>If non-zero, players need to change amount(s)</v>
      </c>
    </row>
    <row r="92" spans="1:14" x14ac:dyDescent="0.35">
      <c r="A92" s="1" t="str">
        <f>IF(A90="","","   Available Water [maf]")</f>
        <v xml:space="preserve">   Available Water [maf]</v>
      </c>
      <c r="C92" s="14">
        <f t="shared" ref="C92:L92" si="46">IF(OR(C$27="",$A92=""),"",C34+C52-C44-C89)</f>
        <v>11.59116925</v>
      </c>
      <c r="D92" s="14">
        <f t="shared" ca="1" si="46"/>
        <v>11.59116925</v>
      </c>
      <c r="E92" s="14">
        <f t="shared" ca="1" si="46"/>
        <v>11.59116925</v>
      </c>
      <c r="F92" s="14">
        <f t="shared" ca="1" si="46"/>
        <v>11.59116925</v>
      </c>
      <c r="G92" s="14">
        <f t="shared" ca="1" si="46"/>
        <v>11.59116925</v>
      </c>
      <c r="H92" s="14" t="str">
        <f t="shared" si="46"/>
        <v/>
      </c>
      <c r="I92" s="14" t="str">
        <f t="shared" si="46"/>
        <v/>
      </c>
      <c r="J92" s="14" t="str">
        <f t="shared" si="46"/>
        <v/>
      </c>
      <c r="K92" s="14" t="str">
        <f t="shared" si="46"/>
        <v/>
      </c>
      <c r="L92" s="14" t="str">
        <f t="shared" si="46"/>
        <v/>
      </c>
      <c r="N92" t="str">
        <f t="shared" si="44"/>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44"/>
        <v>Must be less than Available water</v>
      </c>
    </row>
    <row r="94" spans="1:14" x14ac:dyDescent="0.35">
      <c r="A94" s="32" t="str">
        <f>IF(A93="","","   End of Year Balance [maf]")</f>
        <v xml:space="preserve">   End of Year Balance [maf]</v>
      </c>
      <c r="C94" s="78">
        <f>IF(OR(C$27="",$A94=""),"",C92-C93)</f>
        <v>11.59116925</v>
      </c>
      <c r="D94" s="78">
        <f t="shared" ref="D94:L94" ca="1" si="47">IF(OR(D$27="",$A94=""),"",D92-D93)</f>
        <v>11.59116925</v>
      </c>
      <c r="E94" s="78">
        <f t="shared" ca="1" si="47"/>
        <v>11.59116925</v>
      </c>
      <c r="F94" s="78">
        <f t="shared" ca="1" si="47"/>
        <v>11.59116925</v>
      </c>
      <c r="G94" s="78">
        <f t="shared" ca="1" si="47"/>
        <v>11.59116925</v>
      </c>
      <c r="H94" s="78" t="str">
        <f t="shared" si="47"/>
        <v/>
      </c>
      <c r="I94" s="78" t="str">
        <f t="shared" si="47"/>
        <v/>
      </c>
      <c r="J94" s="78" t="str">
        <f t="shared" si="47"/>
        <v/>
      </c>
      <c r="K94" s="78" t="str">
        <f t="shared" si="47"/>
        <v/>
      </c>
      <c r="L94" s="78" t="str">
        <f t="shared" si="47"/>
        <v/>
      </c>
      <c r="N94" t="str">
        <f t="shared" si="44"/>
        <v>Available water - Account Withdraw</v>
      </c>
    </row>
    <row r="95" spans="1:14" x14ac:dyDescent="0.35">
      <c r="C95"/>
    </row>
    <row r="96" spans="1:14" x14ac:dyDescent="0.35">
      <c r="A96" s="80" t="str">
        <f>IF(A$11="","[Unused]",A11)</f>
        <v>[Unused]</v>
      </c>
      <c r="B96" s="81"/>
      <c r="C96" s="81"/>
      <c r="D96" s="81"/>
      <c r="E96" s="81"/>
      <c r="F96" s="81"/>
      <c r="G96" s="81"/>
      <c r="H96" s="81"/>
      <c r="I96" s="81"/>
      <c r="J96" s="81"/>
      <c r="K96" s="81"/>
      <c r="L96" s="81"/>
      <c r="M96" s="82" t="s">
        <v>108</v>
      </c>
      <c r="N96" s="80" t="s">
        <v>187</v>
      </c>
    </row>
    <row r="97" spans="1:14" x14ac:dyDescent="0.35">
      <c r="A97" s="32" t="str">
        <f>IF(A96="[Unused]","","   Volume of Sales(+) and Purchases(-) [maf]")</f>
        <v/>
      </c>
      <c r="C97" s="25"/>
      <c r="D97" s="25"/>
      <c r="E97" s="25"/>
      <c r="F97" s="25"/>
      <c r="G97" s="25"/>
      <c r="H97" s="25"/>
      <c r="I97" s="25"/>
      <c r="J97" s="25"/>
      <c r="K97" s="25"/>
      <c r="L97" s="25"/>
      <c r="M97" s="79">
        <f>SUM(C97:L97)</f>
        <v>0</v>
      </c>
      <c r="N97" t="str">
        <f>IF(A97="","",N89)</f>
        <v/>
      </c>
    </row>
    <row r="98" spans="1:14" x14ac:dyDescent="0.35">
      <c r="A98" s="32" t="str">
        <f>IF(A97="","","   Cash Intake(+) and Payments(-) [$ Mill]")</f>
        <v/>
      </c>
      <c r="C98" s="77"/>
      <c r="D98" s="77"/>
      <c r="E98" s="77"/>
      <c r="F98" s="77"/>
      <c r="G98" s="77"/>
      <c r="H98" s="77"/>
      <c r="I98" s="77"/>
      <c r="J98" s="77"/>
      <c r="K98" s="77"/>
      <c r="L98" s="77"/>
      <c r="M98" s="76">
        <f>SUM(C98:L98)</f>
        <v>0</v>
      </c>
      <c r="N98" t="str">
        <f t="shared" ref="N98:N102" si="48">IF(A98="","",N90)</f>
        <v/>
      </c>
    </row>
    <row r="99" spans="1:14" x14ac:dyDescent="0.35">
      <c r="A99" s="32" t="str">
        <f>IF(A98="","","   Volume all players (should be zero)")</f>
        <v/>
      </c>
      <c r="C99" s="79" t="str">
        <f t="shared" ref="C99:M99" si="49">IF(OR(C$27="",$A99=""),"",C$112)</f>
        <v/>
      </c>
      <c r="D99" s="79" t="str">
        <f t="shared" si="49"/>
        <v/>
      </c>
      <c r="E99" s="79" t="str">
        <f t="shared" si="49"/>
        <v/>
      </c>
      <c r="F99" s="79" t="str">
        <f t="shared" si="49"/>
        <v/>
      </c>
      <c r="G99" s="79" t="str">
        <f t="shared" si="49"/>
        <v/>
      </c>
      <c r="H99" s="79" t="str">
        <f t="shared" si="49"/>
        <v/>
      </c>
      <c r="I99" s="79" t="str">
        <f t="shared" si="49"/>
        <v/>
      </c>
      <c r="J99" s="79" t="str">
        <f t="shared" si="49"/>
        <v/>
      </c>
      <c r="K99" s="79" t="str">
        <f t="shared" si="49"/>
        <v/>
      </c>
      <c r="L99" s="79" t="str">
        <f t="shared" si="49"/>
        <v/>
      </c>
      <c r="M99" t="str">
        <f t="shared" si="49"/>
        <v/>
      </c>
      <c r="N99" t="str">
        <f t="shared" si="48"/>
        <v/>
      </c>
    </row>
    <row r="100" spans="1:14" x14ac:dyDescent="0.35">
      <c r="A100" s="1" t="str">
        <f>IF(A98="","","   Available Water [maf]")</f>
        <v/>
      </c>
      <c r="C100" s="14" t="str">
        <f t="shared" ref="C100:L100" si="50">IF(OR(C$27="",$A100=""),"",C35+C53-C45-C97)</f>
        <v/>
      </c>
      <c r="D100" s="14" t="str">
        <f t="shared" si="50"/>
        <v/>
      </c>
      <c r="E100" s="14" t="str">
        <f t="shared" si="50"/>
        <v/>
      </c>
      <c r="F100" s="14" t="str">
        <f t="shared" si="50"/>
        <v/>
      </c>
      <c r="G100" s="14" t="str">
        <f t="shared" si="50"/>
        <v/>
      </c>
      <c r="H100" s="14" t="str">
        <f t="shared" si="50"/>
        <v/>
      </c>
      <c r="I100" s="14" t="str">
        <f t="shared" si="50"/>
        <v/>
      </c>
      <c r="J100" s="14" t="str">
        <f t="shared" si="50"/>
        <v/>
      </c>
      <c r="K100" s="14" t="str">
        <f t="shared" si="50"/>
        <v/>
      </c>
      <c r="L100" s="14" t="str">
        <f t="shared" si="50"/>
        <v/>
      </c>
      <c r="N100" t="str">
        <f t="shared" si="48"/>
        <v/>
      </c>
    </row>
    <row r="101" spans="1:14" x14ac:dyDescent="0.35">
      <c r="A101" s="1" t="str">
        <f>IF(A100="","","   Account Withdraw [maf]")</f>
        <v/>
      </c>
      <c r="C101" s="43"/>
      <c r="D101" s="43"/>
      <c r="E101" s="43"/>
      <c r="F101" s="43"/>
      <c r="G101" s="43"/>
      <c r="H101" s="43"/>
      <c r="I101" s="43"/>
      <c r="J101" s="43"/>
      <c r="K101" s="43"/>
      <c r="L101" s="43"/>
      <c r="N101" t="str">
        <f t="shared" si="48"/>
        <v/>
      </c>
    </row>
    <row r="102" spans="1:14" x14ac:dyDescent="0.35">
      <c r="A102" s="32" t="str">
        <f>IF(A101="","","   End of Year Balance [maf]")</f>
        <v/>
      </c>
      <c r="C102" s="78" t="str">
        <f>IF(OR(C$27="",$A102=""),"",C100-C101)</f>
        <v/>
      </c>
      <c r="D102" s="78" t="str">
        <f t="shared" ref="D102:L102" si="51">IF(OR(D$27="",$A102=""),"",D100-D101)</f>
        <v/>
      </c>
      <c r="E102" s="78" t="str">
        <f t="shared" si="51"/>
        <v/>
      </c>
      <c r="F102" s="78" t="str">
        <f t="shared" si="51"/>
        <v/>
      </c>
      <c r="G102" s="78" t="str">
        <f t="shared" si="51"/>
        <v/>
      </c>
      <c r="H102" s="78" t="str">
        <f t="shared" si="51"/>
        <v/>
      </c>
      <c r="I102" s="78" t="str">
        <f t="shared" si="51"/>
        <v/>
      </c>
      <c r="J102" s="78" t="str">
        <f t="shared" si="51"/>
        <v/>
      </c>
      <c r="K102" s="78" t="str">
        <f t="shared" si="51"/>
        <v/>
      </c>
      <c r="L102" s="78" t="str">
        <f t="shared" si="51"/>
        <v/>
      </c>
      <c r="N102" t="str">
        <f t="shared" si="48"/>
        <v/>
      </c>
    </row>
    <row r="103" spans="1:14" x14ac:dyDescent="0.35">
      <c r="C103"/>
    </row>
    <row r="104" spans="1:14" x14ac:dyDescent="0.35">
      <c r="A104" s="83" t="s">
        <v>198</v>
      </c>
      <c r="B104" s="84"/>
      <c r="C104" s="84"/>
      <c r="D104" s="84"/>
      <c r="E104" s="84"/>
      <c r="F104" s="84"/>
      <c r="G104" s="84"/>
      <c r="H104" s="84"/>
      <c r="I104" s="84"/>
      <c r="J104" s="84"/>
      <c r="K104" s="84"/>
      <c r="L104" s="84"/>
      <c r="M104" s="84"/>
      <c r="N104" s="84"/>
    </row>
    <row r="105" spans="1:14" x14ac:dyDescent="0.35">
      <c r="A105" s="1" t="s">
        <v>159</v>
      </c>
      <c r="C105"/>
      <c r="M105" t="s">
        <v>197</v>
      </c>
      <c r="N105" t="s">
        <v>160</v>
      </c>
    </row>
    <row r="106" spans="1:14" x14ac:dyDescent="0.35">
      <c r="A106" t="str">
        <f t="shared" ref="A106:A111" si="52">IF(A6="","","    "&amp;A6)</f>
        <v xml:space="preserve">    Upper Basin</v>
      </c>
      <c r="B106" s="1"/>
      <c r="C106" s="79">
        <f t="shared" ref="C106:L111" ca="1" si="53">IF(OR(C$27="",$A106=""),"",OFFSET(C$57,8*(ROW(B106)-ROW(B$106)),0))</f>
        <v>0</v>
      </c>
      <c r="D106" s="79">
        <f t="shared" ca="1" si="53"/>
        <v>0</v>
      </c>
      <c r="E106" s="79">
        <f t="shared" ca="1" si="53"/>
        <v>0</v>
      </c>
      <c r="F106" s="79">
        <f t="shared" ca="1" si="53"/>
        <v>0</v>
      </c>
      <c r="G106" s="79">
        <f t="shared" ca="1" si="53"/>
        <v>0</v>
      </c>
      <c r="H106" s="79" t="str">
        <f t="shared" ca="1" si="53"/>
        <v/>
      </c>
      <c r="I106" s="79" t="str">
        <f t="shared" ca="1" si="53"/>
        <v/>
      </c>
      <c r="J106" s="79" t="str">
        <f t="shared" ca="1" si="53"/>
        <v/>
      </c>
      <c r="K106" s="79" t="str">
        <f t="shared" ca="1" si="53"/>
        <v/>
      </c>
      <c r="L106" s="79" t="str">
        <f t="shared" ca="1" si="53"/>
        <v/>
      </c>
      <c r="M106" s="79">
        <f ca="1">IF(OR($A106=""),"",SUM(C106:L106))</f>
        <v>0</v>
      </c>
      <c r="N106" s="76">
        <f>IF(OR($A106=""),"",M58)</f>
        <v>0</v>
      </c>
    </row>
    <row r="107" spans="1:14" x14ac:dyDescent="0.35">
      <c r="A107" t="str">
        <f t="shared" si="52"/>
        <v xml:space="preserve">    Lower Basin</v>
      </c>
      <c r="B107" s="1"/>
      <c r="C107" s="79">
        <f t="shared" ca="1" si="53"/>
        <v>0</v>
      </c>
      <c r="D107" s="79">
        <f t="shared" ca="1" si="53"/>
        <v>0</v>
      </c>
      <c r="E107" s="79">
        <f t="shared" ca="1" si="53"/>
        <v>0</v>
      </c>
      <c r="F107" s="79">
        <f t="shared" ca="1" si="53"/>
        <v>0</v>
      </c>
      <c r="G107" s="79">
        <f t="shared" ca="1" si="53"/>
        <v>0</v>
      </c>
      <c r="H107" s="79" t="str">
        <f t="shared" ca="1" si="53"/>
        <v/>
      </c>
      <c r="I107" s="79" t="str">
        <f t="shared" ca="1" si="53"/>
        <v/>
      </c>
      <c r="J107" s="79" t="str">
        <f t="shared" ca="1" si="53"/>
        <v/>
      </c>
      <c r="K107" s="79" t="str">
        <f t="shared" ca="1" si="53"/>
        <v/>
      </c>
      <c r="L107" s="79" t="str">
        <f t="shared" ca="1" si="53"/>
        <v/>
      </c>
      <c r="M107" s="79">
        <f t="shared" ref="M107:M111" ca="1" si="54">IF(OR($A107=""),"",SUM(C107:L107))</f>
        <v>0</v>
      </c>
      <c r="N107" s="76">
        <f>IF(OR($A107=""),"",M66)</f>
        <v>0</v>
      </c>
    </row>
    <row r="108" spans="1:14" x14ac:dyDescent="0.35">
      <c r="A108" t="str">
        <f t="shared" si="52"/>
        <v xml:space="preserve">    Mexico</v>
      </c>
      <c r="B108" s="1"/>
      <c r="C108" s="79">
        <f t="shared" ca="1" si="53"/>
        <v>0</v>
      </c>
      <c r="D108" s="79">
        <f t="shared" ca="1" si="53"/>
        <v>0</v>
      </c>
      <c r="E108" s="79">
        <f t="shared" ca="1" si="53"/>
        <v>0</v>
      </c>
      <c r="F108" s="79">
        <f t="shared" ca="1" si="53"/>
        <v>0</v>
      </c>
      <c r="G108" s="79">
        <f t="shared" ca="1" si="53"/>
        <v>0</v>
      </c>
      <c r="H108" s="79" t="str">
        <f t="shared" ca="1" si="53"/>
        <v/>
      </c>
      <c r="I108" s="79" t="str">
        <f t="shared" ca="1" si="53"/>
        <v/>
      </c>
      <c r="J108" s="79" t="str">
        <f t="shared" ca="1" si="53"/>
        <v/>
      </c>
      <c r="K108" s="79" t="str">
        <f t="shared" ca="1" si="53"/>
        <v/>
      </c>
      <c r="L108" s="79" t="str">
        <f t="shared" ca="1" si="53"/>
        <v/>
      </c>
      <c r="M108" s="79">
        <f t="shared" ca="1" si="54"/>
        <v>0</v>
      </c>
      <c r="N108" s="76">
        <f>IF(OR($A108=""),"",M74)</f>
        <v>0</v>
      </c>
    </row>
    <row r="109" spans="1:14" x14ac:dyDescent="0.35">
      <c r="A109" t="str">
        <f t="shared" si="52"/>
        <v xml:space="preserve">    Mohave &amp; Havasu Evap &amp; ET</v>
      </c>
      <c r="B109" s="1"/>
      <c r="C109" s="79">
        <f t="shared" ca="1" si="53"/>
        <v>0</v>
      </c>
      <c r="D109" s="79">
        <f t="shared" ca="1" si="53"/>
        <v>0</v>
      </c>
      <c r="E109" s="79">
        <f t="shared" ca="1" si="53"/>
        <v>0</v>
      </c>
      <c r="F109" s="79">
        <f t="shared" ca="1" si="53"/>
        <v>0</v>
      </c>
      <c r="G109" s="79">
        <f t="shared" ca="1" si="53"/>
        <v>0</v>
      </c>
      <c r="H109" s="79" t="str">
        <f t="shared" ca="1" si="53"/>
        <v/>
      </c>
      <c r="I109" s="79" t="str">
        <f t="shared" ca="1" si="53"/>
        <v/>
      </c>
      <c r="J109" s="79" t="str">
        <f t="shared" ca="1" si="53"/>
        <v/>
      </c>
      <c r="K109" s="79" t="str">
        <f t="shared" ca="1" si="53"/>
        <v/>
      </c>
      <c r="L109" s="79" t="str">
        <f t="shared" ca="1" si="53"/>
        <v/>
      </c>
      <c r="M109" s="79">
        <f t="shared" ca="1" si="54"/>
        <v>0</v>
      </c>
      <c r="N109" s="76">
        <f>IF(OR($A109=""),"",M82)</f>
        <v>0</v>
      </c>
    </row>
    <row r="110" spans="1:14" x14ac:dyDescent="0.35">
      <c r="A110" t="str">
        <f t="shared" si="52"/>
        <v xml:space="preserve">    Shared, Reserve</v>
      </c>
      <c r="B110" s="1"/>
      <c r="C110" s="79">
        <f t="shared" ca="1" si="53"/>
        <v>0</v>
      </c>
      <c r="D110" s="79">
        <f t="shared" ca="1" si="53"/>
        <v>0</v>
      </c>
      <c r="E110" s="79">
        <f t="shared" ca="1" si="53"/>
        <v>0</v>
      </c>
      <c r="F110" s="79">
        <f t="shared" ca="1" si="53"/>
        <v>0</v>
      </c>
      <c r="G110" s="79">
        <f t="shared" ca="1" si="53"/>
        <v>0</v>
      </c>
      <c r="H110" s="79" t="str">
        <f t="shared" ca="1" si="53"/>
        <v/>
      </c>
      <c r="I110" s="79" t="str">
        <f t="shared" ca="1" si="53"/>
        <v/>
      </c>
      <c r="J110" s="79" t="str">
        <f t="shared" ca="1" si="53"/>
        <v/>
      </c>
      <c r="K110" s="79" t="str">
        <f t="shared" ca="1" si="53"/>
        <v/>
      </c>
      <c r="L110" s="79" t="str">
        <f t="shared" ca="1" si="53"/>
        <v/>
      </c>
      <c r="M110" s="79">
        <f t="shared" ca="1" si="54"/>
        <v>0</v>
      </c>
      <c r="N110" s="76">
        <f>IF(OR($A110=""),"",M90)</f>
        <v>0</v>
      </c>
    </row>
    <row r="111" spans="1:14" x14ac:dyDescent="0.35">
      <c r="A111" t="str">
        <f t="shared" si="52"/>
        <v/>
      </c>
      <c r="B111" s="1"/>
      <c r="C111" s="79" t="str">
        <f t="shared" ca="1" si="53"/>
        <v/>
      </c>
      <c r="D111" s="79" t="str">
        <f t="shared" ca="1" si="53"/>
        <v/>
      </c>
      <c r="E111" s="79" t="str">
        <f t="shared" ca="1" si="53"/>
        <v/>
      </c>
      <c r="F111" s="79" t="str">
        <f t="shared" ca="1" si="53"/>
        <v/>
      </c>
      <c r="G111" s="79" t="str">
        <f t="shared" ca="1" si="53"/>
        <v/>
      </c>
      <c r="H111" s="79" t="str">
        <f t="shared" ca="1" si="53"/>
        <v/>
      </c>
      <c r="I111" s="79" t="str">
        <f t="shared" ca="1" si="53"/>
        <v/>
      </c>
      <c r="J111" s="79" t="str">
        <f t="shared" ca="1" si="53"/>
        <v/>
      </c>
      <c r="K111" s="79" t="str">
        <f t="shared" ca="1" si="53"/>
        <v/>
      </c>
      <c r="L111" s="79" t="str">
        <f t="shared" ca="1" si="53"/>
        <v/>
      </c>
      <c r="M111" s="79" t="str">
        <f t="shared" si="54"/>
        <v/>
      </c>
      <c r="N111" s="76" t="str">
        <f>IF(OR($A111=""),"",M98)</f>
        <v/>
      </c>
    </row>
    <row r="112" spans="1:14" x14ac:dyDescent="0.35">
      <c r="A112" t="s">
        <v>154</v>
      </c>
      <c r="B112" s="1"/>
      <c r="C112" s="53">
        <f ca="1">IF(C$27&lt;&gt;"",SUM(C106:C111),"")</f>
        <v>0</v>
      </c>
      <c r="D112" s="53">
        <f t="shared" ref="D112:L112" ca="1" si="55">IF(D$27&lt;&gt;"",SUM(D106:D111),"")</f>
        <v>0</v>
      </c>
      <c r="E112" s="53">
        <f t="shared" ca="1" si="55"/>
        <v>0</v>
      </c>
      <c r="F112" s="53">
        <f t="shared" ca="1" si="55"/>
        <v>0</v>
      </c>
      <c r="G112" s="53">
        <f t="shared" ca="1" si="55"/>
        <v>0</v>
      </c>
      <c r="H112" s="53" t="str">
        <f t="shared" si="55"/>
        <v/>
      </c>
      <c r="I112" s="53" t="str">
        <f t="shared" si="55"/>
        <v/>
      </c>
      <c r="J112" s="53" t="str">
        <f t="shared" si="55"/>
        <v/>
      </c>
      <c r="K112" s="53" t="str">
        <f t="shared" si="55"/>
        <v/>
      </c>
      <c r="L112" s="53" t="str">
        <f t="shared" si="55"/>
        <v/>
      </c>
      <c r="M112" s="34"/>
    </row>
    <row r="113" spans="1:12" x14ac:dyDescent="0.35">
      <c r="A113" s="1" t="s">
        <v>135</v>
      </c>
      <c r="B113" s="1"/>
      <c r="C113" s="61"/>
      <c r="D113" s="2"/>
      <c r="E113" s="61"/>
      <c r="F113" s="2"/>
      <c r="G113" s="2"/>
      <c r="H113" s="2"/>
      <c r="I113" s="2"/>
      <c r="J113" s="2"/>
      <c r="K113" s="2"/>
      <c r="L113" s="2"/>
    </row>
    <row r="114" spans="1:12" x14ac:dyDescent="0.35">
      <c r="A114" t="str">
        <f>IF(A6="","","    "&amp;A6&amp;" - Consumptive Use and Headwaters Losses")</f>
        <v xml:space="preserve">    Upper Basin - Consumptive Use and Headwaters Losses</v>
      </c>
      <c r="C114" s="79">
        <f t="shared" ref="C114:L119" ca="1" si="56">IF(OR(C$27="",$A114=""),"",OFFSET(C$61,8*(ROW(B114)-ROW(B$114)),0))</f>
        <v>4.2</v>
      </c>
      <c r="D114" s="79">
        <f t="shared" ca="1" si="56"/>
        <v>4.2</v>
      </c>
      <c r="E114" s="79">
        <f t="shared" ca="1" si="56"/>
        <v>3.632844677545803</v>
      </c>
      <c r="F114" s="79">
        <f t="shared" ca="1" si="56"/>
        <v>2.4499788135977756</v>
      </c>
      <c r="G114" s="79">
        <f t="shared" ca="1" si="56"/>
        <v>2.4465366514127904</v>
      </c>
      <c r="H114" s="79" t="str">
        <f t="shared" ca="1" si="56"/>
        <v/>
      </c>
      <c r="I114" s="79" t="str">
        <f t="shared" ca="1" si="56"/>
        <v/>
      </c>
      <c r="J114" s="79" t="str">
        <f t="shared" ca="1" si="56"/>
        <v/>
      </c>
      <c r="K114" s="79" t="str">
        <f t="shared" ca="1" si="56"/>
        <v/>
      </c>
      <c r="L114" s="79" t="str">
        <f t="shared" ca="1" si="56"/>
        <v/>
      </c>
    </row>
    <row r="115" spans="1:12" x14ac:dyDescent="0.35">
      <c r="A115" t="str">
        <f>IF(A7="","","    "&amp;A7&amp;" - Release from Mead")</f>
        <v xml:space="preserve">    Lower Basin - Release from Mead</v>
      </c>
      <c r="C115" s="79">
        <f t="shared" ca="1" si="56"/>
        <v>6.867</v>
      </c>
      <c r="D115" s="79">
        <f t="shared" ca="1" si="56"/>
        <v>6.867</v>
      </c>
      <c r="E115" s="79">
        <f t="shared" ca="1" si="56"/>
        <v>6.7830000000000004</v>
      </c>
      <c r="F115" s="79">
        <f t="shared" ca="1" si="56"/>
        <v>6.7830000000000004</v>
      </c>
      <c r="G115" s="79">
        <f t="shared" ca="1" si="56"/>
        <v>6.7830000000000004</v>
      </c>
      <c r="H115" s="79" t="str">
        <f t="shared" ca="1" si="56"/>
        <v/>
      </c>
      <c r="I115" s="79" t="str">
        <f t="shared" ca="1" si="56"/>
        <v/>
      </c>
      <c r="J115" s="79" t="str">
        <f t="shared" ca="1" si="56"/>
        <v/>
      </c>
      <c r="K115" s="79" t="str">
        <f t="shared" ca="1" si="56"/>
        <v/>
      </c>
      <c r="L115" s="79" t="str">
        <f t="shared" ca="1" si="56"/>
        <v/>
      </c>
    </row>
    <row r="116" spans="1:12" x14ac:dyDescent="0.35">
      <c r="A116" t="str">
        <f>IF(A8="","","    "&amp;A8&amp;" - Release from Mead")</f>
        <v xml:space="preserve">    Mexico - Release from Mead</v>
      </c>
      <c r="C116" s="79">
        <f t="shared" ca="1" si="56"/>
        <v>1.4583333333333333</v>
      </c>
      <c r="D116" s="79">
        <f t="shared" ca="1" si="56"/>
        <v>1.4583333333333333</v>
      </c>
      <c r="E116" s="79">
        <f t="shared" ca="1" si="56"/>
        <v>1.4543333333333333</v>
      </c>
      <c r="F116" s="79">
        <f t="shared" ca="1" si="56"/>
        <v>1.4543333333333333</v>
      </c>
      <c r="G116" s="79">
        <f t="shared" ca="1" si="56"/>
        <v>1.4543333333333333</v>
      </c>
      <c r="H116" s="79" t="str">
        <f t="shared" ca="1" si="56"/>
        <v/>
      </c>
      <c r="I116" s="79" t="str">
        <f t="shared" ca="1" si="56"/>
        <v/>
      </c>
      <c r="J116" s="79" t="str">
        <f t="shared" ca="1" si="56"/>
        <v/>
      </c>
      <c r="K116" s="79" t="str">
        <f t="shared" ca="1" si="56"/>
        <v/>
      </c>
      <c r="L116" s="79" t="str">
        <f t="shared" ca="1" si="56"/>
        <v/>
      </c>
    </row>
    <row r="117" spans="1:12" x14ac:dyDescent="0.35">
      <c r="A117" t="str">
        <f>IF(A9="","","    "&amp;A9&amp;" - Release from Mead")</f>
        <v xml:space="preserve">    Mohave &amp; Havasu Evap &amp; ET - Release from Mead</v>
      </c>
      <c r="C117" s="79">
        <f t="shared" ca="1" si="56"/>
        <v>0.6</v>
      </c>
      <c r="D117" s="79">
        <f t="shared" ca="1" si="56"/>
        <v>0.6</v>
      </c>
      <c r="E117" s="79">
        <f t="shared" ca="1" si="56"/>
        <v>0.6</v>
      </c>
      <c r="F117" s="79">
        <f t="shared" ca="1" si="56"/>
        <v>0.6</v>
      </c>
      <c r="G117" s="79">
        <f t="shared" ca="1" si="56"/>
        <v>0.6</v>
      </c>
      <c r="H117" s="79" t="str">
        <f t="shared" ca="1" si="56"/>
        <v/>
      </c>
      <c r="I117" s="79" t="str">
        <f t="shared" ca="1" si="56"/>
        <v/>
      </c>
      <c r="J117" s="79" t="str">
        <f t="shared" ca="1" si="56"/>
        <v/>
      </c>
      <c r="K117" s="79" t="str">
        <f t="shared" ca="1" si="56"/>
        <v/>
      </c>
      <c r="L117" s="79" t="str">
        <f t="shared" ca="1" si="56"/>
        <v/>
      </c>
    </row>
    <row r="118" spans="1:12" x14ac:dyDescent="0.35">
      <c r="A118" t="str">
        <f>IF(A10="","","    "&amp;A10&amp;" - Release from Mead")</f>
        <v xml:space="preserve">    Shared, Reserve - Release from Mead</v>
      </c>
      <c r="C118" s="79">
        <f t="shared" ca="1" si="56"/>
        <v>0</v>
      </c>
      <c r="D118" s="79">
        <f t="shared" ca="1" si="56"/>
        <v>0</v>
      </c>
      <c r="E118" s="79">
        <f t="shared" ca="1" si="56"/>
        <v>0</v>
      </c>
      <c r="F118" s="79">
        <f t="shared" ca="1" si="56"/>
        <v>0</v>
      </c>
      <c r="G118" s="79">
        <f t="shared" ca="1" si="56"/>
        <v>0</v>
      </c>
      <c r="H118" s="79" t="str">
        <f t="shared" ca="1" si="56"/>
        <v/>
      </c>
      <c r="I118" s="79" t="str">
        <f t="shared" ca="1" si="56"/>
        <v/>
      </c>
      <c r="J118" s="79" t="str">
        <f t="shared" ca="1" si="56"/>
        <v/>
      </c>
      <c r="K118" s="79" t="str">
        <f t="shared" ca="1" si="56"/>
        <v/>
      </c>
      <c r="L118" s="79" t="str">
        <f t="shared" ca="1" si="56"/>
        <v/>
      </c>
    </row>
    <row r="119" spans="1:12" x14ac:dyDescent="0.35">
      <c r="A119" t="str">
        <f>IF(A11="","","    "&amp;A11&amp;" - Release from Mead")</f>
        <v/>
      </c>
      <c r="C119" s="79" t="str">
        <f t="shared" ca="1" si="56"/>
        <v/>
      </c>
      <c r="D119" s="79" t="str">
        <f t="shared" ca="1" si="56"/>
        <v/>
      </c>
      <c r="E119" s="79" t="str">
        <f t="shared" ca="1" si="56"/>
        <v/>
      </c>
      <c r="F119" s="79" t="str">
        <f t="shared" ca="1" si="56"/>
        <v/>
      </c>
      <c r="G119" s="79" t="str">
        <f t="shared" ca="1" si="56"/>
        <v/>
      </c>
      <c r="H119" s="79" t="str">
        <f t="shared" ca="1" si="56"/>
        <v/>
      </c>
      <c r="I119" s="79" t="str">
        <f t="shared" ca="1" si="56"/>
        <v/>
      </c>
      <c r="J119" s="79" t="str">
        <f t="shared" ca="1" si="56"/>
        <v/>
      </c>
      <c r="K119" s="79" t="str">
        <f t="shared" ca="1" si="56"/>
        <v/>
      </c>
      <c r="L119" s="79" t="str">
        <f t="shared" ca="1" si="56"/>
        <v/>
      </c>
    </row>
    <row r="120" spans="1:12" x14ac:dyDescent="0.35">
      <c r="A120" s="1" t="s">
        <v>140</v>
      </c>
      <c r="B120" s="1"/>
      <c r="D120" s="2"/>
      <c r="E120" s="2"/>
      <c r="F120" s="2"/>
      <c r="G120" s="2"/>
      <c r="H120" s="2"/>
      <c r="I120" s="2"/>
      <c r="J120" s="2"/>
      <c r="K120" s="2"/>
      <c r="L120" s="2"/>
    </row>
    <row r="121" spans="1:12" x14ac:dyDescent="0.35">
      <c r="A121" t="str">
        <f t="shared" ref="A121:A126" si="57">IF(A6="","","    "&amp;A6)</f>
        <v xml:space="preserve">    Upper Basin</v>
      </c>
      <c r="C121" s="79">
        <f t="shared" ref="C121:L126" ca="1" si="58">IF(OR(C$27="",$A121=""),"",OFFSET(C$62,8*(ROW(B121)-ROW(B$121)),0))</f>
        <v>3.1178582945981317</v>
      </c>
      <c r="D121" s="79">
        <f t="shared" ca="1" si="58"/>
        <v>1.2360940760985697</v>
      </c>
      <c r="E121" s="79">
        <f t="shared" ca="1" si="58"/>
        <v>0</v>
      </c>
      <c r="F121" s="79">
        <f t="shared" ca="1" si="58"/>
        <v>0</v>
      </c>
      <c r="G121" s="79">
        <f t="shared" ca="1" si="58"/>
        <v>0</v>
      </c>
      <c r="H121" s="79" t="str">
        <f t="shared" ca="1" si="58"/>
        <v/>
      </c>
      <c r="I121" s="79" t="str">
        <f t="shared" ca="1" si="58"/>
        <v/>
      </c>
      <c r="J121" s="79" t="str">
        <f t="shared" ca="1" si="58"/>
        <v/>
      </c>
      <c r="K121" s="79" t="str">
        <f t="shared" ca="1" si="58"/>
        <v/>
      </c>
      <c r="L121" s="79" t="str">
        <f t="shared" ca="1" si="58"/>
        <v/>
      </c>
    </row>
    <row r="122" spans="1:12" x14ac:dyDescent="0.35">
      <c r="A122" t="str">
        <f t="shared" si="57"/>
        <v xml:space="preserve">    Lower Basin</v>
      </c>
      <c r="C122" s="79">
        <f t="shared" ca="1" si="58"/>
        <v>3.8781684655908366</v>
      </c>
      <c r="D122" s="79">
        <f t="shared" ca="1" si="58"/>
        <v>3.49079800648044</v>
      </c>
      <c r="E122" s="79">
        <f t="shared" ca="1" si="58"/>
        <v>3.1839578856013135</v>
      </c>
      <c r="F122" s="79">
        <f t="shared" ca="1" si="58"/>
        <v>2.8735680193285829</v>
      </c>
      <c r="G122" s="79">
        <f t="shared" ca="1" si="58"/>
        <v>2.5753201795038043</v>
      </c>
      <c r="H122" s="79" t="str">
        <f t="shared" ca="1" si="58"/>
        <v/>
      </c>
      <c r="I122" s="79" t="str">
        <f t="shared" ca="1" si="58"/>
        <v/>
      </c>
      <c r="J122" s="79" t="str">
        <f t="shared" ca="1" si="58"/>
        <v/>
      </c>
      <c r="K122" s="79" t="str">
        <f t="shared" ca="1" si="58"/>
        <v/>
      </c>
      <c r="L122" s="79" t="str">
        <f t="shared" ca="1" si="58"/>
        <v/>
      </c>
    </row>
    <row r="123" spans="1:12" x14ac:dyDescent="0.35">
      <c r="A123" t="str">
        <f t="shared" si="57"/>
        <v xml:space="preserve">    Mexico</v>
      </c>
      <c r="C123" s="79">
        <f t="shared" ca="1" si="58"/>
        <v>0.16557297647772518</v>
      </c>
      <c r="D123" s="79">
        <f t="shared" ca="1" si="58"/>
        <v>0.15716568375375006</v>
      </c>
      <c r="E123" s="79">
        <f t="shared" ca="1" si="58"/>
        <v>0.14875982475231098</v>
      </c>
      <c r="F123" s="79">
        <f t="shared" ca="1" si="58"/>
        <v>0.14047286409450632</v>
      </c>
      <c r="G123" s="79">
        <f t="shared" ca="1" si="58"/>
        <v>0.13256411417198866</v>
      </c>
      <c r="H123" s="79" t="str">
        <f t="shared" ca="1" si="58"/>
        <v/>
      </c>
      <c r="I123" s="79" t="str">
        <f t="shared" ca="1" si="58"/>
        <v/>
      </c>
      <c r="J123" s="79" t="str">
        <f t="shared" ca="1" si="58"/>
        <v/>
      </c>
      <c r="K123" s="79" t="str">
        <f t="shared" ca="1" si="58"/>
        <v/>
      </c>
      <c r="L123" s="79" t="str">
        <f t="shared" ca="1" si="58"/>
        <v/>
      </c>
    </row>
    <row r="124" spans="1:12" x14ac:dyDescent="0.35">
      <c r="A124" t="str">
        <f t="shared" si="57"/>
        <v xml:space="preserve">    Mohave &amp; Havasu Evap &amp; ET</v>
      </c>
      <c r="C124" s="79">
        <f t="shared" ca="1" si="58"/>
        <v>0</v>
      </c>
      <c r="D124" s="79">
        <f t="shared" ca="1" si="58"/>
        <v>0</v>
      </c>
      <c r="E124" s="79">
        <f t="shared" ca="1" si="58"/>
        <v>0</v>
      </c>
      <c r="F124" s="79">
        <f t="shared" ca="1" si="58"/>
        <v>0</v>
      </c>
      <c r="G124" s="79">
        <f t="shared" ca="1" si="58"/>
        <v>0</v>
      </c>
      <c r="H124" s="79" t="str">
        <f t="shared" ca="1" si="58"/>
        <v/>
      </c>
      <c r="I124" s="79" t="str">
        <f t="shared" ca="1" si="58"/>
        <v/>
      </c>
      <c r="J124" s="79" t="str">
        <f t="shared" ca="1" si="58"/>
        <v/>
      </c>
      <c r="K124" s="79" t="str">
        <f t="shared" ca="1" si="58"/>
        <v/>
      </c>
      <c r="L124" s="79" t="str">
        <f t="shared" ca="1" si="58"/>
        <v/>
      </c>
    </row>
    <row r="125" spans="1:12" x14ac:dyDescent="0.35">
      <c r="A125" t="str">
        <f t="shared" si="57"/>
        <v xml:space="preserve">    Shared, Reserve</v>
      </c>
      <c r="C125" s="79">
        <f t="shared" ca="1" si="58"/>
        <v>11.59116925</v>
      </c>
      <c r="D125" s="79">
        <f t="shared" ca="1" si="58"/>
        <v>11.59116925</v>
      </c>
      <c r="E125" s="79">
        <f t="shared" ca="1" si="58"/>
        <v>11.59116925</v>
      </c>
      <c r="F125" s="79">
        <f t="shared" ca="1" si="58"/>
        <v>11.59116925</v>
      </c>
      <c r="G125" s="79">
        <f t="shared" ca="1" si="58"/>
        <v>11.59116925</v>
      </c>
      <c r="H125" s="79" t="str">
        <f t="shared" ca="1" si="58"/>
        <v/>
      </c>
      <c r="I125" s="79" t="str">
        <f t="shared" ca="1" si="58"/>
        <v/>
      </c>
      <c r="J125" s="79" t="str">
        <f t="shared" ca="1" si="58"/>
        <v/>
      </c>
      <c r="K125" s="79" t="str">
        <f t="shared" ca="1" si="58"/>
        <v/>
      </c>
      <c r="L125" s="79" t="str">
        <f t="shared" ca="1" si="58"/>
        <v/>
      </c>
    </row>
    <row r="126" spans="1:12" x14ac:dyDescent="0.35">
      <c r="A126" t="str">
        <f t="shared" si="57"/>
        <v/>
      </c>
      <c r="C126" s="79" t="str">
        <f t="shared" ca="1" si="58"/>
        <v/>
      </c>
      <c r="D126" s="79" t="str">
        <f t="shared" ca="1" si="58"/>
        <v/>
      </c>
      <c r="E126" s="79" t="str">
        <f t="shared" ca="1" si="58"/>
        <v/>
      </c>
      <c r="F126" s="79" t="str">
        <f t="shared" ca="1" si="58"/>
        <v/>
      </c>
      <c r="G126" s="79" t="str">
        <f t="shared" ca="1" si="58"/>
        <v/>
      </c>
      <c r="H126" s="79" t="str">
        <f t="shared" ca="1" si="58"/>
        <v/>
      </c>
      <c r="I126" s="79" t="str">
        <f t="shared" ca="1" si="58"/>
        <v/>
      </c>
      <c r="J126" s="79" t="str">
        <f t="shared" ca="1" si="58"/>
        <v/>
      </c>
      <c r="K126" s="79" t="str">
        <f t="shared" ca="1" si="58"/>
        <v/>
      </c>
      <c r="L126" s="79" t="str">
        <f t="shared" ca="1" si="58"/>
        <v/>
      </c>
    </row>
    <row r="127" spans="1:12" x14ac:dyDescent="0.35">
      <c r="A127" s="1" t="s">
        <v>124</v>
      </c>
      <c r="B127" s="1"/>
      <c r="C127" s="14">
        <f ca="1">IF(C$27&lt;&gt;"",SUM(C121:C126),"")</f>
        <v>18.752768986666695</v>
      </c>
      <c r="D127" s="14">
        <f t="shared" ref="D127:L127" ca="1" si="59">IF(D$27&lt;&gt;"",SUM(D121:D126),"")</f>
        <v>16.475227016332759</v>
      </c>
      <c r="E127" s="14">
        <f t="shared" ca="1" si="59"/>
        <v>14.923886960353624</v>
      </c>
      <c r="F127" s="14">
        <f t="shared" ca="1" si="59"/>
        <v>14.605210133423089</v>
      </c>
      <c r="G127" s="14">
        <f t="shared" ca="1" si="59"/>
        <v>14.299053543675793</v>
      </c>
      <c r="H127" s="14" t="str">
        <f t="shared" si="59"/>
        <v/>
      </c>
      <c r="I127" s="14" t="str">
        <f t="shared" si="59"/>
        <v/>
      </c>
      <c r="J127" s="14" t="str">
        <f t="shared" si="59"/>
        <v/>
      </c>
      <c r="K127" s="14" t="str">
        <f t="shared" si="59"/>
        <v/>
      </c>
      <c r="L127" s="14" t="str">
        <f t="shared" si="59"/>
        <v/>
      </c>
    </row>
    <row r="128" spans="1:12" x14ac:dyDescent="0.35">
      <c r="A128" s="1" t="s">
        <v>219</v>
      </c>
      <c r="B128" s="1"/>
      <c r="C128" s="89">
        <v>0.5</v>
      </c>
      <c r="D128" s="89">
        <v>0.5</v>
      </c>
      <c r="E128" s="89">
        <v>0.5</v>
      </c>
      <c r="F128" s="89">
        <v>0.5</v>
      </c>
      <c r="G128" s="89">
        <v>0.5</v>
      </c>
      <c r="H128" s="89"/>
      <c r="I128" s="89"/>
      <c r="J128" s="89"/>
      <c r="K128" s="89"/>
      <c r="L128" s="89"/>
    </row>
    <row r="129" spans="1:14" x14ac:dyDescent="0.35">
      <c r="A129" s="1" t="s">
        <v>215</v>
      </c>
      <c r="B129" s="1"/>
      <c r="C129" s="14">
        <f ca="1">IF(C27="","",C$128*C$127)</f>
        <v>9.3763844933333473</v>
      </c>
      <c r="D129" s="14">
        <f t="shared" ref="D129:L129" ca="1" si="60">IF(D27="","",D$128*D$127)</f>
        <v>8.2376135081663797</v>
      </c>
      <c r="E129" s="14">
        <f t="shared" ca="1" si="60"/>
        <v>7.4619434801768119</v>
      </c>
      <c r="F129" s="14">
        <f t="shared" ca="1" si="60"/>
        <v>7.3026050667115445</v>
      </c>
      <c r="G129" s="14">
        <f t="shared" ca="1" si="60"/>
        <v>7.1495267718378965</v>
      </c>
      <c r="H129" s="14" t="str">
        <f t="shared" si="60"/>
        <v/>
      </c>
      <c r="I129" s="14" t="str">
        <f t="shared" si="60"/>
        <v/>
      </c>
      <c r="J129" s="14" t="str">
        <f t="shared" si="60"/>
        <v/>
      </c>
      <c r="K129" s="14" t="str">
        <f t="shared" si="60"/>
        <v/>
      </c>
      <c r="L129" s="14" t="str">
        <f t="shared" si="60"/>
        <v/>
      </c>
    </row>
    <row r="130" spans="1:14" x14ac:dyDescent="0.35">
      <c r="A130" s="1" t="s">
        <v>216</v>
      </c>
      <c r="B130" s="1"/>
      <c r="C130" s="14">
        <f ca="1">IF(C28="","",(1-C$128)*C$127)</f>
        <v>9.3763844933333473</v>
      </c>
      <c r="D130" s="14">
        <f t="shared" ref="D130:L130" ca="1" si="61">IF(D28="","",(1-D$128)*D$127)</f>
        <v>8.2376135081663797</v>
      </c>
      <c r="E130" s="14">
        <f t="shared" ca="1" si="61"/>
        <v>7.4619434801768119</v>
      </c>
      <c r="F130" s="14">
        <f t="shared" ca="1" si="61"/>
        <v>7.3026050667115445</v>
      </c>
      <c r="G130" s="14">
        <f t="shared" ca="1" si="61"/>
        <v>7.1495267718378965</v>
      </c>
      <c r="H130" s="14" t="str">
        <f t="shared" si="61"/>
        <v/>
      </c>
      <c r="I130" s="14" t="str">
        <f t="shared" si="61"/>
        <v/>
      </c>
      <c r="J130" s="14" t="str">
        <f t="shared" si="61"/>
        <v/>
      </c>
      <c r="K130" s="14" t="str">
        <f t="shared" si="61"/>
        <v/>
      </c>
      <c r="L130" s="14" t="str">
        <f t="shared" si="61"/>
        <v/>
      </c>
    </row>
    <row r="131" spans="1:14" x14ac:dyDescent="0.35">
      <c r="A131" s="1" t="s">
        <v>146</v>
      </c>
      <c r="B131" s="1"/>
      <c r="C131" s="14">
        <f ca="1">IF(C$27&lt;&gt;"",-C129+C37+C27-C61-VLOOKUP(C37*1000000,'Powell-Elevation-Area'!$B$5:$D$689,3)*$B$21/1000000,"")</f>
        <v>7.9007186266660803</v>
      </c>
      <c r="D131" s="14">
        <f ca="1">IF(D$27&lt;&gt;"",-D129+D37+D27-D61-VLOOKUP(D37*1000000,'Powell-Elevation-Area'!$B$5:$D$689,3)*$B$21/1000000,"")</f>
        <v>7.4673243481669678</v>
      </c>
      <c r="E131" s="14">
        <f ca="1">IF(E$27&lt;&gt;"",-E129+E37+E27-E61-VLOOKUP(E37*1000000,'Powell-Elevation-Area'!$B$5:$D$689,3)*$B$21/1000000,"")</f>
        <v>7.7112253053437652</v>
      </c>
      <c r="F131" s="14">
        <f ca="1">IF(F$27&lt;&gt;"",-F129+F37+F27-F61-VLOOKUP(F37*1000000,'Powell-Elevation-Area'!$B$5:$D$689,3)*$B$21/1000000,"")</f>
        <v>8.3041569198680651</v>
      </c>
      <c r="G131" s="14">
        <f ca="1">IF(G$27&lt;&gt;"",-G129+G37+G27-G61-VLOOKUP(G37*1000000,'Powell-Elevation-Area'!$B$5:$D$689,3)*$B$21/1000000,"")</f>
        <v>8.3063670384602837</v>
      </c>
      <c r="H131" s="14" t="str">
        <f>IF(H$27&lt;&gt;"",-H129+H37+H27-H61-VLOOKUP(H37*1000000,'Powell-Elevation-Area'!$B$5:$D$689,3)*$B$21/1000000,"")</f>
        <v/>
      </c>
      <c r="I131" s="14" t="str">
        <f>IF(I$27&lt;&gt;"",-I129+I37+I27-I61-VLOOKUP(I37*1000000,'Powell-Elevation-Area'!$B$5:$D$689,3)*$B$21/1000000,"")</f>
        <v/>
      </c>
      <c r="J131" s="14" t="str">
        <f>IF(J$27&lt;&gt;"",-J129+J37+J27-J61-VLOOKUP(J37*1000000,'Powell-Elevation-Area'!$B$5:$D$689,3)*$B$21/1000000,"")</f>
        <v/>
      </c>
      <c r="K131" s="14" t="str">
        <f>IF(K$27&lt;&gt;"",-K129+K37+K27-K61-VLOOKUP(K37*1000000,'Powell-Elevation-Area'!$B$5:$D$689,3)*$B$21/1000000,"")</f>
        <v/>
      </c>
      <c r="L131" s="14" t="str">
        <f>IF(L$27&lt;&gt;"",-L129+L37+L27-L61-VLOOKUP(L37*1000000,'Powell-Elevation-Area'!$B$5:$D$689,3)*$B$21/1000000,"")</f>
        <v/>
      </c>
      <c r="N131" t="s">
        <v>217</v>
      </c>
    </row>
    <row r="132" spans="1:14" x14ac:dyDescent="0.35">
      <c r="C132" s="29"/>
    </row>
    <row r="133" spans="1:14" x14ac:dyDescent="0.35">
      <c r="A133" s="1" t="s">
        <v>126</v>
      </c>
      <c r="C133" s="12">
        <f>IF(C$27&lt;&gt;"",0.2,"")</f>
        <v>0.2</v>
      </c>
      <c r="D133" s="12">
        <f t="shared" ref="D133:L133" si="62">IF(D$27&lt;&gt;"",0.2,"")</f>
        <v>0.2</v>
      </c>
      <c r="E133" s="12">
        <f t="shared" si="62"/>
        <v>0.2</v>
      </c>
      <c r="F133" s="12">
        <f t="shared" si="62"/>
        <v>0.2</v>
      </c>
      <c r="G133" s="12">
        <f t="shared" si="62"/>
        <v>0.2</v>
      </c>
      <c r="H133" s="12" t="str">
        <f t="shared" si="62"/>
        <v/>
      </c>
      <c r="I133" s="12" t="str">
        <f t="shared" si="62"/>
        <v/>
      </c>
      <c r="J133" s="12" t="str">
        <f t="shared" si="62"/>
        <v/>
      </c>
      <c r="K133" s="12" t="str">
        <f t="shared" si="62"/>
        <v/>
      </c>
      <c r="L133" s="12" t="str">
        <f t="shared" si="62"/>
        <v/>
      </c>
    </row>
    <row r="134" spans="1:14" x14ac:dyDescent="0.35">
      <c r="A134" t="s">
        <v>127</v>
      </c>
      <c r="C134" s="14">
        <f t="shared" ref="C134:L134" ca="1" si="63">IF(C$27&lt;&gt;"",C115+C133,"")</f>
        <v>7.0670000000000002</v>
      </c>
      <c r="D134" s="14">
        <f t="shared" ca="1" si="63"/>
        <v>7.0670000000000002</v>
      </c>
      <c r="E134" s="14">
        <f t="shared" ca="1" si="63"/>
        <v>6.9830000000000005</v>
      </c>
      <c r="F134" s="14">
        <f t="shared" ca="1" si="63"/>
        <v>6.9830000000000005</v>
      </c>
      <c r="G134" s="14">
        <f t="shared" ca="1" si="63"/>
        <v>6.9830000000000005</v>
      </c>
      <c r="H134" s="14" t="str">
        <f t="shared" si="63"/>
        <v/>
      </c>
      <c r="I134" s="14" t="str">
        <f t="shared" si="63"/>
        <v/>
      </c>
      <c r="J134" s="14" t="str">
        <f t="shared" si="63"/>
        <v/>
      </c>
      <c r="K134" s="14" t="str">
        <f t="shared" si="63"/>
        <v/>
      </c>
      <c r="L134" s="14" t="str">
        <f t="shared" si="63"/>
        <v/>
      </c>
    </row>
    <row r="136" spans="1:14" x14ac:dyDescent="0.35">
      <c r="D136" s="18"/>
    </row>
  </sheetData>
  <mergeCells count="9">
    <mergeCell ref="C9:G9"/>
    <mergeCell ref="C10:G10"/>
    <mergeCell ref="C11:G11"/>
    <mergeCell ref="A3:G3"/>
    <mergeCell ref="C4:G4"/>
    <mergeCell ref="C5:G5"/>
    <mergeCell ref="C6:G6"/>
    <mergeCell ref="C7:G7"/>
    <mergeCell ref="C8:G8"/>
  </mergeCells>
  <conditionalFormatting sqref="C61:G61">
    <cfRule type="cellIs" dxfId="154" priority="68" operator="greaterThan">
      <formula>$C$60</formula>
    </cfRule>
  </conditionalFormatting>
  <conditionalFormatting sqref="H61">
    <cfRule type="cellIs" dxfId="153" priority="63" operator="greaterThan">
      <formula>$H$60</formula>
    </cfRule>
  </conditionalFormatting>
  <conditionalFormatting sqref="I61">
    <cfRule type="cellIs" dxfId="152" priority="62" operator="greaterThan">
      <formula>$I$60</formula>
    </cfRule>
  </conditionalFormatting>
  <conditionalFormatting sqref="J61">
    <cfRule type="cellIs" dxfId="151" priority="61" operator="greaterThan">
      <formula>$J$60</formula>
    </cfRule>
  </conditionalFormatting>
  <conditionalFormatting sqref="K61">
    <cfRule type="cellIs" dxfId="150" priority="60" operator="greaterThan">
      <formula>$K$60</formula>
    </cfRule>
  </conditionalFormatting>
  <conditionalFormatting sqref="L61">
    <cfRule type="cellIs" dxfId="149" priority="59" operator="greaterThan">
      <formula>$L$60</formula>
    </cfRule>
  </conditionalFormatting>
  <conditionalFormatting sqref="C69:G69">
    <cfRule type="cellIs" dxfId="148" priority="51" operator="greaterThan">
      <formula>$C$68</formula>
    </cfRule>
  </conditionalFormatting>
  <conditionalFormatting sqref="H69">
    <cfRule type="cellIs" dxfId="147" priority="46" operator="greaterThan">
      <formula>$H$68</formula>
    </cfRule>
  </conditionalFormatting>
  <conditionalFormatting sqref="I69">
    <cfRule type="cellIs" dxfId="146" priority="45" operator="greaterThan">
      <formula>$I$68</formula>
    </cfRule>
  </conditionalFormatting>
  <conditionalFormatting sqref="J69">
    <cfRule type="cellIs" dxfId="145" priority="44" operator="greaterThan">
      <formula>$J$68</formula>
    </cfRule>
  </conditionalFormatting>
  <conditionalFormatting sqref="K69">
    <cfRule type="cellIs" dxfId="144" priority="43" operator="greaterThan">
      <formula>$K$68</formula>
    </cfRule>
  </conditionalFormatting>
  <conditionalFormatting sqref="L69">
    <cfRule type="cellIs" dxfId="143" priority="42" operator="greaterThan">
      <formula>$L$68</formula>
    </cfRule>
  </conditionalFormatting>
  <conditionalFormatting sqref="C77:G77">
    <cfRule type="cellIs" dxfId="142" priority="41" operator="greaterThan">
      <formula>$C$76</formula>
    </cfRule>
  </conditionalFormatting>
  <conditionalFormatting sqref="H77">
    <cfRule type="cellIs" dxfId="141" priority="36" operator="greaterThan">
      <formula>$H$76</formula>
    </cfRule>
  </conditionalFormatting>
  <conditionalFormatting sqref="I77">
    <cfRule type="cellIs" dxfId="140" priority="35" operator="greaterThan">
      <formula>$I$76</formula>
    </cfRule>
  </conditionalFormatting>
  <conditionalFormatting sqref="J77">
    <cfRule type="cellIs" dxfId="139" priority="34" operator="greaterThan">
      <formula>$J$76</formula>
    </cfRule>
  </conditionalFormatting>
  <conditionalFormatting sqref="K77">
    <cfRule type="cellIs" dxfId="138" priority="33" operator="greaterThan">
      <formula>$K$76</formula>
    </cfRule>
  </conditionalFormatting>
  <conditionalFormatting sqref="L77">
    <cfRule type="cellIs" dxfId="137" priority="32" operator="greaterThan">
      <formula>$L$76</formula>
    </cfRule>
  </conditionalFormatting>
  <conditionalFormatting sqref="C85">
    <cfRule type="cellIs" dxfId="136" priority="31" operator="greaterThan">
      <formula>$C$84</formula>
    </cfRule>
  </conditionalFormatting>
  <conditionalFormatting sqref="D85">
    <cfRule type="cellIs" dxfId="135" priority="30" operator="greaterThan">
      <formula>$D$84</formula>
    </cfRule>
  </conditionalFormatting>
  <conditionalFormatting sqref="E85">
    <cfRule type="cellIs" dxfId="134" priority="29" operator="greaterThan">
      <formula>$E$84</formula>
    </cfRule>
  </conditionalFormatting>
  <conditionalFormatting sqref="F85">
    <cfRule type="cellIs" dxfId="133" priority="28" operator="greaterThan">
      <formula>$F$84</formula>
    </cfRule>
  </conditionalFormatting>
  <conditionalFormatting sqref="G85">
    <cfRule type="cellIs" dxfId="132" priority="27" operator="greaterThan">
      <formula>$G$84</formula>
    </cfRule>
  </conditionalFormatting>
  <conditionalFormatting sqref="H85">
    <cfRule type="cellIs" dxfId="131" priority="26" operator="greaterThan">
      <formula>$H$84</formula>
    </cfRule>
  </conditionalFormatting>
  <conditionalFormatting sqref="I85">
    <cfRule type="cellIs" dxfId="130" priority="25" operator="greaterThan">
      <formula>$I$84</formula>
    </cfRule>
  </conditionalFormatting>
  <conditionalFormatting sqref="J85">
    <cfRule type="cellIs" dxfId="129" priority="24" operator="greaterThan">
      <formula>$J$84</formula>
    </cfRule>
  </conditionalFormatting>
  <conditionalFormatting sqref="K85">
    <cfRule type="cellIs" dxfId="128" priority="23" operator="greaterThan">
      <formula>$K$84</formula>
    </cfRule>
  </conditionalFormatting>
  <conditionalFormatting sqref="L85">
    <cfRule type="cellIs" dxfId="127" priority="22" operator="greaterThan">
      <formula>$L$84</formula>
    </cfRule>
  </conditionalFormatting>
  <conditionalFormatting sqref="C93">
    <cfRule type="cellIs" dxfId="126" priority="21" operator="greaterThan">
      <formula>$C$92</formula>
    </cfRule>
  </conditionalFormatting>
  <conditionalFormatting sqref="D93">
    <cfRule type="cellIs" dxfId="125" priority="20" operator="greaterThan">
      <formula>$D$92</formula>
    </cfRule>
  </conditionalFormatting>
  <conditionalFormatting sqref="E93">
    <cfRule type="cellIs" dxfId="124" priority="19" operator="greaterThan">
      <formula>$E$92</formula>
    </cfRule>
  </conditionalFormatting>
  <conditionalFormatting sqref="F93">
    <cfRule type="cellIs" dxfId="123" priority="18" operator="greaterThan">
      <formula>$F$92</formula>
    </cfRule>
  </conditionalFormatting>
  <conditionalFormatting sqref="G93">
    <cfRule type="cellIs" dxfId="122" priority="17" operator="greaterThan">
      <formula>$G$92</formula>
    </cfRule>
  </conditionalFormatting>
  <conditionalFormatting sqref="H93">
    <cfRule type="cellIs" dxfId="121" priority="16" operator="greaterThan">
      <formula>$H$92</formula>
    </cfRule>
  </conditionalFormatting>
  <conditionalFormatting sqref="I93">
    <cfRule type="cellIs" dxfId="120" priority="15" operator="greaterThan">
      <formula>$I$92</formula>
    </cfRule>
  </conditionalFormatting>
  <conditionalFormatting sqref="J93">
    <cfRule type="cellIs" dxfId="119" priority="14" operator="greaterThan">
      <formula>$J$92</formula>
    </cfRule>
  </conditionalFormatting>
  <conditionalFormatting sqref="K93">
    <cfRule type="cellIs" dxfId="118" priority="13" operator="greaterThan">
      <formula>$K$92</formula>
    </cfRule>
  </conditionalFormatting>
  <conditionalFormatting sqref="L93">
    <cfRule type="cellIs" dxfId="117" priority="12" operator="greaterThan">
      <formula>$L$92</formula>
    </cfRule>
  </conditionalFormatting>
  <conditionalFormatting sqref="C101">
    <cfRule type="cellIs" dxfId="116" priority="11" operator="greaterThan">
      <formula>$C$100</formula>
    </cfRule>
  </conditionalFormatting>
  <conditionalFormatting sqref="D101">
    <cfRule type="cellIs" dxfId="115" priority="10" operator="greaterThan">
      <formula>$D$100</formula>
    </cfRule>
  </conditionalFormatting>
  <conditionalFormatting sqref="E101">
    <cfRule type="cellIs" dxfId="114" priority="9" operator="greaterThan">
      <formula>$E$100</formula>
    </cfRule>
  </conditionalFormatting>
  <conditionalFormatting sqref="F101">
    <cfRule type="cellIs" dxfId="113" priority="8" operator="greaterThan">
      <formula>$F$100</formula>
    </cfRule>
  </conditionalFormatting>
  <conditionalFormatting sqref="G101">
    <cfRule type="cellIs" dxfId="112" priority="7" operator="greaterThan">
      <formula>$G$100</formula>
    </cfRule>
  </conditionalFormatting>
  <conditionalFormatting sqref="H101">
    <cfRule type="cellIs" dxfId="111" priority="6" operator="greaterThan">
      <formula>$H$100</formula>
    </cfRule>
  </conditionalFormatting>
  <conditionalFormatting sqref="I101">
    <cfRule type="cellIs" dxfId="110" priority="5" operator="greaterThan">
      <formula>$I$100</formula>
    </cfRule>
  </conditionalFormatting>
  <conditionalFormatting sqref="J101">
    <cfRule type="cellIs" dxfId="109" priority="4" operator="greaterThan">
      <formula>$J$100</formula>
    </cfRule>
  </conditionalFormatting>
  <conditionalFormatting sqref="K101">
    <cfRule type="cellIs" dxfId="108" priority="3" operator="greaterThan">
      <formula>$K$100</formula>
    </cfRule>
  </conditionalFormatting>
  <conditionalFormatting sqref="L101">
    <cfRule type="cellIs" dxfId="107" priority="2"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7" id="{888BF2D6-6120-4D6F-B6C2-F9CBE32EC8CB}">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 xmlns:xm="http://schemas.microsoft.com/office/excel/2006/main">
          <x14:cfRule type="iconSet" priority="55" id="{A3C294B6-2CAD-4C10-BBD7-0B7A04A0B3E9}">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4" id="{E8F8BE61-59C8-4EAA-9485-81DCCF75CA33}">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3" id="{8A4934E0-5016-4803-8B4C-380C374CBAC1}">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2" id="{63FE3FC7-B720-4630-A3C0-B24DF74B113C}">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 id="{3CB956A4-E869-45C1-89D7-8BDD4BF9590F}">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topLeftCell="C23" workbookViewId="0">
      <selection activeCell="U41" sqref="U41"/>
    </sheetView>
  </sheetViews>
  <sheetFormatPr defaultRowHeight="14.5" x14ac:dyDescent="0.35"/>
  <sheetData>
    <row r="1" spans="7:24" ht="36" x14ac:dyDescent="0.8">
      <c r="G1" s="48" t="s">
        <v>40</v>
      </c>
      <c r="P1" s="48" t="s">
        <v>41</v>
      </c>
      <c r="X1" s="48" t="s">
        <v>245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70BDC-D766-412C-8E1F-D6BEEEFF488D}">
  <dimension ref="A1:Z136"/>
  <sheetViews>
    <sheetView topLeftCell="A21" zoomScale="150" zoomScaleNormal="150" workbookViewId="0">
      <selection activeCell="I109" sqref="I109"/>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10" t="s">
        <v>161</v>
      </c>
      <c r="B3" s="110"/>
      <c r="C3" s="110"/>
      <c r="D3" s="110"/>
      <c r="E3" s="110"/>
      <c r="F3" s="110"/>
      <c r="G3" s="110"/>
      <c r="H3" s="94"/>
      <c r="I3" s="94"/>
      <c r="J3" s="94"/>
      <c r="K3" s="94"/>
    </row>
    <row r="4" spans="1:11" x14ac:dyDescent="0.35">
      <c r="A4" s="60" t="s">
        <v>39</v>
      </c>
      <c r="B4" s="60" t="s">
        <v>43</v>
      </c>
      <c r="C4" s="111" t="s">
        <v>44</v>
      </c>
      <c r="D4" s="112"/>
      <c r="E4" s="112"/>
      <c r="F4" s="112"/>
      <c r="G4" s="113"/>
    </row>
    <row r="5" spans="1:11" x14ac:dyDescent="0.35">
      <c r="A5" s="95" t="s">
        <v>52</v>
      </c>
      <c r="B5" s="95"/>
      <c r="C5" s="114"/>
      <c r="D5" s="114"/>
      <c r="E5" s="114"/>
      <c r="F5" s="114"/>
      <c r="G5" s="114"/>
    </row>
    <row r="6" spans="1:11" x14ac:dyDescent="0.35">
      <c r="A6" s="93" t="s">
        <v>40</v>
      </c>
      <c r="B6" s="93" t="s">
        <v>165</v>
      </c>
      <c r="C6" s="108" t="s">
        <v>255</v>
      </c>
      <c r="D6" s="108"/>
      <c r="E6" s="108"/>
      <c r="F6" s="108"/>
      <c r="G6" s="108"/>
    </row>
    <row r="7" spans="1:11" x14ac:dyDescent="0.35">
      <c r="A7" s="93" t="s">
        <v>41</v>
      </c>
      <c r="B7" s="93" t="s">
        <v>165</v>
      </c>
      <c r="C7" s="108" t="s">
        <v>256</v>
      </c>
      <c r="D7" s="108"/>
      <c r="E7" s="108"/>
      <c r="F7" s="108"/>
      <c r="G7" s="108"/>
    </row>
    <row r="8" spans="1:11" x14ac:dyDescent="0.35">
      <c r="A8" s="93" t="s">
        <v>42</v>
      </c>
      <c r="B8" s="93" t="s">
        <v>165</v>
      </c>
      <c r="C8" s="108" t="s">
        <v>162</v>
      </c>
      <c r="D8" s="108"/>
      <c r="E8" s="108"/>
      <c r="F8" s="108"/>
      <c r="G8" s="108"/>
    </row>
    <row r="9" spans="1:11" x14ac:dyDescent="0.35">
      <c r="A9" s="93" t="s">
        <v>157</v>
      </c>
      <c r="B9" s="93" t="s">
        <v>165</v>
      </c>
      <c r="C9" s="108" t="s">
        <v>163</v>
      </c>
      <c r="D9" s="108"/>
      <c r="E9" s="108"/>
      <c r="F9" s="108"/>
      <c r="G9" s="108"/>
    </row>
    <row r="10" spans="1:11" x14ac:dyDescent="0.35">
      <c r="A10" s="93" t="s">
        <v>170</v>
      </c>
      <c r="B10" s="93" t="s">
        <v>165</v>
      </c>
      <c r="C10" s="109" t="s">
        <v>200</v>
      </c>
      <c r="D10" s="109"/>
      <c r="E10" s="109"/>
      <c r="F10" s="109"/>
      <c r="G10" s="109"/>
    </row>
    <row r="11" spans="1:11" x14ac:dyDescent="0.35">
      <c r="A11" s="93"/>
      <c r="B11" s="93"/>
      <c r="C11" s="109"/>
      <c r="D11" s="109"/>
      <c r="E11" s="109"/>
      <c r="F11" s="109"/>
      <c r="G11" s="109"/>
    </row>
    <row r="12" spans="1:11" x14ac:dyDescent="0.35">
      <c r="A12" s="16"/>
      <c r="B12" s="2"/>
      <c r="C12"/>
    </row>
    <row r="13" spans="1:11" x14ac:dyDescent="0.35">
      <c r="A13" s="19" t="s">
        <v>46</v>
      </c>
      <c r="B13" s="2"/>
      <c r="C13"/>
    </row>
    <row r="14" spans="1:11" x14ac:dyDescent="0.35">
      <c r="A14" s="20" t="s">
        <v>220</v>
      </c>
    </row>
    <row r="15" spans="1:11" x14ac:dyDescent="0.35">
      <c r="A15" s="22" t="s">
        <v>201</v>
      </c>
      <c r="B15" s="19"/>
    </row>
    <row r="16" spans="1:11" x14ac:dyDescent="0.35">
      <c r="A16" s="21" t="s">
        <v>47</v>
      </c>
    </row>
    <row r="18" spans="1:14" x14ac:dyDescent="0.35">
      <c r="A18" s="1" t="s">
        <v>54</v>
      </c>
      <c r="D18" s="20" t="s">
        <v>254</v>
      </c>
    </row>
    <row r="20" spans="1:14" x14ac:dyDescent="0.35">
      <c r="A20" s="1" t="s">
        <v>32</v>
      </c>
      <c r="B20" s="1" t="s">
        <v>111</v>
      </c>
      <c r="C20" s="13" t="s">
        <v>112</v>
      </c>
    </row>
    <row r="21" spans="1:14" x14ac:dyDescent="0.35">
      <c r="A21" t="s">
        <v>110</v>
      </c>
      <c r="B21" s="12">
        <v>5.73</v>
      </c>
      <c r="C21" s="12">
        <v>6</v>
      </c>
      <c r="D21" s="23" t="s">
        <v>113</v>
      </c>
    </row>
    <row r="22" spans="1:14" x14ac:dyDescent="0.35">
      <c r="A22" t="s">
        <v>144</v>
      </c>
      <c r="B22" s="12">
        <v>11</v>
      </c>
      <c r="C22" s="12">
        <v>10.1</v>
      </c>
      <c r="D22" s="11" t="s">
        <v>34</v>
      </c>
    </row>
    <row r="23" spans="1:14" x14ac:dyDescent="0.35">
      <c r="A23" t="s">
        <v>208</v>
      </c>
      <c r="B23" s="71">
        <v>3525</v>
      </c>
      <c r="C23" s="71">
        <v>1020</v>
      </c>
      <c r="D23" s="11"/>
    </row>
    <row r="24" spans="1:14" x14ac:dyDescent="0.35">
      <c r="A24" t="s">
        <v>190</v>
      </c>
      <c r="B24" s="12">
        <f>VLOOKUP(B23,'Powell-Elevation-Area'!$A$5:$B$689,2)/1000000</f>
        <v>5.9265762500000001</v>
      </c>
      <c r="C24" s="12">
        <f>VLOOKUP(C23,'Mead-Elevation-Area'!$A$5:$B$689,2)/1000000</f>
        <v>5.664593</v>
      </c>
      <c r="D24" s="11"/>
      <c r="E24" s="46"/>
    </row>
    <row r="26" spans="1:14" s="1" customFormat="1" x14ac:dyDescent="0.35">
      <c r="A26" s="56" t="s">
        <v>35</v>
      </c>
      <c r="B26" s="56" t="s">
        <v>49</v>
      </c>
      <c r="C26" s="57" t="s">
        <v>5</v>
      </c>
      <c r="D26" s="57" t="s">
        <v>6</v>
      </c>
      <c r="E26" s="57" t="s">
        <v>7</v>
      </c>
      <c r="F26" s="57" t="s">
        <v>8</v>
      </c>
      <c r="G26" s="57" t="s">
        <v>9</v>
      </c>
      <c r="H26" s="57" t="s">
        <v>10</v>
      </c>
      <c r="I26" s="57" t="s">
        <v>11</v>
      </c>
      <c r="J26" s="57" t="s">
        <v>12</v>
      </c>
      <c r="K26" s="57" t="s">
        <v>36</v>
      </c>
      <c r="L26" s="57" t="s">
        <v>37</v>
      </c>
      <c r="M26" s="57" t="s">
        <v>108</v>
      </c>
      <c r="N26" s="57" t="s">
        <v>187</v>
      </c>
    </row>
    <row r="27" spans="1:14" x14ac:dyDescent="0.35">
      <c r="A27" s="1" t="s">
        <v>45</v>
      </c>
      <c r="B27" s="1"/>
      <c r="C27" s="45">
        <v>12.4</v>
      </c>
      <c r="D27" s="45">
        <f>C27</f>
        <v>12.4</v>
      </c>
      <c r="E27" s="45">
        <f t="shared" ref="E27:H27" si="0">D27</f>
        <v>12.4</v>
      </c>
      <c r="F27" s="45">
        <f t="shared" si="0"/>
        <v>12.4</v>
      </c>
      <c r="G27" s="45">
        <f t="shared" si="0"/>
        <v>12.4</v>
      </c>
      <c r="H27" s="45">
        <f t="shared" si="0"/>
        <v>12.4</v>
      </c>
      <c r="I27" s="45">
        <v>14.4</v>
      </c>
      <c r="J27" s="45">
        <f>I27</f>
        <v>14.4</v>
      </c>
      <c r="K27" s="45">
        <f t="shared" ref="K27:L27" si="1">J27</f>
        <v>14.4</v>
      </c>
      <c r="L27" s="45">
        <f t="shared" si="1"/>
        <v>14.4</v>
      </c>
    </row>
    <row r="28" spans="1:14" x14ac:dyDescent="0.35">
      <c r="A28" s="1" t="s">
        <v>122</v>
      </c>
      <c r="B28" s="1"/>
      <c r="C28" s="12">
        <f>IF(C$27&lt;&gt;"",0.8,"")</f>
        <v>0.8</v>
      </c>
      <c r="D28" s="12">
        <f t="shared" ref="D28:L28" si="2">IF(D$27&lt;&gt;"",0.8,"")</f>
        <v>0.8</v>
      </c>
      <c r="E28" s="12">
        <f t="shared" si="2"/>
        <v>0.8</v>
      </c>
      <c r="F28" s="12">
        <f t="shared" si="2"/>
        <v>0.8</v>
      </c>
      <c r="G28" s="12">
        <f t="shared" si="2"/>
        <v>0.8</v>
      </c>
      <c r="H28" s="12">
        <f t="shared" si="2"/>
        <v>0.8</v>
      </c>
      <c r="I28" s="12">
        <f t="shared" si="2"/>
        <v>0.8</v>
      </c>
      <c r="J28" s="12">
        <f t="shared" si="2"/>
        <v>0.8</v>
      </c>
      <c r="K28" s="12">
        <f t="shared" si="2"/>
        <v>0.8</v>
      </c>
      <c r="L28" s="12">
        <f t="shared" si="2"/>
        <v>0.8</v>
      </c>
    </row>
    <row r="29" spans="1:14" x14ac:dyDescent="0.35">
      <c r="A29" s="1" t="s">
        <v>125</v>
      </c>
      <c r="B29" s="14">
        <f>SUM(B30:B35)-SUM(B22:C22)</f>
        <v>0</v>
      </c>
      <c r="C29" s="14">
        <f>IF(C$27&lt;&gt;"",SUM(B22:C22),"")</f>
        <v>21.1</v>
      </c>
      <c r="D29" s="14">
        <f ca="1">IF(D$27&lt;&gt;"",C127,"")</f>
        <v>20.152768986666693</v>
      </c>
      <c r="E29" s="14">
        <f t="shared" ref="E29:L29" ca="1" si="3">IF(E$27&lt;&gt;"",D127,"")</f>
        <v>19.234339173332788</v>
      </c>
      <c r="F29" s="14">
        <f t="shared" ca="1" si="3"/>
        <v>18.430346086000029</v>
      </c>
      <c r="G29" s="14">
        <f t="shared" ca="1" si="3"/>
        <v>17.65041019366727</v>
      </c>
      <c r="H29" s="14">
        <f t="shared" ca="1" si="3"/>
        <v>16.895203496333366</v>
      </c>
      <c r="I29" s="14">
        <f t="shared" ca="1" si="3"/>
        <v>16.163344474501208</v>
      </c>
      <c r="J29" s="14">
        <f t="shared" ca="1" si="3"/>
        <v>17.455307171068448</v>
      </c>
      <c r="K29" s="14">
        <f t="shared" ca="1" si="3"/>
        <v>18.706133512735089</v>
      </c>
      <c r="L29" s="14">
        <f t="shared" ca="1" si="3"/>
        <v>19.917611542401758</v>
      </c>
    </row>
    <row r="30" spans="1:14" x14ac:dyDescent="0.35">
      <c r="A30" t="str">
        <f t="shared" ref="A30:A35" si="4">IF(A6="","","    "&amp;A6&amp;" Balance")</f>
        <v xml:space="preserve">    Upper Basin Balance</v>
      </c>
      <c r="B30" s="54">
        <f>B22-B24</f>
        <v>5.0734237499999999</v>
      </c>
      <c r="C30" s="14">
        <f>IF(OR(C$27="",$A30=""),"",B30)</f>
        <v>5.0734237499999999</v>
      </c>
      <c r="D30" s="14">
        <f ca="1">IF(OR(D$27="",$A30=""),"",C121)</f>
        <v>4.517858294598132</v>
      </c>
      <c r="E30" s="14">
        <f t="shared" ref="E30:L30" ca="1" si="5">IF(OR(E$27="",$A30=""),"",D121)</f>
        <v>3.9804615248167954</v>
      </c>
      <c r="F30" s="14">
        <f t="shared" ca="1" si="5"/>
        <v>3.4619803252666239</v>
      </c>
      <c r="G30" s="14">
        <f t="shared" ca="1" si="5"/>
        <v>2.9613442852357075</v>
      </c>
      <c r="H30" s="14">
        <f t="shared" ca="1" si="5"/>
        <v>2.4787914995520604</v>
      </c>
      <c r="I30" s="14">
        <f t="shared" ca="1" si="5"/>
        <v>2.0135335129838916</v>
      </c>
      <c r="J30" s="14">
        <f t="shared" ca="1" si="5"/>
        <v>3.0656970909677339</v>
      </c>
      <c r="K30" s="14">
        <f t="shared" ca="1" si="5"/>
        <v>4.0756297190532544</v>
      </c>
      <c r="L30" s="14">
        <f t="shared" ca="1" si="5"/>
        <v>5.0465214346245526</v>
      </c>
      <c r="N30" t="s">
        <v>192</v>
      </c>
    </row>
    <row r="31" spans="1:14" x14ac:dyDescent="0.35">
      <c r="A31" t="str">
        <f t="shared" si="4"/>
        <v xml:space="preserve">    Lower Basin Balance</v>
      </c>
      <c r="B31" s="54">
        <f>C22-C24-B32</f>
        <v>4.2614069999999993</v>
      </c>
      <c r="C31" s="14">
        <f t="shared" ref="C31:C35" si="6">IF(OR(C$27="",$A31=""),"",B31)</f>
        <v>4.2614069999999993</v>
      </c>
      <c r="D31" s="14">
        <f t="shared" ref="D31:L35" ca="1" si="7">IF(OR(D$27="",$A31=""),"",C122)</f>
        <v>3.8781684655908366</v>
      </c>
      <c r="E31" s="14">
        <f t="shared" ca="1" si="7"/>
        <v>3.5052945956104962</v>
      </c>
      <c r="F31" s="14">
        <f t="shared" ca="1" si="7"/>
        <v>3.2276938498027645</v>
      </c>
      <c r="G31" s="14">
        <f t="shared" ca="1" si="7"/>
        <v>2.9560401692066991</v>
      </c>
      <c r="H31" s="14">
        <f t="shared" ca="1" si="7"/>
        <v>2.6907632131932493</v>
      </c>
      <c r="I31" s="14">
        <f t="shared" ca="1" si="7"/>
        <v>2.4312822695811862</v>
      </c>
      <c r="J31" s="14">
        <f t="shared" ca="1" si="7"/>
        <v>2.6779421199827054</v>
      </c>
      <c r="K31" s="14">
        <f t="shared" ca="1" si="7"/>
        <v>2.9251305141397248</v>
      </c>
      <c r="L31" s="14">
        <f t="shared" ca="1" si="7"/>
        <v>3.171523991705091</v>
      </c>
      <c r="N31" t="s">
        <v>189</v>
      </c>
    </row>
    <row r="32" spans="1:14" x14ac:dyDescent="0.35">
      <c r="A32" t="str">
        <f t="shared" si="4"/>
        <v xml:space="preserve">    Mexico Balance</v>
      </c>
      <c r="B32" s="70">
        <v>0.17399999999999999</v>
      </c>
      <c r="C32" s="58">
        <f t="shared" si="6"/>
        <v>0.17399999999999999</v>
      </c>
      <c r="D32" s="58">
        <f t="shared" ca="1" si="7"/>
        <v>0.16557297647772518</v>
      </c>
      <c r="E32" s="58">
        <f t="shared" ca="1" si="7"/>
        <v>0.15741380290549611</v>
      </c>
      <c r="F32" s="58">
        <f t="shared" ca="1" si="7"/>
        <v>0.14950266093064157</v>
      </c>
      <c r="G32" s="58">
        <f t="shared" ca="1" si="7"/>
        <v>0.14185648922486482</v>
      </c>
      <c r="H32" s="14">
        <f t="shared" ca="1" si="7"/>
        <v>0.13447953358805731</v>
      </c>
      <c r="I32" s="14">
        <f t="shared" ca="1" si="7"/>
        <v>0.12735944193612991</v>
      </c>
      <c r="J32" s="14">
        <f t="shared" ca="1" si="7"/>
        <v>0.12049871011801039</v>
      </c>
      <c r="K32" s="14">
        <f t="shared" ca="1" si="7"/>
        <v>0.11420402954211051</v>
      </c>
      <c r="L32" s="14">
        <f t="shared" ca="1" si="7"/>
        <v>0.10839686607211219</v>
      </c>
      <c r="N32" t="s">
        <v>188</v>
      </c>
    </row>
    <row r="33" spans="1:14" x14ac:dyDescent="0.35">
      <c r="A33" t="str">
        <f t="shared" si="4"/>
        <v xml:space="preserve">    Mohave &amp; Havasu Evap &amp; ET Balance</v>
      </c>
      <c r="B33" s="55">
        <v>0</v>
      </c>
      <c r="C33" s="14">
        <f t="shared" si="6"/>
        <v>0</v>
      </c>
      <c r="D33" s="14">
        <f t="shared" ca="1" si="7"/>
        <v>0</v>
      </c>
      <c r="E33" s="14">
        <f t="shared" ca="1" si="7"/>
        <v>0</v>
      </c>
      <c r="F33" s="14">
        <f t="shared" ca="1" si="7"/>
        <v>0</v>
      </c>
      <c r="G33" s="14">
        <f t="shared" ca="1" si="7"/>
        <v>0</v>
      </c>
      <c r="H33" s="14">
        <f t="shared" ca="1" si="7"/>
        <v>0</v>
      </c>
      <c r="I33" s="14">
        <f t="shared" ca="1" si="7"/>
        <v>0</v>
      </c>
      <c r="J33" s="14">
        <f t="shared" ca="1" si="7"/>
        <v>0</v>
      </c>
      <c r="K33" s="14">
        <f t="shared" ca="1" si="7"/>
        <v>0</v>
      </c>
      <c r="L33" s="14">
        <f t="shared" ca="1" si="7"/>
        <v>0</v>
      </c>
    </row>
    <row r="34" spans="1:14" x14ac:dyDescent="0.35">
      <c r="A34" t="str">
        <f t="shared" si="4"/>
        <v xml:space="preserve">    Shared, Reserve Balance</v>
      </c>
      <c r="B34" s="54">
        <f>SUM(B24:C24)</f>
        <v>11.59116925</v>
      </c>
      <c r="C34" s="14">
        <f t="shared" si="6"/>
        <v>11.59116925</v>
      </c>
      <c r="D34" s="14">
        <f t="shared" ca="1" si="7"/>
        <v>11.59116925</v>
      </c>
      <c r="E34" s="14">
        <f t="shared" ca="1" si="7"/>
        <v>11.59116925</v>
      </c>
      <c r="F34" s="14">
        <f t="shared" ca="1" si="7"/>
        <v>11.59116925</v>
      </c>
      <c r="G34" s="14">
        <f t="shared" ca="1" si="7"/>
        <v>11.59116925</v>
      </c>
      <c r="H34" s="14">
        <f t="shared" ca="1" si="7"/>
        <v>11.59116925</v>
      </c>
      <c r="I34" s="14">
        <f t="shared" ca="1" si="7"/>
        <v>11.59116925</v>
      </c>
      <c r="J34" s="14">
        <f t="shared" ca="1" si="7"/>
        <v>11.59116925</v>
      </c>
      <c r="K34" s="14">
        <f t="shared" ca="1" si="7"/>
        <v>11.59116925</v>
      </c>
      <c r="L34" s="14">
        <f t="shared" ca="1" si="7"/>
        <v>11.59116925</v>
      </c>
      <c r="N34" t="s">
        <v>191</v>
      </c>
    </row>
    <row r="35" spans="1:14" x14ac:dyDescent="0.35">
      <c r="A35" t="str">
        <f t="shared" si="4"/>
        <v/>
      </c>
      <c r="B35" s="55"/>
      <c r="C35" s="14"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s="1" t="s">
        <v>218</v>
      </c>
      <c r="C36"/>
    </row>
    <row r="37" spans="1:14" x14ac:dyDescent="0.35">
      <c r="A37" t="s">
        <v>114</v>
      </c>
      <c r="C37" s="14">
        <f>IF(C$27&lt;&gt;"",B22,"")</f>
        <v>11</v>
      </c>
      <c r="D37" s="14">
        <f ca="1">IF(D$27&lt;&gt;"",C129,"")</f>
        <v>10.076384493333347</v>
      </c>
      <c r="E37" s="14">
        <f t="shared" ref="E37:L38" ca="1" si="8">IF(E$27&lt;&gt;"",D129,"")</f>
        <v>9.6171695866663942</v>
      </c>
      <c r="F37" s="14">
        <f t="shared" ca="1" si="8"/>
        <v>9.2151730430000143</v>
      </c>
      <c r="G37" s="14">
        <f t="shared" ca="1" si="8"/>
        <v>8.8252050968336349</v>
      </c>
      <c r="H37" s="14">
        <f t="shared" ca="1" si="8"/>
        <v>8.447601748166683</v>
      </c>
      <c r="I37" s="14">
        <f t="shared" ca="1" si="8"/>
        <v>8.0816722372506042</v>
      </c>
      <c r="J37" s="14">
        <f t="shared" ca="1" si="8"/>
        <v>8.7276535855342239</v>
      </c>
      <c r="K37" s="14">
        <f t="shared" ca="1" si="8"/>
        <v>9.3530667563675447</v>
      </c>
      <c r="L37" s="14">
        <f t="shared" ca="1" si="8"/>
        <v>9.9588057712008791</v>
      </c>
    </row>
    <row r="38" spans="1:14" x14ac:dyDescent="0.35">
      <c r="A38" t="s">
        <v>115</v>
      </c>
      <c r="C38" s="14">
        <f>IF(C$27&lt;&gt;"",C22,"")</f>
        <v>10.1</v>
      </c>
      <c r="D38" s="14">
        <f ca="1">IF(D$27&lt;&gt;"",C130,"")</f>
        <v>10.076384493333347</v>
      </c>
      <c r="E38" s="14">
        <f t="shared" ca="1" si="8"/>
        <v>9.6171695866663942</v>
      </c>
      <c r="F38" s="14">
        <f t="shared" ca="1" si="8"/>
        <v>9.2151730430000143</v>
      </c>
      <c r="G38" s="14">
        <f t="shared" ca="1" si="8"/>
        <v>8.8252050968336349</v>
      </c>
      <c r="H38" s="14">
        <f t="shared" ca="1" si="8"/>
        <v>8.447601748166683</v>
      </c>
      <c r="I38" s="14">
        <f t="shared" ca="1" si="8"/>
        <v>8.0816722372506042</v>
      </c>
      <c r="J38" s="14">
        <f t="shared" ca="1" si="8"/>
        <v>8.7276535855342239</v>
      </c>
      <c r="K38" s="14">
        <f t="shared" ca="1" si="8"/>
        <v>9.3530667563675447</v>
      </c>
      <c r="L38" s="14">
        <f t="shared" ca="1" si="8"/>
        <v>9.9588057712008791</v>
      </c>
    </row>
    <row r="39" spans="1:14" x14ac:dyDescent="0.35">
      <c r="A39" s="1" t="s">
        <v>120</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0.99309648000057305</v>
      </c>
      <c r="E39" s="14">
        <f ca="1">IF(E$27&lt;&gt;"",VLOOKUP(E37*1000000,'Powell-Elevation-Area'!$B$5:$D$689,3)*$B$21/1000000 + VLOOKUP(E38*1000000,'Mead-Elevation-Area'!$B$5:$D$676,3)*$C$21/1000000,"")</f>
        <v>0.96665975399942705</v>
      </c>
      <c r="F39" s="14">
        <f ca="1">IF(F$27&lt;&gt;"",VLOOKUP(F37*1000000,'Powell-Elevation-Area'!$B$5:$D$689,3)*$B$21/1000000 + VLOOKUP(F38*1000000,'Mead-Elevation-Area'!$B$5:$D$676,3)*$C$21/1000000,"")</f>
        <v>0.94260255899942713</v>
      </c>
      <c r="G39" s="14">
        <f ca="1">IF(G$27&lt;&gt;"",VLOOKUP(G37*1000000,'Powell-Elevation-Area'!$B$5:$D$689,3)*$B$21/1000000 + VLOOKUP(G38*1000000,'Mead-Elevation-Area'!$B$5:$D$676,3)*$C$21/1000000,"")</f>
        <v>0.91787336400057307</v>
      </c>
      <c r="H39" s="14">
        <f ca="1">IF(H$27&lt;&gt;"",VLOOKUP(H37*1000000,'Powell-Elevation-Area'!$B$5:$D$689,3)*$B$21/1000000 + VLOOKUP(H38*1000000,'Mead-Elevation-Area'!$B$5:$D$676,3)*$C$21/1000000,"")</f>
        <v>0.89452568849882697</v>
      </c>
      <c r="I39" s="14">
        <f ca="1">IF(I$27&lt;&gt;"",VLOOKUP(I37*1000000,'Powell-Elevation-Area'!$B$5:$D$689,3)*$B$21/1000000 + VLOOKUP(I38*1000000,'Mead-Elevation-Area'!$B$5:$D$676,3)*$C$21/1000000,"")</f>
        <v>0.87070397009942702</v>
      </c>
      <c r="J39" s="14">
        <f ca="1">IF(J$27&lt;&gt;"",VLOOKUP(J37*1000000,'Powell-Elevation-Area'!$B$5:$D$689,3)*$B$21/1000000 + VLOOKUP(J38*1000000,'Mead-Elevation-Area'!$B$5:$D$676,3)*$C$21/1000000,"")</f>
        <v>0.9118403250000271</v>
      </c>
      <c r="K39" s="14">
        <f ca="1">IF(K$27&lt;&gt;"",VLOOKUP(K37*1000000,'Powell-Elevation-Area'!$B$5:$D$689,3)*$B$21/1000000 + VLOOKUP(K38*1000000,'Mead-Elevation-Area'!$B$5:$D$676,3)*$C$21/1000000,"")</f>
        <v>0.951188637</v>
      </c>
      <c r="L39" s="14">
        <f ca="1">IF(L$27&lt;&gt;"",VLOOKUP(L37*1000000,'Powell-Elevation-Area'!$B$5:$D$689,3)*$B$21/1000000 + VLOOKUP(L38*1000000,'Mead-Elevation-Area'!$B$5:$D$676,3)*$C$21/1000000,"")</f>
        <v>0.98592591000057306</v>
      </c>
    </row>
    <row r="40" spans="1:14" x14ac:dyDescent="0.35">
      <c r="A40" t="str">
        <f t="shared" ref="A40:A45" si="9">IF(A6="","","    "&amp;A6&amp;" Share")</f>
        <v xml:space="preserve">    Upper Basin Share</v>
      </c>
      <c r="B40" s="1"/>
      <c r="C40" s="14">
        <f>IF(OR(C$27="",$A40=""),"",C$39*C30/C$29)</f>
        <v>0.24571184643515467</v>
      </c>
      <c r="D40" s="14">
        <f t="shared" ref="D40:L40" ca="1" si="10">IF(OR(D$27="",$A40=""),"",D$39*D30/D$29)</f>
        <v>0.22263288843707926</v>
      </c>
      <c r="E40" s="14">
        <f t="shared" ca="1" si="10"/>
        <v>0.20004596590031312</v>
      </c>
      <c r="F40" s="14">
        <f t="shared" ca="1" si="10"/>
        <v>0.17705969809654415</v>
      </c>
      <c r="G40" s="14">
        <f t="shared" ca="1" si="10"/>
        <v>0.15399863296255875</v>
      </c>
      <c r="H40" s="14">
        <f t="shared" ca="1" si="10"/>
        <v>0.13124095683506026</v>
      </c>
      <c r="I40" s="14">
        <f t="shared" ca="1" si="10"/>
        <v>0.10846713230972101</v>
      </c>
      <c r="J40" s="14">
        <f t="shared" ca="1" si="10"/>
        <v>0.16014763901794729</v>
      </c>
      <c r="K40" s="14">
        <f t="shared" ca="1" si="10"/>
        <v>0.20724179450252053</v>
      </c>
      <c r="L40" s="14">
        <f t="shared" ca="1" si="10"/>
        <v>0.24980385962330309</v>
      </c>
    </row>
    <row r="41" spans="1:14" x14ac:dyDescent="0.35">
      <c r="A41" t="str">
        <f t="shared" si="9"/>
        <v xml:space="preserve">    Lower Basin Share</v>
      </c>
      <c r="B41" s="1"/>
      <c r="C41" s="14">
        <f t="shared" ref="C41:L45" si="11">IF(OR(C$27="",$A41=""),"",C$39*C31/C$29)</f>
        <v>0.20638492544244763</v>
      </c>
      <c r="D41" s="14">
        <f t="shared" ca="1" si="11"/>
        <v>0.19110998863608328</v>
      </c>
      <c r="E41" s="14">
        <f t="shared" ca="1" si="11"/>
        <v>0.17616551215787057</v>
      </c>
      <c r="F41" s="14">
        <f t="shared" ca="1" si="11"/>
        <v>0.16507733866169103</v>
      </c>
      <c r="G41" s="14">
        <f t="shared" ca="1" si="11"/>
        <v>0.15372280329235982</v>
      </c>
      <c r="H41" s="14">
        <f t="shared" ca="1" si="11"/>
        <v>0.1424639138789521</v>
      </c>
      <c r="I41" s="14">
        <f t="shared" ca="1" si="11"/>
        <v>0.13097085989204046</v>
      </c>
      <c r="J41" s="14">
        <f t="shared" ca="1" si="11"/>
        <v>0.13989187294644581</v>
      </c>
      <c r="K41" s="14">
        <f t="shared" ca="1" si="11"/>
        <v>0.14874003250845272</v>
      </c>
      <c r="L41" s="14">
        <f t="shared" ca="1" si="11"/>
        <v>0.15699109659578375</v>
      </c>
    </row>
    <row r="42" spans="1:14" x14ac:dyDescent="0.35">
      <c r="A42" t="str">
        <f t="shared" si="9"/>
        <v xml:space="preserve">    Mexico Share</v>
      </c>
      <c r="B42" s="1"/>
      <c r="C42" s="14">
        <f t="shared" si="11"/>
        <v>8.4270235222746598E-3</v>
      </c>
      <c r="D42" s="14">
        <f t="shared" ca="1" si="11"/>
        <v>8.159173572228973E-3</v>
      </c>
      <c r="E42" s="14">
        <f t="shared" ca="1" si="11"/>
        <v>7.9111419748544957E-3</v>
      </c>
      <c r="F42" s="14">
        <f t="shared" ca="1" si="11"/>
        <v>7.646171705776735E-3</v>
      </c>
      <c r="G42" s="14">
        <f t="shared" ca="1" si="11"/>
        <v>7.3769556368074663E-3</v>
      </c>
      <c r="H42" s="14">
        <f t="shared" ca="1" si="11"/>
        <v>7.120091651927416E-3</v>
      </c>
      <c r="I42" s="14">
        <f t="shared" ca="1" si="11"/>
        <v>6.8607318181194577E-3</v>
      </c>
      <c r="J42" s="14">
        <f t="shared" ca="1" si="11"/>
        <v>6.2946805758998916E-3</v>
      </c>
      <c r="K42" s="14">
        <f t="shared" ca="1" si="11"/>
        <v>5.807163469998388E-3</v>
      </c>
      <c r="L42" s="14">
        <f t="shared" ca="1" si="11"/>
        <v>5.3656673941975281E-3</v>
      </c>
    </row>
    <row r="43" spans="1:14" x14ac:dyDescent="0.35">
      <c r="A43" t="str">
        <f t="shared" si="9"/>
        <v xml:space="preserve">    Mohave &amp; Havasu Evap &amp; ET Share</v>
      </c>
      <c r="B43" s="1"/>
      <c r="C43" s="14">
        <f t="shared" si="11"/>
        <v>0</v>
      </c>
      <c r="D43" s="14">
        <f t="shared" ca="1" si="11"/>
        <v>0</v>
      </c>
      <c r="E43" s="14">
        <f t="shared" ca="1" si="11"/>
        <v>0</v>
      </c>
      <c r="F43" s="14">
        <f t="shared" ca="1" si="11"/>
        <v>0</v>
      </c>
      <c r="G43" s="14">
        <f t="shared" ca="1" si="11"/>
        <v>0</v>
      </c>
      <c r="H43" s="14">
        <f t="shared" ca="1" si="11"/>
        <v>0</v>
      </c>
      <c r="I43" s="14">
        <f t="shared" ca="1" si="11"/>
        <v>0</v>
      </c>
      <c r="J43" s="14">
        <f t="shared" ca="1" si="11"/>
        <v>0</v>
      </c>
      <c r="K43" s="14">
        <f t="shared" ca="1" si="11"/>
        <v>0</v>
      </c>
      <c r="L43" s="14">
        <f t="shared" ca="1" si="11"/>
        <v>0</v>
      </c>
    </row>
    <row r="44" spans="1:14" x14ac:dyDescent="0.35">
      <c r="A44" t="str">
        <f t="shared" si="9"/>
        <v xml:space="preserve">    Shared, Reserve Share</v>
      </c>
      <c r="B44" s="1"/>
      <c r="C44" s="14">
        <f t="shared" si="11"/>
        <v>0.56137388460009618</v>
      </c>
      <c r="D44" s="14">
        <f t="shared" ca="1" si="11"/>
        <v>0.57119442935518161</v>
      </c>
      <c r="E44" s="14">
        <f t="shared" ca="1" si="11"/>
        <v>0.58253713396638884</v>
      </c>
      <c r="F44" s="14">
        <f t="shared" ca="1" si="11"/>
        <v>0.59281935053541535</v>
      </c>
      <c r="G44" s="14">
        <f t="shared" ca="1" si="11"/>
        <v>0.60277497210884712</v>
      </c>
      <c r="H44" s="14">
        <f t="shared" ca="1" si="11"/>
        <v>0.61370072613288718</v>
      </c>
      <c r="I44" s="14">
        <f t="shared" ca="1" si="11"/>
        <v>0.62440524607954606</v>
      </c>
      <c r="J44" s="14">
        <f t="shared" ca="1" si="11"/>
        <v>0.60550613245973428</v>
      </c>
      <c r="K44" s="14">
        <f t="shared" ca="1" si="11"/>
        <v>0.58939964651902832</v>
      </c>
      <c r="L44" s="14">
        <f t="shared" ca="1" si="11"/>
        <v>0.57376528638728863</v>
      </c>
    </row>
    <row r="45" spans="1:14" x14ac:dyDescent="0.35">
      <c r="A45" t="str">
        <f t="shared" si="9"/>
        <v/>
      </c>
      <c r="B45" s="1"/>
      <c r="C45" s="14" t="str">
        <f t="shared" si="11"/>
        <v/>
      </c>
      <c r="D45" s="14" t="str">
        <f t="shared" si="11"/>
        <v/>
      </c>
      <c r="E45" s="14" t="str">
        <f t="shared" si="11"/>
        <v/>
      </c>
      <c r="F45" s="14" t="str">
        <f t="shared" si="11"/>
        <v/>
      </c>
      <c r="G45" s="14" t="str">
        <f t="shared" si="11"/>
        <v/>
      </c>
      <c r="H45" s="14" t="str">
        <f t="shared" si="11"/>
        <v/>
      </c>
      <c r="I45" s="14" t="str">
        <f t="shared" si="11"/>
        <v/>
      </c>
      <c r="J45" s="14" t="str">
        <f t="shared" si="11"/>
        <v/>
      </c>
      <c r="K45" s="14" t="str">
        <f t="shared" si="11"/>
        <v/>
      </c>
      <c r="L45" s="14" t="str">
        <f t="shared" si="11"/>
        <v/>
      </c>
    </row>
    <row r="46" spans="1:14" x14ac:dyDescent="0.35">
      <c r="A46" s="1" t="s">
        <v>155</v>
      </c>
      <c r="B46" s="1"/>
      <c r="C46" s="50">
        <f>IF(C$27&lt;&gt;"",1.5-0.21/9/2-IF(SUM(C31,C32,C34/2)&lt;$T$66,$V$66,IF(C$31&lt;=$T$73,VLOOKUP(SUM(C31,C32,C34/2),$T$66:$V$74,3),0)),"")</f>
        <v>1.4583333333333333</v>
      </c>
      <c r="D46" s="50">
        <f t="shared" ref="D46:L46" ca="1" si="12">IF(D$27&lt;&gt;"",1.5-0.21/9/2-IF(SUM(D31,D32,D34/2)&lt;$T$66,$V$66,IF(D$31&lt;=$T$73,VLOOKUP(SUM(D31,D32,D34/2),$T$66:$V$74,3),0)),"")</f>
        <v>1.4583333333333333</v>
      </c>
      <c r="E46" s="50">
        <f t="shared" ca="1" si="12"/>
        <v>1.4543333333333333</v>
      </c>
      <c r="F46" s="50">
        <f t="shared" ca="1" si="12"/>
        <v>1.4543333333333333</v>
      </c>
      <c r="G46" s="50">
        <f t="shared" ca="1" si="12"/>
        <v>1.4543333333333333</v>
      </c>
      <c r="H46" s="50">
        <f t="shared" ca="1" si="12"/>
        <v>1.4543333333333333</v>
      </c>
      <c r="I46" s="50">
        <f t="shared" ca="1" si="12"/>
        <v>1.4543333333333333</v>
      </c>
      <c r="J46" s="50">
        <f t="shared" ca="1" si="12"/>
        <v>1.4543333333333333</v>
      </c>
      <c r="K46" s="50">
        <f t="shared" ca="1" si="12"/>
        <v>1.4543333333333333</v>
      </c>
      <c r="L46" s="50">
        <f t="shared" ca="1" si="12"/>
        <v>1.4543333333333333</v>
      </c>
    </row>
    <row r="47" spans="1:14" x14ac:dyDescent="0.35">
      <c r="A47" s="1" t="s">
        <v>202</v>
      </c>
      <c r="B47" s="1"/>
      <c r="C47" s="53">
        <f>IF(C27="","",SUM(C27:C28))</f>
        <v>13.200000000000001</v>
      </c>
      <c r="D47" s="53">
        <f t="shared" ref="D47:L47" si="13">IF(D27="","",SUM(D27:D28))</f>
        <v>13.200000000000001</v>
      </c>
      <c r="E47" s="53">
        <f t="shared" si="13"/>
        <v>13.200000000000001</v>
      </c>
      <c r="F47" s="53">
        <f t="shared" si="13"/>
        <v>13.200000000000001</v>
      </c>
      <c r="G47" s="53">
        <f t="shared" si="13"/>
        <v>13.200000000000001</v>
      </c>
      <c r="H47" s="53">
        <f t="shared" si="13"/>
        <v>13.200000000000001</v>
      </c>
      <c r="I47" s="53">
        <f t="shared" si="13"/>
        <v>15.200000000000001</v>
      </c>
      <c r="J47" s="53">
        <f t="shared" si="13"/>
        <v>15.200000000000001</v>
      </c>
      <c r="K47" s="53">
        <f t="shared" si="13"/>
        <v>15.200000000000001</v>
      </c>
      <c r="L47" s="53">
        <f t="shared" si="13"/>
        <v>15.200000000000001</v>
      </c>
      <c r="M47" s="46"/>
      <c r="N47" s="46"/>
    </row>
    <row r="48" spans="1:14" x14ac:dyDescent="0.35">
      <c r="A48" t="str">
        <f>IF(A6="","","    To "&amp;A6)</f>
        <v xml:space="preserve">    To Upper Basin</v>
      </c>
      <c r="B48" s="24" t="s">
        <v>156</v>
      </c>
      <c r="C48" s="14">
        <f>IF(OR(C$27="",$A48=""),"",IF(C$47&gt;SUM(C49:C53),C$47-SUM(C49:C53),0))</f>
        <v>3.8901463910332872</v>
      </c>
      <c r="D48" s="14">
        <f t="shared" ref="D48:L48" ca="1" si="14">IF(OR(D$27="",$A48=""),"",IF(D$47&gt;SUM(D49:D53),D$47-SUM(D49:D53),0))</f>
        <v>3.8852361186557438</v>
      </c>
      <c r="E48" s="14">
        <f t="shared" ca="1" si="14"/>
        <v>3.8815647663501416</v>
      </c>
      <c r="F48" s="14">
        <f t="shared" ca="1" si="14"/>
        <v>3.8764236580656277</v>
      </c>
      <c r="G48" s="14">
        <f t="shared" ca="1" si="14"/>
        <v>3.8714458472789115</v>
      </c>
      <c r="H48" s="14">
        <f t="shared" ca="1" si="14"/>
        <v>3.8659829702668915</v>
      </c>
      <c r="I48" s="14">
        <f t="shared" ca="1" si="14"/>
        <v>5.8606307102935631</v>
      </c>
      <c r="J48" s="14">
        <f t="shared" ca="1" si="14"/>
        <v>5.870080267103468</v>
      </c>
      <c r="K48" s="14">
        <f t="shared" ca="1" si="14"/>
        <v>5.8781335100738197</v>
      </c>
      <c r="L48" s="14">
        <f t="shared" ca="1" si="14"/>
        <v>5.8859506901396905</v>
      </c>
      <c r="M48" s="29"/>
      <c r="N48" s="29"/>
    </row>
    <row r="49" spans="1:26" x14ac:dyDescent="0.35">
      <c r="A49" t="str">
        <f t="shared" ref="A49:A53" si="15">IF(A7="","","    To "&amp;A7)</f>
        <v xml:space="preserve">    To Lower Basin</v>
      </c>
      <c r="B49" s="44">
        <f>7.5</f>
        <v>7.5</v>
      </c>
      <c r="C49" s="14">
        <f>IF(OR(C$27="",$A49=""),"",C28-C52/2-C51-C50/2+MIN($B49,C27-C50/2-C52/2))</f>
        <v>6.6901463910332852</v>
      </c>
      <c r="D49" s="14">
        <f t="shared" ref="D49:G49" ca="1" si="16">IF(OR(D$27="",$A49=""),"",D28-D52/2-D51-D50/2+MIN($B49,D27-D50/2-D52/2))</f>
        <v>6.6852361186557427</v>
      </c>
      <c r="E49" s="14">
        <f t="shared" ca="1" si="16"/>
        <v>6.6815647663501387</v>
      </c>
      <c r="F49" s="14">
        <f t="shared" ca="1" si="16"/>
        <v>6.6764236580656258</v>
      </c>
      <c r="G49" s="14">
        <f t="shared" ca="1" si="16"/>
        <v>6.6714458472789095</v>
      </c>
      <c r="H49" s="14">
        <f ca="1">IF(OR(H$27="",$A49=""),"",H28-H52/2-H51-H50/2+MIN($B49,H27-H50/2-H52/2))</f>
        <v>6.6659829702668896</v>
      </c>
      <c r="I49" s="14">
        <f t="shared" ref="I49:L49" ca="1" si="17">IF(OR(I$27="",$A49=""),"",I28-I52/2-I51-I50/2+MIN($B49,I27-I50/2-I52/2))</f>
        <v>6.6606307102935602</v>
      </c>
      <c r="J49" s="14">
        <f t="shared" ca="1" si="17"/>
        <v>6.670080267103466</v>
      </c>
      <c r="K49" s="14">
        <f t="shared" ca="1" si="17"/>
        <v>6.6781335100738195</v>
      </c>
      <c r="L49" s="14">
        <f t="shared" ca="1" si="17"/>
        <v>6.6859506901396895</v>
      </c>
      <c r="M49" s="29"/>
      <c r="N49" s="29"/>
    </row>
    <row r="50" spans="1:26" x14ac:dyDescent="0.35">
      <c r="A50" t="str">
        <f t="shared" si="15"/>
        <v xml:space="preserve">    To Mexico</v>
      </c>
      <c r="B50" s="44" t="s">
        <v>204</v>
      </c>
      <c r="C50" s="14">
        <f>IF(OR(C$27="",$A50=""),"",IF(C$47&gt;SUM(C51:C52,C46),C46,C$47-SUM(C51:C52)))</f>
        <v>1.4583333333333333</v>
      </c>
      <c r="D50" s="14">
        <f t="shared" ref="D50:L50" ca="1" si="18">IF(OR(D$27="",$A50=""),"",IF(D$47&gt;SUM(D51:D52,D46),D46,D$47-SUM(D51:D52)))</f>
        <v>1.4583333333333333</v>
      </c>
      <c r="E50" s="14">
        <f t="shared" ca="1" si="18"/>
        <v>1.4543333333333333</v>
      </c>
      <c r="F50" s="14">
        <f t="shared" ca="1" si="18"/>
        <v>1.4543333333333333</v>
      </c>
      <c r="G50" s="14">
        <f t="shared" ca="1" si="18"/>
        <v>1.4543333333333333</v>
      </c>
      <c r="H50" s="14">
        <f t="shared" ca="1" si="18"/>
        <v>1.4543333333333333</v>
      </c>
      <c r="I50" s="14">
        <f t="shared" ca="1" si="18"/>
        <v>1.4543333333333333</v>
      </c>
      <c r="J50" s="14">
        <f t="shared" ca="1" si="18"/>
        <v>1.4543333333333333</v>
      </c>
      <c r="K50" s="14">
        <f t="shared" ca="1" si="18"/>
        <v>1.4543333333333333</v>
      </c>
      <c r="L50" s="14">
        <f t="shared" ca="1" si="18"/>
        <v>1.4543333333333333</v>
      </c>
      <c r="M50" s="29"/>
      <c r="N50" s="29"/>
    </row>
    <row r="51" spans="1:26" x14ac:dyDescent="0.35">
      <c r="A51" t="str">
        <f t="shared" si="15"/>
        <v xml:space="preserve">    To Mohave &amp; Havasu Evap &amp; ET</v>
      </c>
      <c r="B51" s="44">
        <v>0.6</v>
      </c>
      <c r="C51" s="14">
        <f>IF(OR(C$27="",$A51=""),"",IF(C$47&gt;C52+$B$51,$B51,C$47-C52))</f>
        <v>0.6</v>
      </c>
      <c r="D51" s="14">
        <f t="shared" ref="D51:L51" ca="1" si="19">IF(OR(D$27="",$A51=""),"",IF(D$47&gt;D52+$B$51,$B51,D$47-D52))</f>
        <v>0.6</v>
      </c>
      <c r="E51" s="14">
        <f t="shared" ca="1" si="19"/>
        <v>0.6</v>
      </c>
      <c r="F51" s="14">
        <f t="shared" ca="1" si="19"/>
        <v>0.6</v>
      </c>
      <c r="G51" s="14">
        <f t="shared" ca="1" si="19"/>
        <v>0.6</v>
      </c>
      <c r="H51" s="14">
        <f t="shared" ca="1" si="19"/>
        <v>0.6</v>
      </c>
      <c r="I51" s="14">
        <f t="shared" ca="1" si="19"/>
        <v>0.6</v>
      </c>
      <c r="J51" s="14">
        <f t="shared" ca="1" si="19"/>
        <v>0.6</v>
      </c>
      <c r="K51" s="14">
        <f t="shared" ca="1" si="19"/>
        <v>0.6</v>
      </c>
      <c r="L51" s="14">
        <f t="shared" ca="1" si="19"/>
        <v>0.6</v>
      </c>
      <c r="M51" s="29"/>
      <c r="N51" s="29"/>
    </row>
    <row r="52" spans="1:26" x14ac:dyDescent="0.35">
      <c r="A52" t="str">
        <f t="shared" si="15"/>
        <v xml:space="preserve">    To Shared, Reserve</v>
      </c>
      <c r="B52" s="44" t="s">
        <v>203</v>
      </c>
      <c r="C52" s="14">
        <f>IF(OR(C$27="",$A52=""),"",IF(C$47&gt;C44,C44,C$47))</f>
        <v>0.56137388460009618</v>
      </c>
      <c r="D52" s="14">
        <f t="shared" ref="D52:L52" ca="1" si="20">IF(OR(D$27="",$A52=""),"",IF(D$47&gt;D44,D44,D$47))</f>
        <v>0.57119442935518161</v>
      </c>
      <c r="E52" s="14">
        <f t="shared" ca="1" si="20"/>
        <v>0.58253713396638884</v>
      </c>
      <c r="F52" s="14">
        <f t="shared" ca="1" si="20"/>
        <v>0.59281935053541535</v>
      </c>
      <c r="G52" s="14">
        <f t="shared" ca="1" si="20"/>
        <v>0.60277497210884712</v>
      </c>
      <c r="H52" s="14">
        <f t="shared" ca="1" si="20"/>
        <v>0.61370072613288718</v>
      </c>
      <c r="I52" s="14">
        <f t="shared" ca="1" si="20"/>
        <v>0.62440524607954606</v>
      </c>
      <c r="J52" s="14">
        <f t="shared" ca="1" si="20"/>
        <v>0.60550613245973428</v>
      </c>
      <c r="K52" s="14">
        <f t="shared" ca="1" si="20"/>
        <v>0.58939964651902832</v>
      </c>
      <c r="L52" s="14">
        <f t="shared" ca="1" si="20"/>
        <v>0.57376528638728863</v>
      </c>
      <c r="M52" s="29"/>
      <c r="N52" s="29"/>
    </row>
    <row r="53" spans="1:26" x14ac:dyDescent="0.35">
      <c r="A53" t="str">
        <f t="shared" si="15"/>
        <v/>
      </c>
      <c r="B53" s="44"/>
      <c r="C53" s="58" t="str">
        <f t="shared" ref="C53:L53" si="21">IF(OR(C$27="",$A53=""),"",IF(C$27&gt;$B53,$B53,C$27))</f>
        <v/>
      </c>
      <c r="D53" s="58" t="str">
        <f t="shared" si="21"/>
        <v/>
      </c>
      <c r="E53" s="58" t="str">
        <f t="shared" si="21"/>
        <v/>
      </c>
      <c r="F53" s="58" t="str">
        <f t="shared" si="21"/>
        <v/>
      </c>
      <c r="G53" s="58" t="str">
        <f t="shared" si="21"/>
        <v/>
      </c>
      <c r="H53" s="58" t="str">
        <f t="shared" si="21"/>
        <v/>
      </c>
      <c r="I53" s="58" t="str">
        <f t="shared" si="21"/>
        <v/>
      </c>
      <c r="J53" s="58" t="str">
        <f t="shared" si="21"/>
        <v/>
      </c>
      <c r="K53" s="58" t="str">
        <f t="shared" si="21"/>
        <v/>
      </c>
      <c r="L53" s="58" t="str">
        <f t="shared" si="21"/>
        <v/>
      </c>
      <c r="M53" s="29"/>
      <c r="N53" s="29"/>
    </row>
    <row r="54" spans="1:26" x14ac:dyDescent="0.35">
      <c r="C54"/>
    </row>
    <row r="55" spans="1:26" x14ac:dyDescent="0.35">
      <c r="A55" s="83" t="s">
        <v>196</v>
      </c>
      <c r="B55" s="84"/>
      <c r="C55" s="84"/>
      <c r="D55" s="84"/>
      <c r="E55" s="84"/>
      <c r="F55" s="84"/>
      <c r="G55" s="84"/>
      <c r="H55" s="84"/>
      <c r="I55" s="84"/>
      <c r="J55" s="84"/>
      <c r="K55" s="84"/>
      <c r="L55" s="84"/>
      <c r="M55" s="84"/>
      <c r="N55" s="84"/>
    </row>
    <row r="56" spans="1:26" x14ac:dyDescent="0.35">
      <c r="A56" s="80" t="str">
        <f>IF(A$6="[Unused]","",A6)</f>
        <v>Upper Basin</v>
      </c>
      <c r="B56" s="81"/>
      <c r="C56" s="81"/>
      <c r="D56" s="81"/>
      <c r="E56" s="81"/>
      <c r="F56" s="81"/>
      <c r="G56" s="81"/>
      <c r="H56" s="81"/>
      <c r="I56" s="81"/>
      <c r="J56" s="81"/>
      <c r="K56" s="81"/>
      <c r="L56" s="81"/>
      <c r="M56" s="82" t="s">
        <v>108</v>
      </c>
      <c r="N56" s="80" t="s">
        <v>187</v>
      </c>
    </row>
    <row r="57" spans="1:26" x14ac:dyDescent="0.35">
      <c r="A57" s="32" t="str">
        <f>IF(A56="[Unused]","","   Volume of Sales(+) and Purchases(-) [maf]")</f>
        <v xml:space="preserve">   Volume of Sales(+) and Purchases(-) [maf]</v>
      </c>
      <c r="C57" s="25"/>
      <c r="D57" s="25"/>
      <c r="E57" s="25"/>
      <c r="F57" s="25"/>
      <c r="G57" s="25"/>
      <c r="H57" s="25"/>
      <c r="I57" s="25">
        <v>0.5</v>
      </c>
      <c r="J57" s="25">
        <f>I57</f>
        <v>0.5</v>
      </c>
      <c r="K57" s="25">
        <f t="shared" ref="K57:L57" si="22">J57</f>
        <v>0.5</v>
      </c>
      <c r="L57" s="25">
        <f t="shared" si="22"/>
        <v>0.5</v>
      </c>
      <c r="M57" s="79">
        <f>SUM(C57:L57)</f>
        <v>2</v>
      </c>
      <c r="N57" t="str">
        <f>IF(A57="","","Add if multiple transactions, e.g.: 0.5 + 0.25")</f>
        <v>Add if multiple transactions, e.g.: 0.5 + 0.25</v>
      </c>
    </row>
    <row r="58" spans="1:26" x14ac:dyDescent="0.35">
      <c r="A58" s="32" t="str">
        <f>IF(A57="","","   Cash Intake(+) and Payments(-) [$ Mill]")</f>
        <v xml:space="preserve">   Cash Intake(+) and Payments(-) [$ Mill]</v>
      </c>
      <c r="C58" s="77"/>
      <c r="D58" s="77"/>
      <c r="E58" s="77"/>
      <c r="F58" s="77"/>
      <c r="G58" s="77"/>
      <c r="H58" s="77"/>
      <c r="I58" s="77">
        <f>350*I57</f>
        <v>175</v>
      </c>
      <c r="J58" s="77">
        <f t="shared" ref="J58:L58" si="23">350*J57</f>
        <v>175</v>
      </c>
      <c r="K58" s="77">
        <f t="shared" si="23"/>
        <v>175</v>
      </c>
      <c r="L58" s="77">
        <f t="shared" si="23"/>
        <v>175</v>
      </c>
      <c r="M58" s="76">
        <f>SUM(C58:L58)</f>
        <v>700</v>
      </c>
      <c r="N58" t="str">
        <f>IF(A58="","","Add if multiple transactions, e.g.: $350*0.5 + $450*0.25")</f>
        <v>Add if multiple transactions, e.g.: $350*0.5 + $450*0.25</v>
      </c>
    </row>
    <row r="59" spans="1:26" x14ac:dyDescent="0.35">
      <c r="A59" s="32" t="str">
        <f>IF(A58="","","   Volume of all players (should be zero)")</f>
        <v xml:space="preserve">   Volume of all players (should be zero)</v>
      </c>
      <c r="C59" s="79">
        <f t="shared" ref="C59:M59" ca="1" si="24">IF(OR(C$27="",$A59=""),"",C$112)</f>
        <v>0</v>
      </c>
      <c r="D59" s="79">
        <f t="shared" ca="1" si="24"/>
        <v>0</v>
      </c>
      <c r="E59" s="79">
        <f t="shared" ca="1" si="24"/>
        <v>0</v>
      </c>
      <c r="F59" s="79">
        <f t="shared" ca="1" si="24"/>
        <v>0</v>
      </c>
      <c r="G59" s="79">
        <f t="shared" ca="1" si="24"/>
        <v>0</v>
      </c>
      <c r="H59" s="79">
        <f t="shared" ca="1" si="24"/>
        <v>0</v>
      </c>
      <c r="I59" s="79">
        <f t="shared" ca="1" si="24"/>
        <v>0</v>
      </c>
      <c r="J59" s="79">
        <f t="shared" ca="1" si="24"/>
        <v>0</v>
      </c>
      <c r="K59" s="79">
        <f t="shared" ca="1" si="24"/>
        <v>0</v>
      </c>
      <c r="L59" s="79">
        <f t="shared" ca="1" si="24"/>
        <v>0</v>
      </c>
      <c r="M59" t="str">
        <f t="shared" si="24"/>
        <v/>
      </c>
      <c r="N59" t="str">
        <f>IF(A59="","","If non-zero, players need to change amount(s)")</f>
        <v>If non-zero, players need to change amount(s)</v>
      </c>
    </row>
    <row r="60" spans="1:26" x14ac:dyDescent="0.35">
      <c r="A60" s="1" t="str">
        <f>IF(A58="","","   Available Water [maf]")</f>
        <v xml:space="preserve">   Available Water [maf]</v>
      </c>
      <c r="C60" s="14">
        <f>IF(OR(C$27="",$A60=""),"",C30+C48-C40-C57)</f>
        <v>8.7178582945981322</v>
      </c>
      <c r="D60" s="14">
        <f t="shared" ref="D60:L60" ca="1" si="25">IF(OR(D$27="",$A60=""),"",D30+D48-D40-D57)</f>
        <v>8.1804615248167956</v>
      </c>
      <c r="E60" s="14">
        <f t="shared" ca="1" si="25"/>
        <v>7.6619803252666241</v>
      </c>
      <c r="F60" s="14">
        <f t="shared" ca="1" si="25"/>
        <v>7.1613442852357077</v>
      </c>
      <c r="G60" s="14">
        <f t="shared" ca="1" si="25"/>
        <v>6.6787914995520605</v>
      </c>
      <c r="H60" s="14">
        <f t="shared" ca="1" si="25"/>
        <v>6.2135335129838918</v>
      </c>
      <c r="I60" s="14">
        <f t="shared" ca="1" si="25"/>
        <v>7.2656970909677341</v>
      </c>
      <c r="J60" s="14">
        <f t="shared" ca="1" si="25"/>
        <v>8.2756297190532546</v>
      </c>
      <c r="K60" s="14">
        <f t="shared" ca="1" si="25"/>
        <v>9.2465214346245528</v>
      </c>
      <c r="L60" s="14">
        <f t="shared" ca="1" si="25"/>
        <v>10.18266826514094</v>
      </c>
      <c r="N60" t="str">
        <f>IF(A60="","","Available water = Account Balance + Available Inflow - Evaporation + Sales - Purchases")</f>
        <v>Available water = Account Balance + Available Inflow - Evaporation + Sales - Purchases</v>
      </c>
    </row>
    <row r="61" spans="1:26" x14ac:dyDescent="0.35">
      <c r="A61" s="1" t="str">
        <f>IF(A60="","","   Account Withdraw [maf] (less than available water)")</f>
        <v xml:space="preserve">   Account Withdraw [maf] (less than available water)</v>
      </c>
      <c r="C61" s="43">
        <f>IF(C60&gt;4.2,4.2,MAX(C60,0))</f>
        <v>4.2</v>
      </c>
      <c r="D61" s="43">
        <f t="shared" ref="D61:L61" ca="1" si="26">IF(D60&gt;4.2,4.2,MAX(D60,0))</f>
        <v>4.2</v>
      </c>
      <c r="E61" s="43">
        <f t="shared" ca="1" si="26"/>
        <v>4.2</v>
      </c>
      <c r="F61" s="43">
        <f t="shared" ca="1" si="26"/>
        <v>4.2</v>
      </c>
      <c r="G61" s="43">
        <f t="shared" ca="1" si="26"/>
        <v>4.2</v>
      </c>
      <c r="H61" s="43">
        <f t="shared" ca="1" si="26"/>
        <v>4.2</v>
      </c>
      <c r="I61" s="43">
        <f t="shared" ca="1" si="26"/>
        <v>4.2</v>
      </c>
      <c r="J61" s="43">
        <f t="shared" ca="1" si="26"/>
        <v>4.2</v>
      </c>
      <c r="K61" s="43">
        <f t="shared" ca="1" si="26"/>
        <v>4.2</v>
      </c>
      <c r="L61" s="43">
        <f t="shared" ca="1" si="26"/>
        <v>4.2</v>
      </c>
      <c r="N61" t="str">
        <f>IF(A61="","","Must be less than Available water")</f>
        <v>Must be less than Available water</v>
      </c>
    </row>
    <row r="62" spans="1:26" x14ac:dyDescent="0.35">
      <c r="A62" s="32" t="str">
        <f>IF(A61="","","   End of Year Balance [maf]")</f>
        <v xml:space="preserve">   End of Year Balance [maf]</v>
      </c>
      <c r="C62" s="78">
        <f>IF(OR(C$27="",$A62=""),"",C60-C61)</f>
        <v>4.517858294598132</v>
      </c>
      <c r="D62" s="78">
        <f t="shared" ref="D62:L62" ca="1" si="27">IF(OR(D$27="",$A62=""),"",D60-D61)</f>
        <v>3.9804615248167954</v>
      </c>
      <c r="E62" s="78">
        <f t="shared" ca="1" si="27"/>
        <v>3.4619803252666239</v>
      </c>
      <c r="F62" s="78">
        <f t="shared" ca="1" si="27"/>
        <v>2.9613442852357075</v>
      </c>
      <c r="G62" s="78">
        <f t="shared" ca="1" si="27"/>
        <v>2.4787914995520604</v>
      </c>
      <c r="H62" s="78">
        <f t="shared" ca="1" si="27"/>
        <v>2.0135335129838916</v>
      </c>
      <c r="I62" s="78">
        <f t="shared" ca="1" si="27"/>
        <v>3.0656970909677339</v>
      </c>
      <c r="J62" s="78">
        <f t="shared" ca="1" si="27"/>
        <v>4.0756297190532544</v>
      </c>
      <c r="K62" s="78">
        <f t="shared" ca="1" si="27"/>
        <v>5.0465214346245526</v>
      </c>
      <c r="L62" s="78">
        <f t="shared" ca="1" si="27"/>
        <v>5.9826682651409397</v>
      </c>
      <c r="N62" t="str">
        <f>IF(A62="","","Available water - Account Withdraw")</f>
        <v>Available water - Account Withdraw</v>
      </c>
    </row>
    <row r="63" spans="1:26" x14ac:dyDescent="0.35">
      <c r="C63"/>
      <c r="S63" s="1" t="s">
        <v>199</v>
      </c>
    </row>
    <row r="64" spans="1:26" x14ac:dyDescent="0.35">
      <c r="A64" s="80" t="str">
        <f>IF(A$7="","[Unused]",A7)</f>
        <v>Lower Basin</v>
      </c>
      <c r="B64" s="81"/>
      <c r="C64" s="81"/>
      <c r="D64" s="81"/>
      <c r="E64" s="81"/>
      <c r="F64" s="81"/>
      <c r="G64" s="81"/>
      <c r="H64" s="81"/>
      <c r="I64" s="81"/>
      <c r="J64" s="81"/>
      <c r="K64" s="81"/>
      <c r="L64" s="81"/>
      <c r="M64" s="82" t="s">
        <v>108</v>
      </c>
      <c r="N64" s="80" t="s">
        <v>187</v>
      </c>
      <c r="S64" s="37" t="s">
        <v>129</v>
      </c>
      <c r="T64" s="37" t="s">
        <v>130</v>
      </c>
      <c r="U64" s="38" t="s">
        <v>131</v>
      </c>
      <c r="V64" s="38" t="s">
        <v>132</v>
      </c>
      <c r="W64" s="37" t="s">
        <v>133</v>
      </c>
      <c r="X64" s="37" t="s">
        <v>133</v>
      </c>
      <c r="Y64" s="51" t="s">
        <v>152</v>
      </c>
      <c r="Z64" s="51" t="s">
        <v>153</v>
      </c>
    </row>
    <row r="65" spans="1:26" x14ac:dyDescent="0.35">
      <c r="A65" s="32" t="str">
        <f>IF(A64="[Unused]","","   Volume of Sales(+) and Purchases(-) [maf]")</f>
        <v xml:space="preserve">   Volume of Sales(+) and Purchases(-) [maf]</v>
      </c>
      <c r="C65" s="25"/>
      <c r="D65" s="25"/>
      <c r="E65" s="25"/>
      <c r="F65" s="25"/>
      <c r="G65" s="25"/>
      <c r="H65" s="25"/>
      <c r="I65" s="25">
        <f>-I57</f>
        <v>-0.5</v>
      </c>
      <c r="J65" s="25">
        <f t="shared" ref="J65:L65" si="28">-J57</f>
        <v>-0.5</v>
      </c>
      <c r="K65" s="25">
        <f t="shared" si="28"/>
        <v>-0.5</v>
      </c>
      <c r="L65" s="25">
        <f t="shared" si="28"/>
        <v>-0.5</v>
      </c>
      <c r="M65" s="79">
        <f>SUM(C65:L65)</f>
        <v>-2</v>
      </c>
      <c r="N65" t="str">
        <f>IF(A65="","",N57)</f>
        <v>Add if multiple transactions, e.g.: 0.5 + 0.25</v>
      </c>
      <c r="S65">
        <v>955</v>
      </c>
      <c r="T65" s="29">
        <v>0</v>
      </c>
      <c r="U65" s="85">
        <f>U66</f>
        <v>1.2000000000000002</v>
      </c>
      <c r="V65" s="85">
        <f t="shared" ref="V65:Z65" si="29">V66</f>
        <v>0.15</v>
      </c>
      <c r="W65" s="85">
        <f t="shared" si="29"/>
        <v>1.325</v>
      </c>
      <c r="X65" s="85">
        <f t="shared" si="29"/>
        <v>1.35</v>
      </c>
      <c r="Y65" s="85">
        <f t="shared" si="29"/>
        <v>0.125</v>
      </c>
      <c r="Z65" s="6">
        <f t="shared" si="29"/>
        <v>1350000</v>
      </c>
    </row>
    <row r="66" spans="1:26" x14ac:dyDescent="0.35">
      <c r="A66" s="32" t="str">
        <f>IF(A65="","","   Cash Intake(+) and Payments(-) [$ Mill]")</f>
        <v xml:space="preserve">   Cash Intake(+) and Payments(-) [$ Mill]</v>
      </c>
      <c r="C66" s="77"/>
      <c r="D66" s="77"/>
      <c r="E66" s="77"/>
      <c r="F66" s="77"/>
      <c r="G66" s="77"/>
      <c r="H66" s="77"/>
      <c r="I66" s="25">
        <f>-I58</f>
        <v>-175</v>
      </c>
      <c r="J66" s="25">
        <f t="shared" ref="J66:L66" si="30">-J58</f>
        <v>-175</v>
      </c>
      <c r="K66" s="25">
        <f t="shared" si="30"/>
        <v>-175</v>
      </c>
      <c r="L66" s="25">
        <f t="shared" si="30"/>
        <v>-175</v>
      </c>
      <c r="M66" s="76">
        <f>SUM(C66:L66)</f>
        <v>-700</v>
      </c>
      <c r="N66" t="str">
        <f t="shared" ref="N66:N70" si="31">IF(A66="","",N58)</f>
        <v>Add if multiple transactions, e.g.: $350*0.5 + $450*0.25</v>
      </c>
      <c r="S66" s="39">
        <v>1025</v>
      </c>
      <c r="T66" s="40">
        <v>5.981122</v>
      </c>
      <c r="U66" s="41">
        <f>X66-V66</f>
        <v>1.2000000000000002</v>
      </c>
      <c r="V66" s="49">
        <v>0.15</v>
      </c>
      <c r="W66" s="41">
        <v>1.325</v>
      </c>
      <c r="X66" s="41">
        <f t="shared" ref="X66:X73" si="32">Z66/1000000</f>
        <v>1.35</v>
      </c>
      <c r="Y66" s="42">
        <v>0.125</v>
      </c>
      <c r="Z66" s="52">
        <v>1350000</v>
      </c>
    </row>
    <row r="67" spans="1:26" x14ac:dyDescent="0.35">
      <c r="A67" s="32" t="str">
        <f>IF(A66="","","   Volume all players (should be zero)")</f>
        <v xml:space="preserve">   Volume all players (should be zero)</v>
      </c>
      <c r="C67" s="79">
        <f t="shared" ref="C67:M67" ca="1" si="33">IF(OR(C$27="",$A67=""),"",C$112)</f>
        <v>0</v>
      </c>
      <c r="D67" s="79">
        <f t="shared" ca="1" si="33"/>
        <v>0</v>
      </c>
      <c r="E67" s="79">
        <f t="shared" ca="1" si="33"/>
        <v>0</v>
      </c>
      <c r="F67" s="79">
        <f t="shared" ca="1" si="33"/>
        <v>0</v>
      </c>
      <c r="G67" s="79">
        <f t="shared" ca="1" si="33"/>
        <v>0</v>
      </c>
      <c r="H67" s="79">
        <f t="shared" ca="1" si="33"/>
        <v>0</v>
      </c>
      <c r="I67" s="79">
        <f t="shared" ca="1" si="33"/>
        <v>0</v>
      </c>
      <c r="J67" s="79">
        <f t="shared" ca="1" si="33"/>
        <v>0</v>
      </c>
      <c r="K67" s="79">
        <f t="shared" ca="1" si="33"/>
        <v>0</v>
      </c>
      <c r="L67" s="79">
        <f t="shared" ca="1" si="33"/>
        <v>0</v>
      </c>
      <c r="M67" t="str">
        <f t="shared" si="33"/>
        <v/>
      </c>
      <c r="N67" t="str">
        <f t="shared" si="31"/>
        <v>If non-zero, players need to change amount(s)</v>
      </c>
      <c r="S67" s="39">
        <v>1030</v>
      </c>
      <c r="T67" s="40">
        <v>6.305377</v>
      </c>
      <c r="U67" s="41">
        <f t="shared" ref="U67:U73" si="34">X67-V67</f>
        <v>1.117</v>
      </c>
      <c r="V67" s="49">
        <v>0.10100000000000001</v>
      </c>
      <c r="W67" s="41">
        <v>1.1870000000000001</v>
      </c>
      <c r="X67" s="41">
        <f t="shared" si="32"/>
        <v>1.218</v>
      </c>
      <c r="Y67" s="42">
        <v>7.0000000000000007E-2</v>
      </c>
      <c r="Z67" s="52">
        <v>1218000</v>
      </c>
    </row>
    <row r="68" spans="1:26" x14ac:dyDescent="0.35">
      <c r="A68" s="1" t="str">
        <f>IF(A66="","","   Available Water [maf]")</f>
        <v xml:space="preserve">   Available Water [maf]</v>
      </c>
      <c r="C68" s="14">
        <f t="shared" ref="C68:L68" si="35">IF(OR(C$27="",$A68=""),"",C31+C49-C41-C65)</f>
        <v>10.745168465590837</v>
      </c>
      <c r="D68" s="14">
        <f t="shared" ca="1" si="35"/>
        <v>10.372294595610496</v>
      </c>
      <c r="E68" s="14">
        <f t="shared" ca="1" si="35"/>
        <v>10.010693849802765</v>
      </c>
      <c r="F68" s="14">
        <f t="shared" ca="1" si="35"/>
        <v>9.7390401692066995</v>
      </c>
      <c r="G68" s="14">
        <f t="shared" ca="1" si="35"/>
        <v>9.4737632131932497</v>
      </c>
      <c r="H68" s="14">
        <f t="shared" ca="1" si="35"/>
        <v>9.2142822695811866</v>
      </c>
      <c r="I68" s="14">
        <f t="shared" ca="1" si="35"/>
        <v>9.4609421199827057</v>
      </c>
      <c r="J68" s="14">
        <f t="shared" ca="1" si="35"/>
        <v>9.7081305141397252</v>
      </c>
      <c r="K68" s="14">
        <f t="shared" ca="1" si="35"/>
        <v>9.9545239917050914</v>
      </c>
      <c r="L68" s="14">
        <f t="shared" ca="1" si="35"/>
        <v>10.200483585248998</v>
      </c>
      <c r="N68" t="str">
        <f t="shared" si="31"/>
        <v>Available water = Account Balance + Available Inflow - Evaporation + Sales - Purchases</v>
      </c>
      <c r="S68" s="39">
        <v>1035</v>
      </c>
      <c r="T68" s="40">
        <v>6.6375080000000004</v>
      </c>
      <c r="U68" s="41">
        <f t="shared" si="34"/>
        <v>1.0669999999999999</v>
      </c>
      <c r="V68" s="49">
        <v>9.1999999999999998E-2</v>
      </c>
      <c r="W68" s="41">
        <v>1.137</v>
      </c>
      <c r="X68" s="41">
        <f t="shared" si="32"/>
        <v>1.159</v>
      </c>
      <c r="Y68" s="42">
        <v>7.0000000000000007E-2</v>
      </c>
      <c r="Z68" s="52">
        <v>1159000</v>
      </c>
    </row>
    <row r="69" spans="1:26" x14ac:dyDescent="0.35">
      <c r="A69" s="1" t="str">
        <f>IF(A68="","","   Account Withdraw [maf]")</f>
        <v xml:space="preserve">   Account Withdraw [maf]</v>
      </c>
      <c r="C69" s="43">
        <f>7.5-VLOOKUP(C31+C32+$C$24,$T$65:$U$74,2)</f>
        <v>6.867</v>
      </c>
      <c r="D69" s="43">
        <f t="shared" ref="D69:L69" ca="1" si="36">7.5-VLOOKUP(D31+D32+$C$24,$T$65:$U$74,2)</f>
        <v>6.867</v>
      </c>
      <c r="E69" s="43">
        <f t="shared" ca="1" si="36"/>
        <v>6.7830000000000004</v>
      </c>
      <c r="F69" s="43">
        <f t="shared" ca="1" si="36"/>
        <v>6.7830000000000004</v>
      </c>
      <c r="G69" s="43">
        <f t="shared" ca="1" si="36"/>
        <v>6.7830000000000004</v>
      </c>
      <c r="H69" s="43">
        <f t="shared" ca="1" si="36"/>
        <v>6.7830000000000004</v>
      </c>
      <c r="I69" s="43">
        <f t="shared" ca="1" si="36"/>
        <v>6.7830000000000004</v>
      </c>
      <c r="J69" s="43">
        <f t="shared" ca="1" si="36"/>
        <v>6.7830000000000004</v>
      </c>
      <c r="K69" s="43">
        <f t="shared" ca="1" si="36"/>
        <v>6.7830000000000004</v>
      </c>
      <c r="L69" s="43">
        <f t="shared" ca="1" si="36"/>
        <v>6.7830000000000004</v>
      </c>
      <c r="N69" t="str">
        <f t="shared" si="31"/>
        <v>Must be less than Available water</v>
      </c>
      <c r="S69" s="39">
        <v>1040</v>
      </c>
      <c r="T69" s="40">
        <v>6.977665</v>
      </c>
      <c r="U69" s="41">
        <f t="shared" si="34"/>
        <v>1.0169999999999999</v>
      </c>
      <c r="V69" s="49">
        <v>8.4000000000000005E-2</v>
      </c>
      <c r="W69" s="41">
        <v>1.087</v>
      </c>
      <c r="X69" s="41">
        <f t="shared" si="32"/>
        <v>1.101</v>
      </c>
      <c r="Y69" s="42">
        <v>7.0000000000000007E-2</v>
      </c>
      <c r="Z69" s="52">
        <v>1101000</v>
      </c>
    </row>
    <row r="70" spans="1:26" x14ac:dyDescent="0.35">
      <c r="A70" s="32" t="str">
        <f>IF(A69="","","   End of Year Balance [maf]")</f>
        <v xml:space="preserve">   End of Year Balance [maf]</v>
      </c>
      <c r="C70" s="78">
        <f>IF(OR(C$27="",$A70=""),"",C68-C69)</f>
        <v>3.8781684655908366</v>
      </c>
      <c r="D70" s="78">
        <f t="shared" ref="D70:L70" ca="1" si="37">IF(OR(D$27="",$A70=""),"",D68-D69)</f>
        <v>3.5052945956104962</v>
      </c>
      <c r="E70" s="78">
        <f t="shared" ca="1" si="37"/>
        <v>3.2276938498027645</v>
      </c>
      <c r="F70" s="78">
        <f t="shared" ca="1" si="37"/>
        <v>2.9560401692066991</v>
      </c>
      <c r="G70" s="78">
        <f t="shared" ca="1" si="37"/>
        <v>2.6907632131932493</v>
      </c>
      <c r="H70" s="78">
        <f t="shared" ca="1" si="37"/>
        <v>2.4312822695811862</v>
      </c>
      <c r="I70" s="78">
        <f t="shared" ca="1" si="37"/>
        <v>2.6779421199827054</v>
      </c>
      <c r="J70" s="78">
        <f t="shared" ca="1" si="37"/>
        <v>2.9251305141397248</v>
      </c>
      <c r="K70" s="78">
        <f t="shared" ca="1" si="37"/>
        <v>3.171523991705091</v>
      </c>
      <c r="L70" s="78">
        <f t="shared" ca="1" si="37"/>
        <v>3.4174835852489975</v>
      </c>
      <c r="N70" t="str">
        <f t="shared" si="31"/>
        <v>Available water - Account Withdraw</v>
      </c>
      <c r="S70" s="39">
        <v>1045</v>
      </c>
      <c r="T70" s="40">
        <v>7.3260519999999998</v>
      </c>
      <c r="U70" s="41">
        <f t="shared" si="34"/>
        <v>0.96699999999999997</v>
      </c>
      <c r="V70" s="49">
        <v>7.5999999999999998E-2</v>
      </c>
      <c r="W70" s="41">
        <v>1.0369999999999999</v>
      </c>
      <c r="X70" s="41">
        <f t="shared" si="32"/>
        <v>1.0429999999999999</v>
      </c>
      <c r="Y70" s="42">
        <v>7.0000000000000007E-2</v>
      </c>
      <c r="Z70" s="52">
        <v>1043000</v>
      </c>
    </row>
    <row r="71" spans="1:26" x14ac:dyDescent="0.35">
      <c r="C71"/>
      <c r="S71" s="39">
        <v>1050</v>
      </c>
      <c r="T71" s="40">
        <v>7.6828779999999997</v>
      </c>
      <c r="U71" s="41">
        <f t="shared" si="34"/>
        <v>0.71699999999999997</v>
      </c>
      <c r="V71" s="49">
        <v>3.4000000000000002E-2</v>
      </c>
      <c r="W71" s="41">
        <v>0.78700000000000003</v>
      </c>
      <c r="X71" s="41">
        <f t="shared" si="32"/>
        <v>0.751</v>
      </c>
      <c r="Y71" s="42">
        <v>7.0000000000000007E-2</v>
      </c>
      <c r="Z71" s="52">
        <v>751000</v>
      </c>
    </row>
    <row r="72" spans="1:26" x14ac:dyDescent="0.35">
      <c r="A72" s="80" t="str">
        <f>IF(A$8="","[Unused]",A8)</f>
        <v>Mexico</v>
      </c>
      <c r="B72" s="81"/>
      <c r="C72" s="81"/>
      <c r="D72" s="81"/>
      <c r="E72" s="81"/>
      <c r="F72" s="81"/>
      <c r="G72" s="81"/>
      <c r="H72" s="81"/>
      <c r="I72" s="81"/>
      <c r="J72" s="81"/>
      <c r="K72" s="81"/>
      <c r="L72" s="81"/>
      <c r="M72" s="82" t="s">
        <v>108</v>
      </c>
      <c r="N72" s="80" t="s">
        <v>187</v>
      </c>
      <c r="S72" s="39">
        <v>1075</v>
      </c>
      <c r="T72" s="40">
        <v>9.6009879999900001</v>
      </c>
      <c r="U72" s="41">
        <f t="shared" si="34"/>
        <v>0.63300000000000001</v>
      </c>
      <c r="V72" s="49">
        <v>0.03</v>
      </c>
      <c r="W72" s="41">
        <v>0.68300000000000005</v>
      </c>
      <c r="X72" s="41">
        <f t="shared" si="32"/>
        <v>0.66300000000000003</v>
      </c>
      <c r="Y72" s="42">
        <v>0.05</v>
      </c>
      <c r="Z72" s="52">
        <v>663000</v>
      </c>
    </row>
    <row r="73" spans="1:26" x14ac:dyDescent="0.35">
      <c r="A73" s="32" t="str">
        <f>IF(A72="[Unused]","","   Volume of Sales(+) and Purchases(-) [maf]")</f>
        <v xml:space="preserve">   Volume of Sales(+) and Purchases(-) [maf]</v>
      </c>
      <c r="C73" s="25"/>
      <c r="D73" s="25"/>
      <c r="E73" s="25"/>
      <c r="F73" s="25"/>
      <c r="G73" s="25"/>
      <c r="H73" s="25"/>
      <c r="I73" s="25"/>
      <c r="J73" s="25"/>
      <c r="K73" s="25"/>
      <c r="L73" s="25"/>
      <c r="M73" s="79">
        <f>SUM(C73:L73)</f>
        <v>0</v>
      </c>
      <c r="N73" t="str">
        <f>IF(A73="","",N65)</f>
        <v>Add if multiple transactions, e.g.: 0.5 + 0.25</v>
      </c>
      <c r="S73" s="39">
        <v>1090</v>
      </c>
      <c r="T73" s="40">
        <v>10.857008</v>
      </c>
      <c r="U73" s="41">
        <f t="shared" si="34"/>
        <v>0.30000000000000004</v>
      </c>
      <c r="V73" s="49">
        <v>4.1000000000000002E-2</v>
      </c>
      <c r="W73" s="41">
        <v>0.3</v>
      </c>
      <c r="X73" s="41">
        <f t="shared" si="32"/>
        <v>0.34100000000000003</v>
      </c>
      <c r="Y73" s="38"/>
      <c r="Z73" s="52">
        <v>341000</v>
      </c>
    </row>
    <row r="74" spans="1:26" x14ac:dyDescent="0.35">
      <c r="A74" s="32" t="str">
        <f>IF(A73="","","   Cash Intake(+) and Payments(-) [$ Mill]")</f>
        <v xml:space="preserve">   Cash Intake(+) and Payments(-) [$ Mill]</v>
      </c>
      <c r="C74" s="77"/>
      <c r="D74" s="77"/>
      <c r="E74" s="77"/>
      <c r="F74" s="77"/>
      <c r="G74" s="77"/>
      <c r="H74" s="77"/>
      <c r="I74" s="77"/>
      <c r="J74" s="77"/>
      <c r="K74" s="77"/>
      <c r="L74" s="77"/>
      <c r="M74" s="76">
        <f>SUM(C74:L74)</f>
        <v>0</v>
      </c>
      <c r="N74" t="str">
        <f t="shared" ref="N74:N78" si="38">IF(A74="","",N66)</f>
        <v>Add if multiple transactions, e.g.: $350*0.5 + $450*0.25</v>
      </c>
      <c r="S74" s="39">
        <v>1091</v>
      </c>
      <c r="T74" s="40">
        <v>10.9</v>
      </c>
      <c r="U74" s="41">
        <v>0</v>
      </c>
      <c r="V74" s="49">
        <v>0</v>
      </c>
      <c r="W74" s="41">
        <v>0</v>
      </c>
      <c r="X74" s="41">
        <v>0</v>
      </c>
      <c r="Y74" s="38"/>
      <c r="Z74" s="52">
        <v>0</v>
      </c>
    </row>
    <row r="75" spans="1:26" x14ac:dyDescent="0.35">
      <c r="A75" s="32" t="str">
        <f>IF(A74="","","   Volume all players (should be zero)")</f>
        <v xml:space="preserve">   Volume all players (should be zero)</v>
      </c>
      <c r="C75" s="79">
        <f t="shared" ref="C75:M75" ca="1" si="39">IF(OR(C$27="",$A75=""),"",C$112)</f>
        <v>0</v>
      </c>
      <c r="D75" s="79">
        <f t="shared" ca="1" si="39"/>
        <v>0</v>
      </c>
      <c r="E75" s="79">
        <f t="shared" ca="1" si="39"/>
        <v>0</v>
      </c>
      <c r="F75" s="79">
        <f t="shared" ca="1" si="39"/>
        <v>0</v>
      </c>
      <c r="G75" s="79">
        <f t="shared" ca="1" si="39"/>
        <v>0</v>
      </c>
      <c r="H75" s="79">
        <f t="shared" ca="1" si="39"/>
        <v>0</v>
      </c>
      <c r="I75" s="79">
        <f t="shared" ca="1" si="39"/>
        <v>0</v>
      </c>
      <c r="J75" s="79">
        <f t="shared" ca="1" si="39"/>
        <v>0</v>
      </c>
      <c r="K75" s="79">
        <f t="shared" ca="1" si="39"/>
        <v>0</v>
      </c>
      <c r="L75" s="79">
        <f t="shared" ca="1" si="39"/>
        <v>0</v>
      </c>
      <c r="M75" t="str">
        <f t="shared" si="39"/>
        <v/>
      </c>
      <c r="N75" t="str">
        <f t="shared" si="38"/>
        <v>If non-zero, players need to change amount(s)</v>
      </c>
    </row>
    <row r="76" spans="1:26" x14ac:dyDescent="0.35">
      <c r="A76" s="1" t="str">
        <f>IF(A74="","","   Available Water [maf]")</f>
        <v xml:space="preserve">   Available Water [maf]</v>
      </c>
      <c r="C76" s="14">
        <f t="shared" ref="C76:L76" si="40">IF(OR(C$27="",$A76=""),"",C32+C50-C42-C73)</f>
        <v>1.6239063098110584</v>
      </c>
      <c r="D76" s="14">
        <f t="shared" ca="1" si="40"/>
        <v>1.6157471362388294</v>
      </c>
      <c r="E76" s="14">
        <f t="shared" ca="1" si="40"/>
        <v>1.6038359942639748</v>
      </c>
      <c r="F76" s="14">
        <f ca="1">IF(OR(F$27="",$A76=""),"",F32+F50-F42-F73)</f>
        <v>1.5961898225581981</v>
      </c>
      <c r="G76" s="14">
        <f t="shared" ca="1" si="40"/>
        <v>1.5888128669213906</v>
      </c>
      <c r="H76" s="14">
        <f t="shared" ca="1" si="40"/>
        <v>1.5816927752694632</v>
      </c>
      <c r="I76" s="14">
        <f t="shared" ca="1" si="40"/>
        <v>1.5748320434513436</v>
      </c>
      <c r="J76" s="14">
        <f t="shared" ca="1" si="40"/>
        <v>1.5685373628754438</v>
      </c>
      <c r="K76" s="14">
        <f t="shared" ca="1" si="40"/>
        <v>1.5627301994054454</v>
      </c>
      <c r="L76" s="14">
        <f t="shared" ca="1" si="40"/>
        <v>1.5573645320112479</v>
      </c>
      <c r="N76" t="str">
        <f t="shared" si="38"/>
        <v>Available water = Account Balance + Available Inflow - Evaporation + Sales - Purchases</v>
      </c>
    </row>
    <row r="77" spans="1:26" x14ac:dyDescent="0.35">
      <c r="A77" s="1" t="str">
        <f>IF(A76="","","   Account Withdraw [maf]")</f>
        <v xml:space="preserve">   Account Withdraw [maf]</v>
      </c>
      <c r="C77" s="50">
        <f>C46</f>
        <v>1.4583333333333333</v>
      </c>
      <c r="D77" s="50">
        <f t="shared" ref="D77:L77" ca="1" si="41">D46</f>
        <v>1.4583333333333333</v>
      </c>
      <c r="E77" s="50">
        <f t="shared" ca="1" si="41"/>
        <v>1.4543333333333333</v>
      </c>
      <c r="F77" s="50">
        <f t="shared" ca="1" si="41"/>
        <v>1.4543333333333333</v>
      </c>
      <c r="G77" s="50">
        <f t="shared" ca="1" si="41"/>
        <v>1.4543333333333333</v>
      </c>
      <c r="H77" s="50">
        <f t="shared" ca="1" si="41"/>
        <v>1.4543333333333333</v>
      </c>
      <c r="I77" s="50">
        <f t="shared" ca="1" si="41"/>
        <v>1.4543333333333333</v>
      </c>
      <c r="J77" s="50">
        <f t="shared" ca="1" si="41"/>
        <v>1.4543333333333333</v>
      </c>
      <c r="K77" s="50">
        <f t="shared" ca="1" si="41"/>
        <v>1.4543333333333333</v>
      </c>
      <c r="L77" s="50">
        <f t="shared" ca="1" si="41"/>
        <v>1.4543333333333333</v>
      </c>
      <c r="N77" t="str">
        <f t="shared" si="38"/>
        <v>Must be less than Available water</v>
      </c>
    </row>
    <row r="78" spans="1:26" x14ac:dyDescent="0.35">
      <c r="A78" s="32" t="str">
        <f>IF(A77="","","   End of Year Balance [maf]")</f>
        <v xml:space="preserve">   End of Year Balance [maf]</v>
      </c>
      <c r="C78" s="78">
        <f>IF(OR(C$27="",$A78=""),"",C76-C77)</f>
        <v>0.16557297647772518</v>
      </c>
      <c r="D78" s="78">
        <f t="shared" ref="D78:L78" ca="1" si="42">IF(OR(D$27="",$A78=""),"",D76-D77)</f>
        <v>0.15741380290549611</v>
      </c>
      <c r="E78" s="78">
        <f t="shared" ca="1" si="42"/>
        <v>0.14950266093064157</v>
      </c>
      <c r="F78" s="78">
        <f t="shared" ca="1" si="42"/>
        <v>0.14185648922486482</v>
      </c>
      <c r="G78" s="78">
        <f t="shared" ca="1" si="42"/>
        <v>0.13447953358805731</v>
      </c>
      <c r="H78" s="78">
        <f t="shared" ca="1" si="42"/>
        <v>0.12735944193612991</v>
      </c>
      <c r="I78" s="78">
        <f t="shared" ca="1" si="42"/>
        <v>0.12049871011801039</v>
      </c>
      <c r="J78" s="78">
        <f t="shared" ca="1" si="42"/>
        <v>0.11420402954211051</v>
      </c>
      <c r="K78" s="78">
        <f t="shared" ca="1" si="42"/>
        <v>0.10839686607211219</v>
      </c>
      <c r="L78" s="78">
        <f t="shared" ca="1" si="42"/>
        <v>0.10303119867791466</v>
      </c>
      <c r="N78" t="str">
        <f t="shared" si="38"/>
        <v>Available water - Account Withdraw</v>
      </c>
    </row>
    <row r="79" spans="1:26" x14ac:dyDescent="0.35">
      <c r="C79"/>
    </row>
    <row r="80" spans="1:26" x14ac:dyDescent="0.35">
      <c r="A80" s="80" t="str">
        <f>IF(A$9="","[Unused]",A9)</f>
        <v>Mohave &amp; Havasu Evap &amp; ET</v>
      </c>
      <c r="B80" s="81"/>
      <c r="C80" s="81"/>
      <c r="D80" s="81"/>
      <c r="E80" s="81"/>
      <c r="F80" s="81"/>
      <c r="G80" s="81"/>
      <c r="H80" s="81"/>
      <c r="I80" s="81"/>
      <c r="J80" s="81"/>
      <c r="K80" s="81"/>
      <c r="L80" s="81"/>
      <c r="M80" s="82" t="s">
        <v>108</v>
      </c>
      <c r="N80" s="80" t="s">
        <v>187</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9">
        <f>SUM(C81:L81)</f>
        <v>0</v>
      </c>
      <c r="N81" t="str">
        <f>IF(A81="","",N73)</f>
        <v>Add if multiple transactions, e.g.: 0.5 + 0.25</v>
      </c>
    </row>
    <row r="82" spans="1:14" x14ac:dyDescent="0.35">
      <c r="A82" s="32" t="str">
        <f>IF(A81="","","   Cash Intake(+) and Payments(-) [$ Mill]")</f>
        <v xml:space="preserve">   Cash Intake(+) and Payments(-) [$ Mill]</v>
      </c>
      <c r="C82" s="77"/>
      <c r="D82" s="77"/>
      <c r="E82" s="77"/>
      <c r="F82" s="77"/>
      <c r="G82" s="77"/>
      <c r="H82" s="77"/>
      <c r="I82" s="77"/>
      <c r="J82" s="77"/>
      <c r="K82" s="77"/>
      <c r="L82" s="77"/>
      <c r="M82" s="76">
        <f>SUM(C82:L82)</f>
        <v>0</v>
      </c>
      <c r="N82" t="str">
        <f t="shared" ref="N82:N86" si="43">IF(A82="","",N74)</f>
        <v>Add if multiple transactions, e.g.: $350*0.5 + $450*0.25</v>
      </c>
    </row>
    <row r="83" spans="1:14" x14ac:dyDescent="0.35">
      <c r="A83" s="32" t="str">
        <f>IF(A82="","","   Volume all players (should be zero)")</f>
        <v xml:space="preserve">   Volume all players (should be zero)</v>
      </c>
      <c r="C83" s="79">
        <f t="shared" ref="C83:M83" ca="1" si="44">IF(OR(C$27="",$A83=""),"",C$112)</f>
        <v>0</v>
      </c>
      <c r="D83" s="79">
        <f t="shared" ca="1" si="44"/>
        <v>0</v>
      </c>
      <c r="E83" s="79">
        <f t="shared" ca="1" si="44"/>
        <v>0</v>
      </c>
      <c r="F83" s="79">
        <f t="shared" ca="1" si="44"/>
        <v>0</v>
      </c>
      <c r="G83" s="79">
        <f t="shared" ca="1" si="44"/>
        <v>0</v>
      </c>
      <c r="H83" s="79">
        <f t="shared" ca="1" si="44"/>
        <v>0</v>
      </c>
      <c r="I83" s="79">
        <f t="shared" ca="1" si="44"/>
        <v>0</v>
      </c>
      <c r="J83" s="79">
        <f t="shared" ca="1" si="44"/>
        <v>0</v>
      </c>
      <c r="K83" s="79">
        <f t="shared" ca="1" si="44"/>
        <v>0</v>
      </c>
      <c r="L83" s="79">
        <f t="shared" ca="1" si="44"/>
        <v>0</v>
      </c>
      <c r="M83" t="str">
        <f t="shared" si="44"/>
        <v/>
      </c>
      <c r="N83" t="str">
        <f t="shared" si="43"/>
        <v>If non-zero, players need to change amount(s)</v>
      </c>
    </row>
    <row r="84" spans="1:14" x14ac:dyDescent="0.35">
      <c r="A84" s="1" t="str">
        <f>IF(A82="","","   Available Water [maf]")</f>
        <v xml:space="preserve">   Available Water [maf]</v>
      </c>
      <c r="C84" s="14">
        <f t="shared" ref="C84:L84" si="45">IF(OR(C$27="",$A84=""),"",C33+C51-C43-C81)</f>
        <v>0.6</v>
      </c>
      <c r="D84" s="14">
        <f t="shared" ca="1" si="45"/>
        <v>0.6</v>
      </c>
      <c r="E84" s="14">
        <f t="shared" ca="1" si="45"/>
        <v>0.6</v>
      </c>
      <c r="F84" s="14">
        <f t="shared" ca="1" si="45"/>
        <v>0.6</v>
      </c>
      <c r="G84" s="14">
        <f t="shared" ca="1" si="45"/>
        <v>0.6</v>
      </c>
      <c r="H84" s="14">
        <f t="shared" ca="1" si="45"/>
        <v>0.6</v>
      </c>
      <c r="I84" s="14">
        <f t="shared" ca="1" si="45"/>
        <v>0.6</v>
      </c>
      <c r="J84" s="14">
        <f t="shared" ca="1" si="45"/>
        <v>0.6</v>
      </c>
      <c r="K84" s="14">
        <f t="shared" ca="1" si="45"/>
        <v>0.6</v>
      </c>
      <c r="L84" s="14">
        <f t="shared" ca="1" si="45"/>
        <v>0.6</v>
      </c>
      <c r="N84" t="str">
        <f t="shared" si="43"/>
        <v>Available water = Account Balance + Available Inflow - Evaporation + Sales - Purchases</v>
      </c>
    </row>
    <row r="85" spans="1:14" x14ac:dyDescent="0.35">
      <c r="A85" s="1" t="str">
        <f>IF(A84="","","   Account Withdraw [maf]")</f>
        <v xml:space="preserve">   Account Withdraw [maf]</v>
      </c>
      <c r="C85" s="43">
        <f>C84</f>
        <v>0.6</v>
      </c>
      <c r="D85" s="43">
        <f t="shared" ref="D85:L85" ca="1" si="46">D84</f>
        <v>0.6</v>
      </c>
      <c r="E85" s="43">
        <f t="shared" ca="1" si="46"/>
        <v>0.6</v>
      </c>
      <c r="F85" s="43">
        <f t="shared" ca="1" si="46"/>
        <v>0.6</v>
      </c>
      <c r="G85" s="43">
        <f t="shared" ca="1" si="46"/>
        <v>0.6</v>
      </c>
      <c r="H85" s="43">
        <f t="shared" ca="1" si="46"/>
        <v>0.6</v>
      </c>
      <c r="I85" s="43">
        <f t="shared" ca="1" si="46"/>
        <v>0.6</v>
      </c>
      <c r="J85" s="43">
        <f t="shared" ca="1" si="46"/>
        <v>0.6</v>
      </c>
      <c r="K85" s="43">
        <f t="shared" ca="1" si="46"/>
        <v>0.6</v>
      </c>
      <c r="L85" s="43">
        <f t="shared" ca="1" si="46"/>
        <v>0.6</v>
      </c>
      <c r="N85" t="str">
        <f t="shared" si="43"/>
        <v>Must be less than Available water</v>
      </c>
    </row>
    <row r="86" spans="1:14" x14ac:dyDescent="0.35">
      <c r="A86" s="32" t="str">
        <f>IF(A85="","","   End of Year Balance [maf]")</f>
        <v xml:space="preserve">   End of Year Balance [maf]</v>
      </c>
      <c r="C86" s="78">
        <f>IF(OR(C$27="",$A86=""),"",C84-C85)</f>
        <v>0</v>
      </c>
      <c r="D86" s="78">
        <f t="shared" ref="D86:L86" ca="1" si="47">IF(OR(D$27="",$A86=""),"",D84-D85)</f>
        <v>0</v>
      </c>
      <c r="E86" s="78">
        <f t="shared" ca="1" si="47"/>
        <v>0</v>
      </c>
      <c r="F86" s="78">
        <f t="shared" ca="1" si="47"/>
        <v>0</v>
      </c>
      <c r="G86" s="78">
        <f t="shared" ca="1" si="47"/>
        <v>0</v>
      </c>
      <c r="H86" s="78">
        <f t="shared" ca="1" si="47"/>
        <v>0</v>
      </c>
      <c r="I86" s="78">
        <f t="shared" ca="1" si="47"/>
        <v>0</v>
      </c>
      <c r="J86" s="78">
        <f t="shared" ca="1" si="47"/>
        <v>0</v>
      </c>
      <c r="K86" s="78">
        <f t="shared" ca="1" si="47"/>
        <v>0</v>
      </c>
      <c r="L86" s="78">
        <f t="shared" ca="1" si="47"/>
        <v>0</v>
      </c>
      <c r="N86" t="str">
        <f t="shared" si="43"/>
        <v>Available water - Account Withdraw</v>
      </c>
    </row>
    <row r="87" spans="1:14" x14ac:dyDescent="0.35">
      <c r="C87"/>
    </row>
    <row r="88" spans="1:14" x14ac:dyDescent="0.35">
      <c r="A88" s="80" t="str">
        <f>IF(A$10="","[Unused]",A10)</f>
        <v>Shared, Reserve</v>
      </c>
      <c r="B88" s="81"/>
      <c r="C88" s="81"/>
      <c r="D88" s="81"/>
      <c r="E88" s="81"/>
      <c r="F88" s="81"/>
      <c r="G88" s="81"/>
      <c r="H88" s="81"/>
      <c r="I88" s="81"/>
      <c r="J88" s="81"/>
      <c r="K88" s="81"/>
      <c r="L88" s="81"/>
      <c r="M88" s="82" t="s">
        <v>108</v>
      </c>
      <c r="N88" s="80" t="s">
        <v>187</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9">
        <f>SUM(C89:L89)</f>
        <v>0</v>
      </c>
      <c r="N89" t="str">
        <f>IF(A89="","",N81)</f>
        <v>Add if multiple transactions, e.g.: 0.5 + 0.25</v>
      </c>
    </row>
    <row r="90" spans="1:14" x14ac:dyDescent="0.35">
      <c r="A90" s="32" t="str">
        <f>IF(A89="","","   Cash Intake(+) and Payments(-) [$ Mill]")</f>
        <v xml:space="preserve">   Cash Intake(+) and Payments(-) [$ Mill]</v>
      </c>
      <c r="C90" s="77"/>
      <c r="D90" s="77"/>
      <c r="E90" s="77"/>
      <c r="F90" s="77"/>
      <c r="G90" s="77"/>
      <c r="H90" s="77"/>
      <c r="I90" s="77"/>
      <c r="J90" s="77"/>
      <c r="K90" s="77"/>
      <c r="L90" s="77"/>
      <c r="M90" s="76">
        <f>SUM(C90:L90)</f>
        <v>0</v>
      </c>
      <c r="N90" t="str">
        <f t="shared" ref="N90:N94" si="48">IF(A90="","",N82)</f>
        <v>Add if multiple transactions, e.g.: $350*0.5 + $450*0.25</v>
      </c>
    </row>
    <row r="91" spans="1:14" x14ac:dyDescent="0.35">
      <c r="A91" s="32" t="str">
        <f>IF(A90="","","   Volume all players (should be zero)")</f>
        <v xml:space="preserve">   Volume all players (should be zero)</v>
      </c>
      <c r="C91" s="79">
        <f t="shared" ref="C91:M91" ca="1" si="49">IF(OR(C$27="",$A91=""),"",C$112)</f>
        <v>0</v>
      </c>
      <c r="D91" s="79">
        <f t="shared" ca="1" si="49"/>
        <v>0</v>
      </c>
      <c r="E91" s="79">
        <f t="shared" ca="1" si="49"/>
        <v>0</v>
      </c>
      <c r="F91" s="79">
        <f t="shared" ca="1" si="49"/>
        <v>0</v>
      </c>
      <c r="G91" s="79">
        <f t="shared" ca="1" si="49"/>
        <v>0</v>
      </c>
      <c r="H91" s="79">
        <f t="shared" ca="1" si="49"/>
        <v>0</v>
      </c>
      <c r="I91" s="79">
        <f t="shared" ca="1" si="49"/>
        <v>0</v>
      </c>
      <c r="J91" s="79">
        <f t="shared" ca="1" si="49"/>
        <v>0</v>
      </c>
      <c r="K91" s="79">
        <f t="shared" ca="1" si="49"/>
        <v>0</v>
      </c>
      <c r="L91" s="79">
        <f t="shared" ca="1" si="49"/>
        <v>0</v>
      </c>
      <c r="M91" t="str">
        <f t="shared" si="49"/>
        <v/>
      </c>
      <c r="N91" t="str">
        <f t="shared" si="48"/>
        <v>If non-zero, players need to change amount(s)</v>
      </c>
    </row>
    <row r="92" spans="1:14" x14ac:dyDescent="0.35">
      <c r="A92" s="1" t="str">
        <f>IF(A90="","","   Available Water [maf]")</f>
        <v xml:space="preserve">   Available Water [maf]</v>
      </c>
      <c r="C92" s="14">
        <f t="shared" ref="C92:L92" si="50">IF(OR(C$27="",$A92=""),"",C34+C52-C44-C89)</f>
        <v>11.59116925</v>
      </c>
      <c r="D92" s="14">
        <f t="shared" ca="1" si="50"/>
        <v>11.59116925</v>
      </c>
      <c r="E92" s="14">
        <f t="shared" ca="1" si="50"/>
        <v>11.59116925</v>
      </c>
      <c r="F92" s="14">
        <f t="shared" ca="1" si="50"/>
        <v>11.59116925</v>
      </c>
      <c r="G92" s="14">
        <f t="shared" ca="1" si="50"/>
        <v>11.59116925</v>
      </c>
      <c r="H92" s="14">
        <f t="shared" ca="1" si="50"/>
        <v>11.59116925</v>
      </c>
      <c r="I92" s="14">
        <f t="shared" ca="1" si="50"/>
        <v>11.59116925</v>
      </c>
      <c r="J92" s="14">
        <f t="shared" ca="1" si="50"/>
        <v>11.59116925</v>
      </c>
      <c r="K92" s="14">
        <f t="shared" ca="1" si="50"/>
        <v>11.59116925</v>
      </c>
      <c r="L92" s="14">
        <f t="shared" ca="1" si="50"/>
        <v>11.59116925</v>
      </c>
      <c r="N92" t="str">
        <f t="shared" si="48"/>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48"/>
        <v>Must be less than Available water</v>
      </c>
    </row>
    <row r="94" spans="1:14" x14ac:dyDescent="0.35">
      <c r="A94" s="32" t="str">
        <f>IF(A93="","","   End of Year Balance [maf]")</f>
        <v xml:space="preserve">   End of Year Balance [maf]</v>
      </c>
      <c r="C94" s="78">
        <f>IF(OR(C$27="",$A94=""),"",C92-C93)</f>
        <v>11.59116925</v>
      </c>
      <c r="D94" s="78">
        <f t="shared" ref="D94:L94" ca="1" si="51">IF(OR(D$27="",$A94=""),"",D92-D93)</f>
        <v>11.59116925</v>
      </c>
      <c r="E94" s="78">
        <f t="shared" ca="1" si="51"/>
        <v>11.59116925</v>
      </c>
      <c r="F94" s="78">
        <f t="shared" ca="1" si="51"/>
        <v>11.59116925</v>
      </c>
      <c r="G94" s="78">
        <f t="shared" ca="1" si="51"/>
        <v>11.59116925</v>
      </c>
      <c r="H94" s="78">
        <f t="shared" ca="1" si="51"/>
        <v>11.59116925</v>
      </c>
      <c r="I94" s="78">
        <f t="shared" ca="1" si="51"/>
        <v>11.59116925</v>
      </c>
      <c r="J94" s="78">
        <f t="shared" ca="1" si="51"/>
        <v>11.59116925</v>
      </c>
      <c r="K94" s="78">
        <f t="shared" ca="1" si="51"/>
        <v>11.59116925</v>
      </c>
      <c r="L94" s="78">
        <f t="shared" ca="1" si="51"/>
        <v>11.59116925</v>
      </c>
      <c r="N94" t="str">
        <f t="shared" si="48"/>
        <v>Available water - Account Withdraw</v>
      </c>
    </row>
    <row r="95" spans="1:14" x14ac:dyDescent="0.35">
      <c r="C95"/>
    </row>
    <row r="96" spans="1:14" x14ac:dyDescent="0.35">
      <c r="A96" s="80" t="str">
        <f>IF(A$11="","[Unused]",A11)</f>
        <v>[Unused]</v>
      </c>
      <c r="B96" s="81"/>
      <c r="C96" s="81"/>
      <c r="D96" s="81"/>
      <c r="E96" s="81"/>
      <c r="F96" s="81"/>
      <c r="G96" s="81"/>
      <c r="H96" s="81"/>
      <c r="I96" s="81"/>
      <c r="J96" s="81"/>
      <c r="K96" s="81"/>
      <c r="L96" s="81"/>
      <c r="M96" s="82" t="s">
        <v>108</v>
      </c>
      <c r="N96" s="80" t="s">
        <v>187</v>
      </c>
    </row>
    <row r="97" spans="1:14" x14ac:dyDescent="0.35">
      <c r="A97" s="32" t="str">
        <f>IF(A96="[Unused]","","   Volume of Sales(+) and Purchases(-) [maf]")</f>
        <v/>
      </c>
      <c r="C97" s="25"/>
      <c r="D97" s="25"/>
      <c r="E97" s="25"/>
      <c r="F97" s="25"/>
      <c r="G97" s="25"/>
      <c r="H97" s="25"/>
      <c r="I97" s="25"/>
      <c r="J97" s="25"/>
      <c r="K97" s="25"/>
      <c r="L97" s="25"/>
      <c r="M97" s="79">
        <f>SUM(C97:L97)</f>
        <v>0</v>
      </c>
      <c r="N97" t="str">
        <f>IF(A97="","",N89)</f>
        <v/>
      </c>
    </row>
    <row r="98" spans="1:14" x14ac:dyDescent="0.35">
      <c r="A98" s="32" t="str">
        <f>IF(A97="","","   Cash Intake(+) and Payments(-) [$ Mill]")</f>
        <v/>
      </c>
      <c r="C98" s="77"/>
      <c r="D98" s="77"/>
      <c r="E98" s="77"/>
      <c r="F98" s="77"/>
      <c r="G98" s="77"/>
      <c r="H98" s="77"/>
      <c r="I98" s="77"/>
      <c r="J98" s="77"/>
      <c r="K98" s="77"/>
      <c r="L98" s="77"/>
      <c r="M98" s="76">
        <f>SUM(C98:L98)</f>
        <v>0</v>
      </c>
      <c r="N98" t="str">
        <f t="shared" ref="N98:N102" si="52">IF(A98="","",N90)</f>
        <v/>
      </c>
    </row>
    <row r="99" spans="1:14" x14ac:dyDescent="0.35">
      <c r="A99" s="32" t="str">
        <f>IF(A98="","","   Volume all players (should be zero)")</f>
        <v/>
      </c>
      <c r="C99" s="79" t="str">
        <f t="shared" ref="C99:M99" si="53">IF(OR(C$27="",$A99=""),"",C$112)</f>
        <v/>
      </c>
      <c r="D99" s="79" t="str">
        <f t="shared" si="53"/>
        <v/>
      </c>
      <c r="E99" s="79" t="str">
        <f t="shared" si="53"/>
        <v/>
      </c>
      <c r="F99" s="79" t="str">
        <f t="shared" si="53"/>
        <v/>
      </c>
      <c r="G99" s="79" t="str">
        <f t="shared" si="53"/>
        <v/>
      </c>
      <c r="H99" s="79" t="str">
        <f t="shared" si="53"/>
        <v/>
      </c>
      <c r="I99" s="79" t="str">
        <f t="shared" si="53"/>
        <v/>
      </c>
      <c r="J99" s="79" t="str">
        <f t="shared" si="53"/>
        <v/>
      </c>
      <c r="K99" s="79" t="str">
        <f t="shared" si="53"/>
        <v/>
      </c>
      <c r="L99" s="79" t="str">
        <f t="shared" si="53"/>
        <v/>
      </c>
      <c r="M99" t="str">
        <f t="shared" si="53"/>
        <v/>
      </c>
      <c r="N99" t="str">
        <f t="shared" si="52"/>
        <v/>
      </c>
    </row>
    <row r="100" spans="1:14" x14ac:dyDescent="0.35">
      <c r="A100" s="1" t="str">
        <f>IF(A98="","","   Available Water [maf]")</f>
        <v/>
      </c>
      <c r="C100" s="14" t="str">
        <f t="shared" ref="C100:L100" si="54">IF(OR(C$27="",$A100=""),"",C35+C53-C45-C97)</f>
        <v/>
      </c>
      <c r="D100" s="14" t="str">
        <f t="shared" si="54"/>
        <v/>
      </c>
      <c r="E100" s="14" t="str">
        <f t="shared" si="54"/>
        <v/>
      </c>
      <c r="F100" s="14" t="str">
        <f t="shared" si="54"/>
        <v/>
      </c>
      <c r="G100" s="14" t="str">
        <f t="shared" si="54"/>
        <v/>
      </c>
      <c r="H100" s="14" t="str">
        <f t="shared" si="54"/>
        <v/>
      </c>
      <c r="I100" s="14" t="str">
        <f t="shared" si="54"/>
        <v/>
      </c>
      <c r="J100" s="14" t="str">
        <f t="shared" si="54"/>
        <v/>
      </c>
      <c r="K100" s="14" t="str">
        <f t="shared" si="54"/>
        <v/>
      </c>
      <c r="L100" s="14" t="str">
        <f t="shared" si="54"/>
        <v/>
      </c>
      <c r="N100" t="str">
        <f t="shared" si="52"/>
        <v/>
      </c>
    </row>
    <row r="101" spans="1:14" x14ac:dyDescent="0.35">
      <c r="A101" s="1" t="str">
        <f>IF(A100="","","   Account Withdraw [maf]")</f>
        <v/>
      </c>
      <c r="C101" s="43"/>
      <c r="D101" s="43"/>
      <c r="E101" s="43"/>
      <c r="F101" s="43"/>
      <c r="G101" s="43"/>
      <c r="H101" s="43"/>
      <c r="I101" s="43"/>
      <c r="J101" s="43"/>
      <c r="K101" s="43"/>
      <c r="L101" s="43"/>
      <c r="N101" t="str">
        <f t="shared" si="52"/>
        <v/>
      </c>
    </row>
    <row r="102" spans="1:14" x14ac:dyDescent="0.35">
      <c r="A102" s="32" t="str">
        <f>IF(A101="","","   End of Year Balance [maf]")</f>
        <v/>
      </c>
      <c r="C102" s="78" t="str">
        <f>IF(OR(C$27="",$A102=""),"",C100-C101)</f>
        <v/>
      </c>
      <c r="D102" s="78" t="str">
        <f t="shared" ref="D102:L102" si="55">IF(OR(D$27="",$A102=""),"",D100-D101)</f>
        <v/>
      </c>
      <c r="E102" s="78" t="str">
        <f t="shared" si="55"/>
        <v/>
      </c>
      <c r="F102" s="78" t="str">
        <f t="shared" si="55"/>
        <v/>
      </c>
      <c r="G102" s="78" t="str">
        <f t="shared" si="55"/>
        <v/>
      </c>
      <c r="H102" s="78" t="str">
        <f t="shared" si="55"/>
        <v/>
      </c>
      <c r="I102" s="78" t="str">
        <f t="shared" si="55"/>
        <v/>
      </c>
      <c r="J102" s="78" t="str">
        <f t="shared" si="55"/>
        <v/>
      </c>
      <c r="K102" s="78" t="str">
        <f t="shared" si="55"/>
        <v/>
      </c>
      <c r="L102" s="78" t="str">
        <f t="shared" si="55"/>
        <v/>
      </c>
      <c r="N102" t="str">
        <f t="shared" si="52"/>
        <v/>
      </c>
    </row>
    <row r="103" spans="1:14" x14ac:dyDescent="0.35">
      <c r="C103"/>
    </row>
    <row r="104" spans="1:14" x14ac:dyDescent="0.35">
      <c r="A104" s="83" t="s">
        <v>198</v>
      </c>
      <c r="B104" s="84"/>
      <c r="C104" s="84"/>
      <c r="D104" s="84"/>
      <c r="E104" s="84"/>
      <c r="F104" s="84"/>
      <c r="G104" s="84"/>
      <c r="H104" s="84"/>
      <c r="I104" s="84"/>
      <c r="J104" s="84"/>
      <c r="K104" s="84"/>
      <c r="L104" s="84"/>
      <c r="M104" s="84"/>
      <c r="N104" s="84"/>
    </row>
    <row r="105" spans="1:14" x14ac:dyDescent="0.35">
      <c r="A105" s="1" t="s">
        <v>159</v>
      </c>
      <c r="C105"/>
      <c r="M105" t="s">
        <v>197</v>
      </c>
      <c r="N105" t="s">
        <v>160</v>
      </c>
    </row>
    <row r="106" spans="1:14" x14ac:dyDescent="0.35">
      <c r="A106" t="str">
        <f t="shared" ref="A106:A111" si="56">IF(A6="","","    "&amp;A6)</f>
        <v xml:space="preserve">    Upper Basin</v>
      </c>
      <c r="B106" s="1"/>
      <c r="C106" s="79">
        <f t="shared" ref="C106:L111" ca="1" si="57">IF(OR(C$27="",$A106=""),"",OFFSET(C$57,8*(ROW(B106)-ROW(B$106)),0))</f>
        <v>0</v>
      </c>
      <c r="D106" s="79">
        <f t="shared" ca="1" si="57"/>
        <v>0</v>
      </c>
      <c r="E106" s="79">
        <f t="shared" ca="1" si="57"/>
        <v>0</v>
      </c>
      <c r="F106" s="79">
        <f t="shared" ca="1" si="57"/>
        <v>0</v>
      </c>
      <c r="G106" s="79">
        <f t="shared" ca="1" si="57"/>
        <v>0</v>
      </c>
      <c r="H106" s="79">
        <f t="shared" ca="1" si="57"/>
        <v>0</v>
      </c>
      <c r="I106" s="79">
        <f t="shared" ca="1" si="57"/>
        <v>0.5</v>
      </c>
      <c r="J106" s="79">
        <f t="shared" ca="1" si="57"/>
        <v>0.5</v>
      </c>
      <c r="K106" s="79">
        <f t="shared" ca="1" si="57"/>
        <v>0.5</v>
      </c>
      <c r="L106" s="79">
        <f t="shared" ca="1" si="57"/>
        <v>0.5</v>
      </c>
      <c r="M106" s="79">
        <f ca="1">IF(OR($A106=""),"",SUM(C106:L106))</f>
        <v>2</v>
      </c>
      <c r="N106" s="76">
        <f>IF(OR($A106=""),"",M58)</f>
        <v>700</v>
      </c>
    </row>
    <row r="107" spans="1:14" x14ac:dyDescent="0.35">
      <c r="A107" t="str">
        <f t="shared" si="56"/>
        <v xml:space="preserve">    Lower Basin</v>
      </c>
      <c r="B107" s="1"/>
      <c r="C107" s="79">
        <f t="shared" ca="1" si="57"/>
        <v>0</v>
      </c>
      <c r="D107" s="79">
        <f t="shared" ca="1" si="57"/>
        <v>0</v>
      </c>
      <c r="E107" s="79">
        <f t="shared" ca="1" si="57"/>
        <v>0</v>
      </c>
      <c r="F107" s="79">
        <f t="shared" ca="1" si="57"/>
        <v>0</v>
      </c>
      <c r="G107" s="79">
        <f t="shared" ca="1" si="57"/>
        <v>0</v>
      </c>
      <c r="H107" s="79">
        <f t="shared" ca="1" si="57"/>
        <v>0</v>
      </c>
      <c r="I107" s="79">
        <f t="shared" ca="1" si="57"/>
        <v>-0.5</v>
      </c>
      <c r="J107" s="79">
        <f t="shared" ca="1" si="57"/>
        <v>-0.5</v>
      </c>
      <c r="K107" s="79">
        <f t="shared" ca="1" si="57"/>
        <v>-0.5</v>
      </c>
      <c r="L107" s="79">
        <f t="shared" ca="1" si="57"/>
        <v>-0.5</v>
      </c>
      <c r="M107" s="79">
        <f t="shared" ref="M107:M111" ca="1" si="58">IF(OR($A107=""),"",SUM(C107:L107))</f>
        <v>-2</v>
      </c>
      <c r="N107" s="76">
        <f>IF(OR($A107=""),"",M66)</f>
        <v>-700</v>
      </c>
    </row>
    <row r="108" spans="1:14" x14ac:dyDescent="0.35">
      <c r="A108" t="str">
        <f t="shared" si="56"/>
        <v xml:space="preserve">    Mexico</v>
      </c>
      <c r="B108" s="1"/>
      <c r="C108" s="79">
        <f t="shared" ca="1" si="57"/>
        <v>0</v>
      </c>
      <c r="D108" s="79">
        <f t="shared" ca="1" si="57"/>
        <v>0</v>
      </c>
      <c r="E108" s="79">
        <f t="shared" ca="1" si="57"/>
        <v>0</v>
      </c>
      <c r="F108" s="79">
        <f t="shared" ca="1" si="57"/>
        <v>0</v>
      </c>
      <c r="G108" s="79">
        <f t="shared" ca="1" si="57"/>
        <v>0</v>
      </c>
      <c r="H108" s="79">
        <f t="shared" ca="1" si="57"/>
        <v>0</v>
      </c>
      <c r="I108" s="79">
        <f t="shared" ca="1" si="57"/>
        <v>0</v>
      </c>
      <c r="J108" s="79">
        <f t="shared" ca="1" si="57"/>
        <v>0</v>
      </c>
      <c r="K108" s="79">
        <f t="shared" ca="1" si="57"/>
        <v>0</v>
      </c>
      <c r="L108" s="79">
        <f t="shared" ca="1" si="57"/>
        <v>0</v>
      </c>
      <c r="M108" s="79">
        <f t="shared" ca="1" si="58"/>
        <v>0</v>
      </c>
      <c r="N108" s="76">
        <f>IF(OR($A108=""),"",M74)</f>
        <v>0</v>
      </c>
    </row>
    <row r="109" spans="1:14" x14ac:dyDescent="0.35">
      <c r="A109" t="str">
        <f t="shared" si="56"/>
        <v xml:space="preserve">    Mohave &amp; Havasu Evap &amp; ET</v>
      </c>
      <c r="B109" s="1"/>
      <c r="C109" s="79">
        <f t="shared" ca="1" si="57"/>
        <v>0</v>
      </c>
      <c r="D109" s="79">
        <f t="shared" ca="1" si="57"/>
        <v>0</v>
      </c>
      <c r="E109" s="79">
        <f t="shared" ca="1" si="57"/>
        <v>0</v>
      </c>
      <c r="F109" s="79">
        <f t="shared" ca="1" si="57"/>
        <v>0</v>
      </c>
      <c r="G109" s="79">
        <f t="shared" ca="1" si="57"/>
        <v>0</v>
      </c>
      <c r="H109" s="79">
        <f t="shared" ca="1" si="57"/>
        <v>0</v>
      </c>
      <c r="I109" s="79">
        <f t="shared" ca="1" si="57"/>
        <v>0</v>
      </c>
      <c r="J109" s="79">
        <f t="shared" ca="1" si="57"/>
        <v>0</v>
      </c>
      <c r="K109" s="79">
        <f t="shared" ca="1" si="57"/>
        <v>0</v>
      </c>
      <c r="L109" s="79">
        <f t="shared" ca="1" si="57"/>
        <v>0</v>
      </c>
      <c r="M109" s="79">
        <f t="shared" ca="1" si="58"/>
        <v>0</v>
      </c>
      <c r="N109" s="76">
        <f>IF(OR($A109=""),"",M82)</f>
        <v>0</v>
      </c>
    </row>
    <row r="110" spans="1:14" x14ac:dyDescent="0.35">
      <c r="A110" t="str">
        <f t="shared" si="56"/>
        <v xml:space="preserve">    Shared, Reserve</v>
      </c>
      <c r="B110" s="1"/>
      <c r="C110" s="79">
        <f t="shared" ca="1" si="57"/>
        <v>0</v>
      </c>
      <c r="D110" s="79">
        <f t="shared" ca="1" si="57"/>
        <v>0</v>
      </c>
      <c r="E110" s="79">
        <f t="shared" ca="1" si="57"/>
        <v>0</v>
      </c>
      <c r="F110" s="79">
        <f t="shared" ca="1" si="57"/>
        <v>0</v>
      </c>
      <c r="G110" s="79">
        <f t="shared" ca="1" si="57"/>
        <v>0</v>
      </c>
      <c r="H110" s="79">
        <f t="shared" ca="1" si="57"/>
        <v>0</v>
      </c>
      <c r="I110" s="79">
        <f t="shared" ca="1" si="57"/>
        <v>0</v>
      </c>
      <c r="J110" s="79">
        <f t="shared" ca="1" si="57"/>
        <v>0</v>
      </c>
      <c r="K110" s="79">
        <f t="shared" ca="1" si="57"/>
        <v>0</v>
      </c>
      <c r="L110" s="79">
        <f t="shared" ca="1" si="57"/>
        <v>0</v>
      </c>
      <c r="M110" s="79">
        <f t="shared" ca="1" si="58"/>
        <v>0</v>
      </c>
      <c r="N110" s="76">
        <f>IF(OR($A110=""),"",M90)</f>
        <v>0</v>
      </c>
    </row>
    <row r="111" spans="1:14" x14ac:dyDescent="0.35">
      <c r="A111" t="str">
        <f t="shared" si="56"/>
        <v/>
      </c>
      <c r="B111" s="1"/>
      <c r="C111" s="79" t="str">
        <f t="shared" ca="1" si="57"/>
        <v/>
      </c>
      <c r="D111" s="79" t="str">
        <f t="shared" ca="1" si="57"/>
        <v/>
      </c>
      <c r="E111" s="79" t="str">
        <f t="shared" ca="1" si="57"/>
        <v/>
      </c>
      <c r="F111" s="79" t="str">
        <f t="shared" ca="1" si="57"/>
        <v/>
      </c>
      <c r="G111" s="79" t="str">
        <f t="shared" ca="1" si="57"/>
        <v/>
      </c>
      <c r="H111" s="79" t="str">
        <f t="shared" ca="1" si="57"/>
        <v/>
      </c>
      <c r="I111" s="79" t="str">
        <f t="shared" ca="1" si="57"/>
        <v/>
      </c>
      <c r="J111" s="79" t="str">
        <f t="shared" ca="1" si="57"/>
        <v/>
      </c>
      <c r="K111" s="79" t="str">
        <f t="shared" ca="1" si="57"/>
        <v/>
      </c>
      <c r="L111" s="79" t="str">
        <f t="shared" ca="1" si="57"/>
        <v/>
      </c>
      <c r="M111" s="79" t="str">
        <f t="shared" si="58"/>
        <v/>
      </c>
      <c r="N111" s="76" t="str">
        <f>IF(OR($A111=""),"",M98)</f>
        <v/>
      </c>
    </row>
    <row r="112" spans="1:14" x14ac:dyDescent="0.35">
      <c r="A112" t="s">
        <v>154</v>
      </c>
      <c r="B112" s="1"/>
      <c r="C112" s="53">
        <f ca="1">IF(C$27&lt;&gt;"",SUM(C106:C111),"")</f>
        <v>0</v>
      </c>
      <c r="D112" s="53">
        <f t="shared" ref="D112:L112" ca="1" si="59">IF(D$27&lt;&gt;"",SUM(D106:D111),"")</f>
        <v>0</v>
      </c>
      <c r="E112" s="53">
        <f t="shared" ca="1" si="59"/>
        <v>0</v>
      </c>
      <c r="F112" s="53">
        <f t="shared" ca="1" si="59"/>
        <v>0</v>
      </c>
      <c r="G112" s="53">
        <f t="shared" ca="1" si="59"/>
        <v>0</v>
      </c>
      <c r="H112" s="53">
        <f t="shared" ca="1" si="59"/>
        <v>0</v>
      </c>
      <c r="I112" s="53">
        <f t="shared" ca="1" si="59"/>
        <v>0</v>
      </c>
      <c r="J112" s="53">
        <f t="shared" ca="1" si="59"/>
        <v>0</v>
      </c>
      <c r="K112" s="53">
        <f t="shared" ca="1" si="59"/>
        <v>0</v>
      </c>
      <c r="L112" s="53">
        <f t="shared" ca="1" si="59"/>
        <v>0</v>
      </c>
      <c r="M112" s="34"/>
    </row>
    <row r="113" spans="1:12" x14ac:dyDescent="0.35">
      <c r="A113" s="1" t="s">
        <v>135</v>
      </c>
      <c r="B113" s="1"/>
      <c r="C113" s="61"/>
      <c r="D113" s="2"/>
      <c r="E113" s="61"/>
      <c r="F113" s="2"/>
      <c r="G113" s="2"/>
      <c r="H113" s="2"/>
      <c r="I113" s="2"/>
      <c r="J113" s="2"/>
      <c r="K113" s="2"/>
      <c r="L113" s="2"/>
    </row>
    <row r="114" spans="1:12" x14ac:dyDescent="0.35">
      <c r="A114" t="str">
        <f>IF(A6="","","    "&amp;A6&amp;" - Consumptive Use and Headwaters Losses")</f>
        <v xml:space="preserve">    Upper Basin - Consumptive Use and Headwaters Losses</v>
      </c>
      <c r="C114" s="79">
        <f t="shared" ref="C114:L119" ca="1" si="60">IF(OR(C$27="",$A114=""),"",OFFSET(C$61,8*(ROW(B114)-ROW(B$114)),0))</f>
        <v>4.2</v>
      </c>
      <c r="D114" s="79">
        <f t="shared" ca="1" si="60"/>
        <v>4.2</v>
      </c>
      <c r="E114" s="79">
        <f t="shared" ca="1" si="60"/>
        <v>4.2</v>
      </c>
      <c r="F114" s="79">
        <f t="shared" ca="1" si="60"/>
        <v>4.2</v>
      </c>
      <c r="G114" s="79">
        <f t="shared" ca="1" si="60"/>
        <v>4.2</v>
      </c>
      <c r="H114" s="79">
        <f t="shared" ca="1" si="60"/>
        <v>4.2</v>
      </c>
      <c r="I114" s="79">
        <f t="shared" ca="1" si="60"/>
        <v>4.2</v>
      </c>
      <c r="J114" s="79">
        <f t="shared" ca="1" si="60"/>
        <v>4.2</v>
      </c>
      <c r="K114" s="79">
        <f t="shared" ca="1" si="60"/>
        <v>4.2</v>
      </c>
      <c r="L114" s="79">
        <f t="shared" ca="1" si="60"/>
        <v>4.2</v>
      </c>
    </row>
    <row r="115" spans="1:12" x14ac:dyDescent="0.35">
      <c r="A115" t="str">
        <f>IF(A7="","","    "&amp;A7&amp;" - Release from Mead")</f>
        <v xml:space="preserve">    Lower Basin - Release from Mead</v>
      </c>
      <c r="C115" s="79">
        <f t="shared" ca="1" si="60"/>
        <v>6.867</v>
      </c>
      <c r="D115" s="79">
        <f t="shared" ca="1" si="60"/>
        <v>6.867</v>
      </c>
      <c r="E115" s="79">
        <f t="shared" ca="1" si="60"/>
        <v>6.7830000000000004</v>
      </c>
      <c r="F115" s="79">
        <f t="shared" ca="1" si="60"/>
        <v>6.7830000000000004</v>
      </c>
      <c r="G115" s="79">
        <f t="shared" ca="1" si="60"/>
        <v>6.7830000000000004</v>
      </c>
      <c r="H115" s="79">
        <f t="shared" ca="1" si="60"/>
        <v>6.7830000000000004</v>
      </c>
      <c r="I115" s="79">
        <f t="shared" ca="1" si="60"/>
        <v>6.7830000000000004</v>
      </c>
      <c r="J115" s="79">
        <f t="shared" ca="1" si="60"/>
        <v>6.7830000000000004</v>
      </c>
      <c r="K115" s="79">
        <f t="shared" ca="1" si="60"/>
        <v>6.7830000000000004</v>
      </c>
      <c r="L115" s="79">
        <f t="shared" ca="1" si="60"/>
        <v>6.7830000000000004</v>
      </c>
    </row>
    <row r="116" spans="1:12" x14ac:dyDescent="0.35">
      <c r="A116" t="str">
        <f>IF(A8="","","    "&amp;A8&amp;" - Release from Mead")</f>
        <v xml:space="preserve">    Mexico - Release from Mead</v>
      </c>
      <c r="C116" s="79">
        <f t="shared" ca="1" si="60"/>
        <v>1.4583333333333333</v>
      </c>
      <c r="D116" s="79">
        <f t="shared" ca="1" si="60"/>
        <v>1.4583333333333333</v>
      </c>
      <c r="E116" s="79">
        <f t="shared" ca="1" si="60"/>
        <v>1.4543333333333333</v>
      </c>
      <c r="F116" s="79">
        <f t="shared" ca="1" si="60"/>
        <v>1.4543333333333333</v>
      </c>
      <c r="G116" s="79">
        <f t="shared" ca="1" si="60"/>
        <v>1.4543333333333333</v>
      </c>
      <c r="H116" s="79">
        <f t="shared" ca="1" si="60"/>
        <v>1.4543333333333333</v>
      </c>
      <c r="I116" s="79">
        <f t="shared" ca="1" si="60"/>
        <v>1.4543333333333333</v>
      </c>
      <c r="J116" s="79">
        <f t="shared" ca="1" si="60"/>
        <v>1.4543333333333333</v>
      </c>
      <c r="K116" s="79">
        <f t="shared" ca="1" si="60"/>
        <v>1.4543333333333333</v>
      </c>
      <c r="L116" s="79">
        <f t="shared" ca="1" si="60"/>
        <v>1.4543333333333333</v>
      </c>
    </row>
    <row r="117" spans="1:12" x14ac:dyDescent="0.35">
      <c r="A117" t="str">
        <f>IF(A9="","","    "&amp;A9&amp;" - Release from Mead")</f>
        <v xml:space="preserve">    Mohave &amp; Havasu Evap &amp; ET - Release from Mead</v>
      </c>
      <c r="C117" s="79">
        <f t="shared" ca="1" si="60"/>
        <v>0.6</v>
      </c>
      <c r="D117" s="79">
        <f t="shared" ca="1" si="60"/>
        <v>0.6</v>
      </c>
      <c r="E117" s="79">
        <f t="shared" ca="1" si="60"/>
        <v>0.6</v>
      </c>
      <c r="F117" s="79">
        <f t="shared" ca="1" si="60"/>
        <v>0.6</v>
      </c>
      <c r="G117" s="79">
        <f t="shared" ca="1" si="60"/>
        <v>0.6</v>
      </c>
      <c r="H117" s="79">
        <f t="shared" ca="1" si="60"/>
        <v>0.6</v>
      </c>
      <c r="I117" s="79">
        <f t="shared" ca="1" si="60"/>
        <v>0.6</v>
      </c>
      <c r="J117" s="79">
        <f t="shared" ca="1" si="60"/>
        <v>0.6</v>
      </c>
      <c r="K117" s="79">
        <f t="shared" ca="1" si="60"/>
        <v>0.6</v>
      </c>
      <c r="L117" s="79">
        <f t="shared" ca="1" si="60"/>
        <v>0.6</v>
      </c>
    </row>
    <row r="118" spans="1:12" x14ac:dyDescent="0.35">
      <c r="A118" t="str">
        <f>IF(A10="","","    "&amp;A10&amp;" - Release from Mead")</f>
        <v xml:space="preserve">    Shared, Reserve - Release from Mead</v>
      </c>
      <c r="C118" s="79">
        <f t="shared" ca="1" si="60"/>
        <v>0</v>
      </c>
      <c r="D118" s="79">
        <f t="shared" ca="1" si="60"/>
        <v>0</v>
      </c>
      <c r="E118" s="79">
        <f t="shared" ca="1" si="60"/>
        <v>0</v>
      </c>
      <c r="F118" s="79">
        <f t="shared" ca="1" si="60"/>
        <v>0</v>
      </c>
      <c r="G118" s="79">
        <f t="shared" ca="1" si="60"/>
        <v>0</v>
      </c>
      <c r="H118" s="79">
        <f t="shared" ca="1" si="60"/>
        <v>0</v>
      </c>
      <c r="I118" s="79">
        <f t="shared" ca="1" si="60"/>
        <v>0</v>
      </c>
      <c r="J118" s="79">
        <f t="shared" ca="1" si="60"/>
        <v>0</v>
      </c>
      <c r="K118" s="79">
        <f t="shared" ca="1" si="60"/>
        <v>0</v>
      </c>
      <c r="L118" s="79">
        <f t="shared" ca="1" si="60"/>
        <v>0</v>
      </c>
    </row>
    <row r="119" spans="1:12" x14ac:dyDescent="0.35">
      <c r="A119" t="str">
        <f>IF(A11="","","    "&amp;A11&amp;" - Release from Mead")</f>
        <v/>
      </c>
      <c r="C119" s="79" t="str">
        <f t="shared" ca="1" si="60"/>
        <v/>
      </c>
      <c r="D119" s="79" t="str">
        <f t="shared" ca="1" si="60"/>
        <v/>
      </c>
      <c r="E119" s="79" t="str">
        <f t="shared" ca="1" si="60"/>
        <v/>
      </c>
      <c r="F119" s="79" t="str">
        <f t="shared" ca="1" si="60"/>
        <v/>
      </c>
      <c r="G119" s="79" t="str">
        <f t="shared" ca="1" si="60"/>
        <v/>
      </c>
      <c r="H119" s="79" t="str">
        <f t="shared" ca="1" si="60"/>
        <v/>
      </c>
      <c r="I119" s="79" t="str">
        <f t="shared" ca="1" si="60"/>
        <v/>
      </c>
      <c r="J119" s="79" t="str">
        <f t="shared" ca="1" si="60"/>
        <v/>
      </c>
      <c r="K119" s="79" t="str">
        <f t="shared" ca="1" si="60"/>
        <v/>
      </c>
      <c r="L119" s="79" t="str">
        <f t="shared" ca="1" si="60"/>
        <v/>
      </c>
    </row>
    <row r="120" spans="1:12" x14ac:dyDescent="0.35">
      <c r="A120" s="1" t="s">
        <v>140</v>
      </c>
      <c r="B120" s="1"/>
      <c r="D120" s="2"/>
      <c r="E120" s="2"/>
      <c r="F120" s="2"/>
      <c r="G120" s="2"/>
      <c r="H120" s="2"/>
      <c r="I120" s="2"/>
      <c r="J120" s="2"/>
      <c r="K120" s="2"/>
      <c r="L120" s="2"/>
    </row>
    <row r="121" spans="1:12" x14ac:dyDescent="0.35">
      <c r="A121" t="str">
        <f t="shared" ref="A121:A126" si="61">IF(A6="","","    "&amp;A6)</f>
        <v xml:space="preserve">    Upper Basin</v>
      </c>
      <c r="C121" s="79">
        <f t="shared" ref="C121:L126" ca="1" si="62">IF(OR(C$27="",$A121=""),"",OFFSET(C$62,8*(ROW(B121)-ROW(B$121)),0))</f>
        <v>4.517858294598132</v>
      </c>
      <c r="D121" s="79">
        <f t="shared" ca="1" si="62"/>
        <v>3.9804615248167954</v>
      </c>
      <c r="E121" s="79">
        <f t="shared" ca="1" si="62"/>
        <v>3.4619803252666239</v>
      </c>
      <c r="F121" s="79">
        <f t="shared" ca="1" si="62"/>
        <v>2.9613442852357075</v>
      </c>
      <c r="G121" s="79">
        <f t="shared" ca="1" si="62"/>
        <v>2.4787914995520604</v>
      </c>
      <c r="H121" s="79">
        <f t="shared" ca="1" si="62"/>
        <v>2.0135335129838916</v>
      </c>
      <c r="I121" s="79">
        <f t="shared" ca="1" si="62"/>
        <v>3.0656970909677339</v>
      </c>
      <c r="J121" s="79">
        <f t="shared" ca="1" si="62"/>
        <v>4.0756297190532544</v>
      </c>
      <c r="K121" s="79">
        <f t="shared" ca="1" si="62"/>
        <v>5.0465214346245526</v>
      </c>
      <c r="L121" s="79">
        <f t="shared" ca="1" si="62"/>
        <v>5.9826682651409397</v>
      </c>
    </row>
    <row r="122" spans="1:12" x14ac:dyDescent="0.35">
      <c r="A122" t="str">
        <f t="shared" si="61"/>
        <v xml:space="preserve">    Lower Basin</v>
      </c>
      <c r="C122" s="79">
        <f t="shared" ca="1" si="62"/>
        <v>3.8781684655908366</v>
      </c>
      <c r="D122" s="79">
        <f t="shared" ca="1" si="62"/>
        <v>3.5052945956104962</v>
      </c>
      <c r="E122" s="79">
        <f t="shared" ca="1" si="62"/>
        <v>3.2276938498027645</v>
      </c>
      <c r="F122" s="79">
        <f t="shared" ca="1" si="62"/>
        <v>2.9560401692066991</v>
      </c>
      <c r="G122" s="79">
        <f t="shared" ca="1" si="62"/>
        <v>2.6907632131932493</v>
      </c>
      <c r="H122" s="79">
        <f t="shared" ca="1" si="62"/>
        <v>2.4312822695811862</v>
      </c>
      <c r="I122" s="79">
        <f t="shared" ca="1" si="62"/>
        <v>2.6779421199827054</v>
      </c>
      <c r="J122" s="79">
        <f t="shared" ca="1" si="62"/>
        <v>2.9251305141397248</v>
      </c>
      <c r="K122" s="79">
        <f t="shared" ca="1" si="62"/>
        <v>3.171523991705091</v>
      </c>
      <c r="L122" s="79">
        <f t="shared" ca="1" si="62"/>
        <v>3.4174835852489975</v>
      </c>
    </row>
    <row r="123" spans="1:12" x14ac:dyDescent="0.35">
      <c r="A123" t="str">
        <f t="shared" si="61"/>
        <v xml:space="preserve">    Mexico</v>
      </c>
      <c r="C123" s="79">
        <f t="shared" ca="1" si="62"/>
        <v>0.16557297647772518</v>
      </c>
      <c r="D123" s="79">
        <f t="shared" ca="1" si="62"/>
        <v>0.15741380290549611</v>
      </c>
      <c r="E123" s="79">
        <f t="shared" ca="1" si="62"/>
        <v>0.14950266093064157</v>
      </c>
      <c r="F123" s="79">
        <f t="shared" ca="1" si="62"/>
        <v>0.14185648922486482</v>
      </c>
      <c r="G123" s="79">
        <f t="shared" ca="1" si="62"/>
        <v>0.13447953358805731</v>
      </c>
      <c r="H123" s="79">
        <f t="shared" ca="1" si="62"/>
        <v>0.12735944193612991</v>
      </c>
      <c r="I123" s="79">
        <f t="shared" ca="1" si="62"/>
        <v>0.12049871011801039</v>
      </c>
      <c r="J123" s="79">
        <f t="shared" ca="1" si="62"/>
        <v>0.11420402954211051</v>
      </c>
      <c r="K123" s="79">
        <f t="shared" ca="1" si="62"/>
        <v>0.10839686607211219</v>
      </c>
      <c r="L123" s="79">
        <f t="shared" ca="1" si="62"/>
        <v>0.10303119867791466</v>
      </c>
    </row>
    <row r="124" spans="1:12" x14ac:dyDescent="0.35">
      <c r="A124" t="str">
        <f t="shared" si="61"/>
        <v xml:space="preserve">    Mohave &amp; Havasu Evap &amp; ET</v>
      </c>
      <c r="C124" s="79">
        <f t="shared" ca="1" si="62"/>
        <v>0</v>
      </c>
      <c r="D124" s="79">
        <f t="shared" ca="1" si="62"/>
        <v>0</v>
      </c>
      <c r="E124" s="79">
        <f t="shared" ca="1" si="62"/>
        <v>0</v>
      </c>
      <c r="F124" s="79">
        <f t="shared" ca="1" si="62"/>
        <v>0</v>
      </c>
      <c r="G124" s="79">
        <f t="shared" ca="1" si="62"/>
        <v>0</v>
      </c>
      <c r="H124" s="79">
        <f t="shared" ca="1" si="62"/>
        <v>0</v>
      </c>
      <c r="I124" s="79">
        <f t="shared" ca="1" si="62"/>
        <v>0</v>
      </c>
      <c r="J124" s="79">
        <f t="shared" ca="1" si="62"/>
        <v>0</v>
      </c>
      <c r="K124" s="79">
        <f t="shared" ca="1" si="62"/>
        <v>0</v>
      </c>
      <c r="L124" s="79">
        <f t="shared" ca="1" si="62"/>
        <v>0</v>
      </c>
    </row>
    <row r="125" spans="1:12" x14ac:dyDescent="0.35">
      <c r="A125" t="str">
        <f t="shared" si="61"/>
        <v xml:space="preserve">    Shared, Reserve</v>
      </c>
      <c r="C125" s="79">
        <f t="shared" ca="1" si="62"/>
        <v>11.59116925</v>
      </c>
      <c r="D125" s="79">
        <f t="shared" ca="1" si="62"/>
        <v>11.59116925</v>
      </c>
      <c r="E125" s="79">
        <f t="shared" ca="1" si="62"/>
        <v>11.59116925</v>
      </c>
      <c r="F125" s="79">
        <f t="shared" ca="1" si="62"/>
        <v>11.59116925</v>
      </c>
      <c r="G125" s="79">
        <f t="shared" ca="1" si="62"/>
        <v>11.59116925</v>
      </c>
      <c r="H125" s="79">
        <f t="shared" ca="1" si="62"/>
        <v>11.59116925</v>
      </c>
      <c r="I125" s="79">
        <f t="shared" ca="1" si="62"/>
        <v>11.59116925</v>
      </c>
      <c r="J125" s="79">
        <f t="shared" ca="1" si="62"/>
        <v>11.59116925</v>
      </c>
      <c r="K125" s="79">
        <f t="shared" ca="1" si="62"/>
        <v>11.59116925</v>
      </c>
      <c r="L125" s="79">
        <f t="shared" ca="1" si="62"/>
        <v>11.59116925</v>
      </c>
    </row>
    <row r="126" spans="1:12" x14ac:dyDescent="0.35">
      <c r="A126" t="str">
        <f t="shared" si="61"/>
        <v/>
      </c>
      <c r="C126" s="79" t="str">
        <f t="shared" ca="1" si="62"/>
        <v/>
      </c>
      <c r="D126" s="79" t="str">
        <f t="shared" ca="1" si="62"/>
        <v/>
      </c>
      <c r="E126" s="79" t="str">
        <f t="shared" ca="1" si="62"/>
        <v/>
      </c>
      <c r="F126" s="79" t="str">
        <f t="shared" ca="1" si="62"/>
        <v/>
      </c>
      <c r="G126" s="79" t="str">
        <f t="shared" ca="1" si="62"/>
        <v/>
      </c>
      <c r="H126" s="79" t="str">
        <f t="shared" ca="1" si="62"/>
        <v/>
      </c>
      <c r="I126" s="79" t="str">
        <f t="shared" ca="1" si="62"/>
        <v/>
      </c>
      <c r="J126" s="79" t="str">
        <f t="shared" ca="1" si="62"/>
        <v/>
      </c>
      <c r="K126" s="79" t="str">
        <f t="shared" ca="1" si="62"/>
        <v/>
      </c>
      <c r="L126" s="79" t="str">
        <f t="shared" ca="1" si="62"/>
        <v/>
      </c>
    </row>
    <row r="127" spans="1:12" x14ac:dyDescent="0.35">
      <c r="A127" s="1" t="s">
        <v>124</v>
      </c>
      <c r="B127" s="1"/>
      <c r="C127" s="14">
        <f ca="1">IF(C$27&lt;&gt;"",SUM(C121:C126),"")</f>
        <v>20.152768986666693</v>
      </c>
      <c r="D127" s="14">
        <f t="shared" ref="D127:L127" ca="1" si="63">IF(D$27&lt;&gt;"",SUM(D121:D126),"")</f>
        <v>19.234339173332788</v>
      </c>
      <c r="E127" s="14">
        <f t="shared" ca="1" si="63"/>
        <v>18.430346086000029</v>
      </c>
      <c r="F127" s="14">
        <f t="shared" ca="1" si="63"/>
        <v>17.65041019366727</v>
      </c>
      <c r="G127" s="14">
        <f t="shared" ca="1" si="63"/>
        <v>16.895203496333366</v>
      </c>
      <c r="H127" s="14">
        <f t="shared" ca="1" si="63"/>
        <v>16.163344474501208</v>
      </c>
      <c r="I127" s="14">
        <f t="shared" ca="1" si="63"/>
        <v>17.455307171068448</v>
      </c>
      <c r="J127" s="14">
        <f t="shared" ca="1" si="63"/>
        <v>18.706133512735089</v>
      </c>
      <c r="K127" s="14">
        <f t="shared" ca="1" si="63"/>
        <v>19.917611542401758</v>
      </c>
      <c r="L127" s="14">
        <f t="shared" ca="1" si="63"/>
        <v>21.09435229906785</v>
      </c>
    </row>
    <row r="128" spans="1:12" x14ac:dyDescent="0.35">
      <c r="A128" s="1" t="s">
        <v>219</v>
      </c>
      <c r="B128" s="1"/>
      <c r="C128" s="89">
        <v>0.5</v>
      </c>
      <c r="D128" s="89">
        <v>0.5</v>
      </c>
      <c r="E128" s="89">
        <v>0.5</v>
      </c>
      <c r="F128" s="89">
        <v>0.5</v>
      </c>
      <c r="G128" s="89">
        <v>0.5</v>
      </c>
      <c r="H128" s="89">
        <v>0.5</v>
      </c>
      <c r="I128" s="89">
        <v>0.5</v>
      </c>
      <c r="J128" s="89">
        <v>0.5</v>
      </c>
      <c r="K128" s="89">
        <v>0.5</v>
      </c>
      <c r="L128" s="89">
        <v>0.5</v>
      </c>
    </row>
    <row r="129" spans="1:14" x14ac:dyDescent="0.35">
      <c r="A129" s="1" t="s">
        <v>215</v>
      </c>
      <c r="B129" s="1"/>
      <c r="C129" s="14">
        <f ca="1">IF(C27="","",C$128*C$127)</f>
        <v>10.076384493333347</v>
      </c>
      <c r="D129" s="14">
        <f t="shared" ref="D129:L129" ca="1" si="64">IF(D27="","",D$128*D$127)</f>
        <v>9.6171695866663942</v>
      </c>
      <c r="E129" s="14">
        <f t="shared" ca="1" si="64"/>
        <v>9.2151730430000143</v>
      </c>
      <c r="F129" s="14">
        <f t="shared" ca="1" si="64"/>
        <v>8.8252050968336349</v>
      </c>
      <c r="G129" s="14">
        <f t="shared" ca="1" si="64"/>
        <v>8.447601748166683</v>
      </c>
      <c r="H129" s="14">
        <f t="shared" ca="1" si="64"/>
        <v>8.0816722372506042</v>
      </c>
      <c r="I129" s="14">
        <f t="shared" ca="1" si="64"/>
        <v>8.7276535855342239</v>
      </c>
      <c r="J129" s="14">
        <f t="shared" ca="1" si="64"/>
        <v>9.3530667563675447</v>
      </c>
      <c r="K129" s="14">
        <f t="shared" ca="1" si="64"/>
        <v>9.9588057712008791</v>
      </c>
      <c r="L129" s="14">
        <f t="shared" ca="1" si="64"/>
        <v>10.547176149533925</v>
      </c>
    </row>
    <row r="130" spans="1:14" x14ac:dyDescent="0.35">
      <c r="A130" s="1" t="s">
        <v>216</v>
      </c>
      <c r="B130" s="1"/>
      <c r="C130" s="14">
        <f ca="1">IF(C28="","",(1-C$128)*C$127)</f>
        <v>10.076384493333347</v>
      </c>
      <c r="D130" s="14">
        <f t="shared" ref="D130:L130" ca="1" si="65">IF(D28="","",(1-D$128)*D$127)</f>
        <v>9.6171695866663942</v>
      </c>
      <c r="E130" s="14">
        <f t="shared" ca="1" si="65"/>
        <v>9.2151730430000143</v>
      </c>
      <c r="F130" s="14">
        <f t="shared" ca="1" si="65"/>
        <v>8.8252050968336349</v>
      </c>
      <c r="G130" s="14">
        <f t="shared" ca="1" si="65"/>
        <v>8.447601748166683</v>
      </c>
      <c r="H130" s="14">
        <f t="shared" ca="1" si="65"/>
        <v>8.0816722372506042</v>
      </c>
      <c r="I130" s="14">
        <f t="shared" ca="1" si="65"/>
        <v>8.7276535855342239</v>
      </c>
      <c r="J130" s="14">
        <f t="shared" ca="1" si="65"/>
        <v>9.3530667563675447</v>
      </c>
      <c r="K130" s="14">
        <f t="shared" ca="1" si="65"/>
        <v>9.9588057712008791</v>
      </c>
      <c r="L130" s="14">
        <f t="shared" ca="1" si="65"/>
        <v>10.547176149533925</v>
      </c>
    </row>
    <row r="131" spans="1:14" x14ac:dyDescent="0.35">
      <c r="A131" s="1" t="s">
        <v>146</v>
      </c>
      <c r="B131" s="1"/>
      <c r="C131" s="14">
        <f ca="1">IF(C$27&lt;&gt;"",-C129+C37+C27-C61-VLOOKUP(C37*1000000,'Powell-Elevation-Area'!$B$5:$D$689,3)*$B$21/1000000,"")</f>
        <v>8.6007186266660796</v>
      </c>
      <c r="D131" s="14">
        <f ca="1">IF(D$27&lt;&gt;"",-D129+D37+D27-D61-VLOOKUP(D37*1000000,'Powell-Elevation-Area'!$B$5:$D$689,3)*$B$21/1000000,"")</f>
        <v>8.1641658266663804</v>
      </c>
      <c r="E131" s="14">
        <f ca="1">IF(E$27&lt;&gt;"",-E129+E37+E27-E61-VLOOKUP(E37*1000000,'Powell-Elevation-Area'!$B$5:$D$689,3)*$B$21/1000000,"")</f>
        <v>8.1222247896669533</v>
      </c>
      <c r="F131" s="14">
        <f ca="1">IF(F$27&lt;&gt;"",-F129+F37+F27-F61-VLOOKUP(F37*1000000,'Powell-Elevation-Area'!$B$5:$D$689,3)*$B$21/1000000,"")</f>
        <v>8.1240713871669517</v>
      </c>
      <c r="G131" s="14">
        <f ca="1">IF(G$27&lt;&gt;"",-G129+G37+G27-G61-VLOOKUP(G37*1000000,'Powell-Elevation-Area'!$B$5:$D$689,3)*$B$21/1000000,"")</f>
        <v>8.1255819846663773</v>
      </c>
      <c r="H131" s="14">
        <f ca="1">IF(H$27&lt;&gt;"",-H129+H37+H27-H61-VLOOKUP(H37*1000000,'Powell-Elevation-Area'!$B$5:$D$689,3)*$B$21/1000000,"")</f>
        <v>8.1263958224166508</v>
      </c>
      <c r="I131" s="14">
        <f ca="1">IF(I$27&lt;&gt;"",-I129+I37+I27-I61-VLOOKUP(I37*1000000,'Powell-Elevation-Area'!$B$5:$D$689,3)*$B$21/1000000,"")</f>
        <v>9.1274466816169522</v>
      </c>
      <c r="J131" s="14">
        <f ca="1">IF(J$27&lt;&gt;"",-J129+J37+J27-J61-VLOOKUP(J37*1000000,'Powell-Elevation-Area'!$B$5:$D$689,3)*$B$21/1000000,"")</f>
        <v>9.1253405041672533</v>
      </c>
      <c r="K131" s="14">
        <f ca="1">IF(K$27&lt;&gt;"",-K129+K37+K27-K61-VLOOKUP(K37*1000000,'Powell-Elevation-Area'!$B$5:$D$689,3)*$B$21/1000000,"")</f>
        <v>9.122814348166667</v>
      </c>
      <c r="L131" s="14">
        <f ca="1">IF(L$27&lt;&gt;"",-L129+L37+L27-L61-VLOOKUP(L37*1000000,'Powell-Elevation-Area'!$B$5:$D$689,3)*$B$21/1000000,"")</f>
        <v>9.1207577116663803</v>
      </c>
      <c r="N131" t="s">
        <v>217</v>
      </c>
    </row>
    <row r="132" spans="1:14" x14ac:dyDescent="0.35">
      <c r="C132" s="29"/>
    </row>
    <row r="133" spans="1:14" x14ac:dyDescent="0.35">
      <c r="A133" s="1" t="s">
        <v>126</v>
      </c>
      <c r="C133" s="12">
        <f>IF(C$27&lt;&gt;"",0.2,"")</f>
        <v>0.2</v>
      </c>
      <c r="D133" s="12">
        <f t="shared" ref="D133:L133" si="66">IF(D$27&lt;&gt;"",0.2,"")</f>
        <v>0.2</v>
      </c>
      <c r="E133" s="12">
        <f t="shared" si="66"/>
        <v>0.2</v>
      </c>
      <c r="F133" s="12">
        <f t="shared" si="66"/>
        <v>0.2</v>
      </c>
      <c r="G133" s="12">
        <f t="shared" si="66"/>
        <v>0.2</v>
      </c>
      <c r="H133" s="12">
        <f t="shared" si="66"/>
        <v>0.2</v>
      </c>
      <c r="I133" s="12">
        <f t="shared" si="66"/>
        <v>0.2</v>
      </c>
      <c r="J133" s="12">
        <f t="shared" si="66"/>
        <v>0.2</v>
      </c>
      <c r="K133" s="12">
        <f t="shared" si="66"/>
        <v>0.2</v>
      </c>
      <c r="L133" s="12">
        <f t="shared" si="66"/>
        <v>0.2</v>
      </c>
    </row>
    <row r="134" spans="1:14" x14ac:dyDescent="0.35">
      <c r="A134" t="s">
        <v>127</v>
      </c>
      <c r="C134" s="14">
        <f t="shared" ref="C134:L134" ca="1" si="67">IF(C$27&lt;&gt;"",C115+C133,"")</f>
        <v>7.0670000000000002</v>
      </c>
      <c r="D134" s="14">
        <f t="shared" ca="1" si="67"/>
        <v>7.0670000000000002</v>
      </c>
      <c r="E134" s="14">
        <f t="shared" ca="1" si="67"/>
        <v>6.9830000000000005</v>
      </c>
      <c r="F134" s="14">
        <f t="shared" ca="1" si="67"/>
        <v>6.9830000000000005</v>
      </c>
      <c r="G134" s="14">
        <f t="shared" ca="1" si="67"/>
        <v>6.9830000000000005</v>
      </c>
      <c r="H134" s="14">
        <f t="shared" ca="1" si="67"/>
        <v>6.9830000000000005</v>
      </c>
      <c r="I134" s="14">
        <f t="shared" ca="1" si="67"/>
        <v>6.9830000000000005</v>
      </c>
      <c r="J134" s="14">
        <f t="shared" ca="1" si="67"/>
        <v>6.9830000000000005</v>
      </c>
      <c r="K134" s="14">
        <f t="shared" ca="1" si="67"/>
        <v>6.9830000000000005</v>
      </c>
      <c r="L134" s="14">
        <f t="shared" ca="1" si="67"/>
        <v>6.9830000000000005</v>
      </c>
    </row>
    <row r="136" spans="1:14" x14ac:dyDescent="0.35">
      <c r="D136" s="18"/>
    </row>
  </sheetData>
  <mergeCells count="9">
    <mergeCell ref="C9:G9"/>
    <mergeCell ref="C10:G10"/>
    <mergeCell ref="C11:G11"/>
    <mergeCell ref="A3:G3"/>
    <mergeCell ref="C4:G4"/>
    <mergeCell ref="C5:G5"/>
    <mergeCell ref="C6:G6"/>
    <mergeCell ref="C7:G7"/>
    <mergeCell ref="C8:G8"/>
  </mergeCells>
  <conditionalFormatting sqref="C61:L61">
    <cfRule type="cellIs" dxfId="106" priority="29" operator="greaterThan">
      <formula>$C$60</formula>
    </cfRule>
  </conditionalFormatting>
  <conditionalFormatting sqref="C69:L69">
    <cfRule type="cellIs" dxfId="105" priority="27" operator="greaterThan">
      <formula>$C$68</formula>
    </cfRule>
  </conditionalFormatting>
  <conditionalFormatting sqref="C77:L77">
    <cfRule type="cellIs" dxfId="104" priority="26" operator="greaterThan">
      <formula>$C$76</formula>
    </cfRule>
  </conditionalFormatting>
  <conditionalFormatting sqref="C85">
    <cfRule type="cellIs" dxfId="103" priority="25" operator="greaterThan">
      <formula>$C$84</formula>
    </cfRule>
  </conditionalFormatting>
  <conditionalFormatting sqref="D85">
    <cfRule type="cellIs" dxfId="102" priority="24" operator="greaterThan">
      <formula>$D$84</formula>
    </cfRule>
  </conditionalFormatting>
  <conditionalFormatting sqref="E85">
    <cfRule type="cellIs" dxfId="101" priority="23" operator="greaterThan">
      <formula>$E$84</formula>
    </cfRule>
  </conditionalFormatting>
  <conditionalFormatting sqref="F85">
    <cfRule type="cellIs" dxfId="100" priority="22" operator="greaterThan">
      <formula>$F$84</formula>
    </cfRule>
  </conditionalFormatting>
  <conditionalFormatting sqref="G85:L85">
    <cfRule type="cellIs" dxfId="99" priority="21" operator="greaterThan">
      <formula>$G$84</formula>
    </cfRule>
  </conditionalFormatting>
  <conditionalFormatting sqref="C93">
    <cfRule type="cellIs" dxfId="98" priority="20" operator="greaterThan">
      <formula>$C$92</formula>
    </cfRule>
  </conditionalFormatting>
  <conditionalFormatting sqref="D93">
    <cfRule type="cellIs" dxfId="97" priority="19" operator="greaterThan">
      <formula>$D$92</formula>
    </cfRule>
  </conditionalFormatting>
  <conditionalFormatting sqref="E93">
    <cfRule type="cellIs" dxfId="96" priority="18" operator="greaterThan">
      <formula>$E$92</formula>
    </cfRule>
  </conditionalFormatting>
  <conditionalFormatting sqref="F93">
    <cfRule type="cellIs" dxfId="95" priority="17" operator="greaterThan">
      <formula>$F$92</formula>
    </cfRule>
  </conditionalFormatting>
  <conditionalFormatting sqref="G93">
    <cfRule type="cellIs" dxfId="94" priority="16" operator="greaterThan">
      <formula>$G$92</formula>
    </cfRule>
  </conditionalFormatting>
  <conditionalFormatting sqref="H93">
    <cfRule type="cellIs" dxfId="93" priority="15" operator="greaterThan">
      <formula>$H$92</formula>
    </cfRule>
  </conditionalFormatting>
  <conditionalFormatting sqref="I93">
    <cfRule type="cellIs" dxfId="92" priority="14" operator="greaterThan">
      <formula>$I$92</formula>
    </cfRule>
  </conditionalFormatting>
  <conditionalFormatting sqref="J93">
    <cfRule type="cellIs" dxfId="91" priority="13" operator="greaterThan">
      <formula>$J$92</formula>
    </cfRule>
  </conditionalFormatting>
  <conditionalFormatting sqref="K93">
    <cfRule type="cellIs" dxfId="90" priority="12" operator="greaterThan">
      <formula>$K$92</formula>
    </cfRule>
  </conditionalFormatting>
  <conditionalFormatting sqref="L93">
    <cfRule type="cellIs" dxfId="89" priority="11" operator="greaterThan">
      <formula>$L$92</formula>
    </cfRule>
  </conditionalFormatting>
  <conditionalFormatting sqref="C101">
    <cfRule type="cellIs" dxfId="88" priority="10" operator="greaterThan">
      <formula>$C$100</formula>
    </cfRule>
  </conditionalFormatting>
  <conditionalFormatting sqref="D101">
    <cfRule type="cellIs" dxfId="87" priority="9" operator="greaterThan">
      <formula>$D$100</formula>
    </cfRule>
  </conditionalFormatting>
  <conditionalFormatting sqref="E101">
    <cfRule type="cellIs" dxfId="86" priority="8" operator="greaterThan">
      <formula>$E$100</formula>
    </cfRule>
  </conditionalFormatting>
  <conditionalFormatting sqref="F101">
    <cfRule type="cellIs" dxfId="85" priority="7" operator="greaterThan">
      <formula>$F$100</formula>
    </cfRule>
  </conditionalFormatting>
  <conditionalFormatting sqref="G101">
    <cfRule type="cellIs" dxfId="84" priority="6" operator="greaterThan">
      <formula>$G$100</formula>
    </cfRule>
  </conditionalFormatting>
  <conditionalFormatting sqref="H101">
    <cfRule type="cellIs" dxfId="83" priority="5" operator="greaterThan">
      <formula>$H$100</formula>
    </cfRule>
  </conditionalFormatting>
  <conditionalFormatting sqref="I101">
    <cfRule type="cellIs" dxfId="82" priority="4" operator="greaterThan">
      <formula>$I$100</formula>
    </cfRule>
  </conditionalFormatting>
  <conditionalFormatting sqref="J101">
    <cfRule type="cellIs" dxfId="81" priority="3" operator="greaterThan">
      <formula>$J$100</formula>
    </cfRule>
  </conditionalFormatting>
  <conditionalFormatting sqref="K101">
    <cfRule type="cellIs" dxfId="80" priority="2" operator="greaterThan">
      <formula>$K$100</formula>
    </cfRule>
  </conditionalFormatting>
  <conditionalFormatting sqref="L101">
    <cfRule type="cellIs" dxfId="79" priority="1"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28" id="{F3FDB18B-23B0-4342-9290-BC994104115C}">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81DD9-342D-4FB5-AEB0-ABC6804C3073}">
  <dimension ref="A1:Z136"/>
  <sheetViews>
    <sheetView topLeftCell="A5" zoomScale="150" zoomScaleNormal="150" workbookViewId="0">
      <selection activeCell="A10" sqref="A10:G10"/>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10" t="s">
        <v>161</v>
      </c>
      <c r="B3" s="110"/>
      <c r="C3" s="110"/>
      <c r="D3" s="110"/>
      <c r="E3" s="110"/>
      <c r="F3" s="110"/>
      <c r="G3" s="110"/>
      <c r="H3" s="94"/>
      <c r="I3" s="94"/>
      <c r="J3" s="94"/>
      <c r="K3" s="94"/>
    </row>
    <row r="4" spans="1:11" x14ac:dyDescent="0.35">
      <c r="A4" s="60" t="s">
        <v>39</v>
      </c>
      <c r="B4" s="60" t="s">
        <v>43</v>
      </c>
      <c r="C4" s="111" t="s">
        <v>44</v>
      </c>
      <c r="D4" s="112"/>
      <c r="E4" s="112"/>
      <c r="F4" s="112"/>
      <c r="G4" s="113"/>
    </row>
    <row r="5" spans="1:11" x14ac:dyDescent="0.35">
      <c r="A5" s="95" t="s">
        <v>52</v>
      </c>
      <c r="B5" s="95"/>
      <c r="C5" s="114"/>
      <c r="D5" s="114"/>
      <c r="E5" s="114"/>
      <c r="F5" s="114"/>
      <c r="G5" s="114"/>
    </row>
    <row r="6" spans="1:11" x14ac:dyDescent="0.35">
      <c r="A6" s="93" t="s">
        <v>40</v>
      </c>
      <c r="B6" s="93" t="s">
        <v>165</v>
      </c>
      <c r="C6" s="108" t="s">
        <v>162</v>
      </c>
      <c r="D6" s="108"/>
      <c r="E6" s="108"/>
      <c r="F6" s="108"/>
      <c r="G6" s="108"/>
    </row>
    <row r="7" spans="1:11" x14ac:dyDescent="0.35">
      <c r="A7" s="93" t="s">
        <v>41</v>
      </c>
      <c r="B7" s="93" t="s">
        <v>165</v>
      </c>
      <c r="C7" s="108" t="s">
        <v>162</v>
      </c>
      <c r="D7" s="108"/>
      <c r="E7" s="108"/>
      <c r="F7" s="108"/>
      <c r="G7" s="108"/>
    </row>
    <row r="8" spans="1:11" x14ac:dyDescent="0.35">
      <c r="A8" s="93" t="s">
        <v>42</v>
      </c>
      <c r="B8" s="93" t="s">
        <v>165</v>
      </c>
      <c r="C8" s="108" t="s">
        <v>162</v>
      </c>
      <c r="D8" s="108"/>
      <c r="E8" s="108"/>
      <c r="F8" s="108"/>
      <c r="G8" s="108"/>
    </row>
    <row r="9" spans="1:11" x14ac:dyDescent="0.35">
      <c r="A9" s="93" t="s">
        <v>157</v>
      </c>
      <c r="B9" s="93" t="s">
        <v>165</v>
      </c>
      <c r="C9" s="108" t="s">
        <v>163</v>
      </c>
      <c r="D9" s="108"/>
      <c r="E9" s="108"/>
      <c r="F9" s="108"/>
      <c r="G9" s="108"/>
    </row>
    <row r="10" spans="1:11" x14ac:dyDescent="0.35">
      <c r="A10" s="93" t="s">
        <v>170</v>
      </c>
      <c r="B10" s="93" t="s">
        <v>165</v>
      </c>
      <c r="C10" s="109" t="s">
        <v>200</v>
      </c>
      <c r="D10" s="109"/>
      <c r="E10" s="109"/>
      <c r="F10" s="109"/>
      <c r="G10" s="109"/>
    </row>
    <row r="11" spans="1:11" x14ac:dyDescent="0.35">
      <c r="A11" s="93"/>
      <c r="B11" s="93"/>
      <c r="C11" s="109"/>
      <c r="D11" s="109"/>
      <c r="E11" s="109"/>
      <c r="F11" s="109"/>
      <c r="G11" s="109"/>
    </row>
    <row r="12" spans="1:11" x14ac:dyDescent="0.35">
      <c r="A12" s="16"/>
      <c r="B12" s="2"/>
      <c r="C12"/>
    </row>
    <row r="13" spans="1:11" x14ac:dyDescent="0.35">
      <c r="A13" s="19" t="s">
        <v>46</v>
      </c>
      <c r="B13" s="2"/>
      <c r="C13"/>
    </row>
    <row r="14" spans="1:11" x14ac:dyDescent="0.35">
      <c r="A14" s="20" t="s">
        <v>220</v>
      </c>
    </row>
    <row r="15" spans="1:11" x14ac:dyDescent="0.35">
      <c r="A15" s="22" t="s">
        <v>201</v>
      </c>
      <c r="B15" s="19"/>
    </row>
    <row r="16" spans="1:11" x14ac:dyDescent="0.35">
      <c r="A16" s="21" t="s">
        <v>47</v>
      </c>
    </row>
    <row r="18" spans="1:14" x14ac:dyDescent="0.35">
      <c r="A18" s="1" t="s">
        <v>54</v>
      </c>
      <c r="D18" s="20" t="s">
        <v>254</v>
      </c>
    </row>
    <row r="20" spans="1:14" x14ac:dyDescent="0.35">
      <c r="A20" s="1" t="s">
        <v>32</v>
      </c>
      <c r="B20" s="1" t="s">
        <v>111</v>
      </c>
      <c r="C20" s="13" t="s">
        <v>112</v>
      </c>
    </row>
    <row r="21" spans="1:14" x14ac:dyDescent="0.35">
      <c r="A21" t="s">
        <v>110</v>
      </c>
      <c r="B21" s="12">
        <v>5.73</v>
      </c>
      <c r="C21" s="12">
        <v>6</v>
      </c>
      <c r="D21" s="23" t="s">
        <v>113</v>
      </c>
    </row>
    <row r="22" spans="1:14" x14ac:dyDescent="0.35">
      <c r="A22" t="s">
        <v>144</v>
      </c>
      <c r="B22" s="12">
        <v>11</v>
      </c>
      <c r="C22" s="12">
        <v>10.1</v>
      </c>
      <c r="D22" s="11" t="s">
        <v>34</v>
      </c>
    </row>
    <row r="23" spans="1:14" x14ac:dyDescent="0.35">
      <c r="A23" t="s">
        <v>208</v>
      </c>
      <c r="B23" s="71">
        <v>3525</v>
      </c>
      <c r="C23" s="71">
        <v>1020</v>
      </c>
      <c r="D23" s="11"/>
    </row>
    <row r="24" spans="1:14" x14ac:dyDescent="0.35">
      <c r="A24" t="s">
        <v>190</v>
      </c>
      <c r="B24" s="12">
        <f>VLOOKUP(B23,'Powell-Elevation-Area'!$A$5:$B$689,2)/1000000</f>
        <v>5.9265762500000001</v>
      </c>
      <c r="C24" s="12">
        <f>VLOOKUP(C23,'Mead-Elevation-Area'!$A$5:$B$689,2)/1000000</f>
        <v>5.664593</v>
      </c>
      <c r="D24" s="11"/>
      <c r="E24" s="46"/>
    </row>
    <row r="26" spans="1:14" s="1" customFormat="1" x14ac:dyDescent="0.35">
      <c r="A26" s="56" t="s">
        <v>35</v>
      </c>
      <c r="B26" s="56" t="s">
        <v>49</v>
      </c>
      <c r="C26" s="57" t="s">
        <v>5</v>
      </c>
      <c r="D26" s="57" t="s">
        <v>6</v>
      </c>
      <c r="E26" s="57" t="s">
        <v>7</v>
      </c>
      <c r="F26" s="57" t="s">
        <v>8</v>
      </c>
      <c r="G26" s="57" t="s">
        <v>9</v>
      </c>
      <c r="H26" s="57" t="s">
        <v>10</v>
      </c>
      <c r="I26" s="57" t="s">
        <v>11</v>
      </c>
      <c r="J26" s="57" t="s">
        <v>12</v>
      </c>
      <c r="K26" s="57" t="s">
        <v>36</v>
      </c>
      <c r="L26" s="57" t="s">
        <v>37</v>
      </c>
      <c r="M26" s="57" t="s">
        <v>108</v>
      </c>
      <c r="N26" s="57" t="s">
        <v>187</v>
      </c>
    </row>
    <row r="27" spans="1:14" x14ac:dyDescent="0.35">
      <c r="A27" s="1" t="s">
        <v>45</v>
      </c>
      <c r="B27" s="1"/>
      <c r="C27" s="45">
        <v>12.4</v>
      </c>
      <c r="D27" s="45">
        <f>C27</f>
        <v>12.4</v>
      </c>
      <c r="E27" s="45">
        <f t="shared" ref="E27:H27" si="0">D27</f>
        <v>12.4</v>
      </c>
      <c r="F27" s="45">
        <f t="shared" si="0"/>
        <v>12.4</v>
      </c>
      <c r="G27" s="45">
        <f t="shared" si="0"/>
        <v>12.4</v>
      </c>
      <c r="H27" s="45">
        <f t="shared" si="0"/>
        <v>12.4</v>
      </c>
      <c r="I27" s="45">
        <v>14.4</v>
      </c>
      <c r="J27" s="45">
        <f>I27</f>
        <v>14.4</v>
      </c>
      <c r="K27" s="45">
        <f t="shared" ref="K27:L27" si="1">J27</f>
        <v>14.4</v>
      </c>
      <c r="L27" s="45">
        <f t="shared" si="1"/>
        <v>14.4</v>
      </c>
    </row>
    <row r="28" spans="1:14" x14ac:dyDescent="0.35">
      <c r="A28" s="1" t="s">
        <v>122</v>
      </c>
      <c r="B28" s="1"/>
      <c r="C28" s="12">
        <f>IF(C$27&lt;&gt;"",0.8,"")</f>
        <v>0.8</v>
      </c>
      <c r="D28" s="12">
        <f t="shared" ref="D28:L28" si="2">IF(D$27&lt;&gt;"",0.8,"")</f>
        <v>0.8</v>
      </c>
      <c r="E28" s="12">
        <f t="shared" si="2"/>
        <v>0.8</v>
      </c>
      <c r="F28" s="12">
        <f t="shared" si="2"/>
        <v>0.8</v>
      </c>
      <c r="G28" s="12">
        <f t="shared" si="2"/>
        <v>0.8</v>
      </c>
      <c r="H28" s="12">
        <f t="shared" si="2"/>
        <v>0.8</v>
      </c>
      <c r="I28" s="12">
        <f t="shared" si="2"/>
        <v>0.8</v>
      </c>
      <c r="J28" s="12">
        <f t="shared" si="2"/>
        <v>0.8</v>
      </c>
      <c r="K28" s="12">
        <f t="shared" si="2"/>
        <v>0.8</v>
      </c>
      <c r="L28" s="12">
        <f t="shared" si="2"/>
        <v>0.8</v>
      </c>
    </row>
    <row r="29" spans="1:14" x14ac:dyDescent="0.35">
      <c r="A29" s="1" t="s">
        <v>125</v>
      </c>
      <c r="B29" s="14">
        <f>SUM(B30:B35)-SUM(B22:C22)</f>
        <v>0</v>
      </c>
      <c r="C29" s="14">
        <f>IF(C$27&lt;&gt;"",SUM(B22:C22),"")</f>
        <v>21.1</v>
      </c>
      <c r="D29" s="14">
        <f ca="1">IF(D$27&lt;&gt;"",C127,"")</f>
        <v>20.152768986666693</v>
      </c>
      <c r="E29" s="14">
        <f t="shared" ref="E29:L29" ca="1" si="3">IF(E$27&lt;&gt;"",D127,"")</f>
        <v>19.234339173332788</v>
      </c>
      <c r="F29" s="14">
        <f t="shared" ca="1" si="3"/>
        <v>18.430346086000029</v>
      </c>
      <c r="G29" s="14">
        <f t="shared" ca="1" si="3"/>
        <v>17.65041019366727</v>
      </c>
      <c r="H29" s="14">
        <f t="shared" ca="1" si="3"/>
        <v>16.895203496333366</v>
      </c>
      <c r="I29" s="14">
        <f t="shared" ca="1" si="3"/>
        <v>16.163344474501208</v>
      </c>
      <c r="J29" s="14">
        <f t="shared" ca="1" si="3"/>
        <v>17.455307171068448</v>
      </c>
      <c r="K29" s="14">
        <f t="shared" ca="1" si="3"/>
        <v>18.706133512735089</v>
      </c>
      <c r="L29" s="14">
        <f t="shared" ca="1" si="3"/>
        <v>19.917611542401758</v>
      </c>
    </row>
    <row r="30" spans="1:14" x14ac:dyDescent="0.35">
      <c r="A30" t="str">
        <f t="shared" ref="A30:A35" si="4">IF(A6="","","    "&amp;A6&amp;" Balance")</f>
        <v xml:space="preserve">    Upper Basin Balance</v>
      </c>
      <c r="B30" s="54">
        <f>B22-B24</f>
        <v>5.0734237499999999</v>
      </c>
      <c r="C30" s="14">
        <f>IF(OR(C$27="",$A30=""),"",B30)</f>
        <v>5.0734237499999999</v>
      </c>
      <c r="D30" s="14">
        <f ca="1">IF(OR(D$27="",$A30=""),"",C121)</f>
        <v>4.517858294598132</v>
      </c>
      <c r="E30" s="14">
        <f t="shared" ref="E30:L30" ca="1" si="5">IF(OR(E$27="",$A30=""),"",D121)</f>
        <v>3.9804615248167954</v>
      </c>
      <c r="F30" s="14">
        <f t="shared" ca="1" si="5"/>
        <v>3.4619803252666239</v>
      </c>
      <c r="G30" s="14">
        <f t="shared" ca="1" si="5"/>
        <v>2.9613442852357075</v>
      </c>
      <c r="H30" s="14">
        <f t="shared" ca="1" si="5"/>
        <v>2.4787914995520604</v>
      </c>
      <c r="I30" s="14">
        <f t="shared" ca="1" si="5"/>
        <v>2.0135335129838916</v>
      </c>
      <c r="J30" s="14">
        <f t="shared" ca="1" si="5"/>
        <v>3.5656970909677339</v>
      </c>
      <c r="K30" s="14">
        <f t="shared" ca="1" si="5"/>
        <v>5.0495104329225766</v>
      </c>
      <c r="L30" s="14">
        <f t="shared" ca="1" si="5"/>
        <v>6.4708812644375699</v>
      </c>
      <c r="N30" t="s">
        <v>192</v>
      </c>
    </row>
    <row r="31" spans="1:14" x14ac:dyDescent="0.35">
      <c r="A31" t="str">
        <f t="shared" si="4"/>
        <v xml:space="preserve">    Lower Basin Balance</v>
      </c>
      <c r="B31" s="54">
        <f>C22-C24-B32</f>
        <v>4.2614069999999993</v>
      </c>
      <c r="C31" s="14">
        <f t="shared" ref="C31:C35" si="6">IF(OR(C$27="",$A31=""),"",B31)</f>
        <v>4.2614069999999993</v>
      </c>
      <c r="D31" s="14">
        <f t="shared" ref="D31:L35" ca="1" si="7">IF(OR(D$27="",$A31=""),"",C122)</f>
        <v>3.8781684655908366</v>
      </c>
      <c r="E31" s="14">
        <f t="shared" ca="1" si="7"/>
        <v>3.5052945956104962</v>
      </c>
      <c r="F31" s="14">
        <f t="shared" ca="1" si="7"/>
        <v>3.2276938498027645</v>
      </c>
      <c r="G31" s="14">
        <f t="shared" ca="1" si="7"/>
        <v>2.9560401692066991</v>
      </c>
      <c r="H31" s="14">
        <f t="shared" ca="1" si="7"/>
        <v>2.6907632131932493</v>
      </c>
      <c r="I31" s="14">
        <f t="shared" ca="1" si="7"/>
        <v>2.4312822695811862</v>
      </c>
      <c r="J31" s="14">
        <f t="shared" ca="1" si="7"/>
        <v>2.1779421199827054</v>
      </c>
      <c r="K31" s="14">
        <f t="shared" ca="1" si="7"/>
        <v>1.9512498002704026</v>
      </c>
      <c r="L31" s="14">
        <f t="shared" ca="1" si="7"/>
        <v>1.7471641618920755</v>
      </c>
      <c r="N31" t="s">
        <v>189</v>
      </c>
    </row>
    <row r="32" spans="1:14" x14ac:dyDescent="0.35">
      <c r="A32" t="str">
        <f t="shared" si="4"/>
        <v xml:space="preserve">    Mexico Balance</v>
      </c>
      <c r="B32" s="70">
        <v>0.17399999999999999</v>
      </c>
      <c r="C32" s="58">
        <f t="shared" si="6"/>
        <v>0.17399999999999999</v>
      </c>
      <c r="D32" s="58">
        <f t="shared" ca="1" si="7"/>
        <v>0.16557297647772518</v>
      </c>
      <c r="E32" s="58">
        <f t="shared" ca="1" si="7"/>
        <v>0.15741380290549611</v>
      </c>
      <c r="F32" s="58">
        <f t="shared" ca="1" si="7"/>
        <v>0.14950266093064157</v>
      </c>
      <c r="G32" s="58">
        <f t="shared" ca="1" si="7"/>
        <v>0.14185648922486482</v>
      </c>
      <c r="H32" s="14">
        <f t="shared" ca="1" si="7"/>
        <v>0.13447953358805731</v>
      </c>
      <c r="I32" s="14">
        <f t="shared" ca="1" si="7"/>
        <v>0.12735944193612991</v>
      </c>
      <c r="J32" s="14">
        <f t="shared" ca="1" si="7"/>
        <v>0.12049871011801039</v>
      </c>
      <c r="K32" s="14">
        <f t="shared" ca="1" si="7"/>
        <v>0.11420402954211051</v>
      </c>
      <c r="L32" s="14">
        <f t="shared" ca="1" si="7"/>
        <v>0.10839686607211219</v>
      </c>
      <c r="N32" t="s">
        <v>188</v>
      </c>
    </row>
    <row r="33" spans="1:14" x14ac:dyDescent="0.35">
      <c r="A33" t="str">
        <f t="shared" si="4"/>
        <v xml:space="preserve">    Mohave &amp; Havasu Evap &amp; ET Balance</v>
      </c>
      <c r="B33" s="55">
        <v>0</v>
      </c>
      <c r="C33" s="14">
        <f t="shared" si="6"/>
        <v>0</v>
      </c>
      <c r="D33" s="14">
        <f t="shared" ca="1" si="7"/>
        <v>0</v>
      </c>
      <c r="E33" s="14">
        <f t="shared" ca="1" si="7"/>
        <v>0</v>
      </c>
      <c r="F33" s="14">
        <f t="shared" ca="1" si="7"/>
        <v>0</v>
      </c>
      <c r="G33" s="14">
        <f t="shared" ca="1" si="7"/>
        <v>0</v>
      </c>
      <c r="H33" s="14">
        <f t="shared" ca="1" si="7"/>
        <v>0</v>
      </c>
      <c r="I33" s="14">
        <f t="shared" ca="1" si="7"/>
        <v>0</v>
      </c>
      <c r="J33" s="14">
        <f t="shared" ca="1" si="7"/>
        <v>0</v>
      </c>
      <c r="K33" s="14">
        <f t="shared" ca="1" si="7"/>
        <v>0</v>
      </c>
      <c r="L33" s="14">
        <f t="shared" ca="1" si="7"/>
        <v>0</v>
      </c>
    </row>
    <row r="34" spans="1:14" x14ac:dyDescent="0.35">
      <c r="A34" t="str">
        <f t="shared" si="4"/>
        <v xml:space="preserve">    Shared, Reserve Balance</v>
      </c>
      <c r="B34" s="54">
        <f>SUM(B24:C24)</f>
        <v>11.59116925</v>
      </c>
      <c r="C34" s="14">
        <f t="shared" si="6"/>
        <v>11.59116925</v>
      </c>
      <c r="D34" s="14">
        <f t="shared" ca="1" si="7"/>
        <v>11.59116925</v>
      </c>
      <c r="E34" s="14">
        <f t="shared" ca="1" si="7"/>
        <v>11.59116925</v>
      </c>
      <c r="F34" s="14">
        <f t="shared" ca="1" si="7"/>
        <v>11.59116925</v>
      </c>
      <c r="G34" s="14">
        <f t="shared" ca="1" si="7"/>
        <v>11.59116925</v>
      </c>
      <c r="H34" s="14">
        <f t="shared" ca="1" si="7"/>
        <v>11.59116925</v>
      </c>
      <c r="I34" s="14">
        <f t="shared" ca="1" si="7"/>
        <v>11.59116925</v>
      </c>
      <c r="J34" s="14">
        <f t="shared" ca="1" si="7"/>
        <v>11.59116925</v>
      </c>
      <c r="K34" s="14">
        <f t="shared" ca="1" si="7"/>
        <v>11.59116925</v>
      </c>
      <c r="L34" s="14">
        <f t="shared" ca="1" si="7"/>
        <v>11.59116925</v>
      </c>
      <c r="N34" t="s">
        <v>191</v>
      </c>
    </row>
    <row r="35" spans="1:14" x14ac:dyDescent="0.35">
      <c r="A35" t="str">
        <f t="shared" si="4"/>
        <v/>
      </c>
      <c r="B35" s="55"/>
      <c r="C35" s="14"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s="1" t="s">
        <v>218</v>
      </c>
      <c r="C36"/>
    </row>
    <row r="37" spans="1:14" x14ac:dyDescent="0.35">
      <c r="A37" t="s">
        <v>114</v>
      </c>
      <c r="C37" s="14">
        <f>IF(C$27&lt;&gt;"",B22,"")</f>
        <v>11</v>
      </c>
      <c r="D37" s="14">
        <f ca="1">IF(D$27&lt;&gt;"",C129,"")</f>
        <v>10.076384493333347</v>
      </c>
      <c r="E37" s="14">
        <f t="shared" ref="E37:G38" ca="1" si="8">IF(E$27&lt;&gt;"",D129,"")</f>
        <v>9.6171695866663942</v>
      </c>
      <c r="F37" s="14">
        <f t="shared" ca="1" si="8"/>
        <v>9.2151730430000143</v>
      </c>
      <c r="G37" s="14">
        <f t="shared" ca="1" si="8"/>
        <v>8.8252050968336349</v>
      </c>
      <c r="H37" s="14">
        <f t="shared" ref="H37:H38" ca="1" si="9">IF(H$27&lt;&gt;"",G129,"")</f>
        <v>8.447601748166683</v>
      </c>
      <c r="I37" s="14">
        <f t="shared" ref="I37:I38" ca="1" si="10">IF(I$27&lt;&gt;"",H129,"")</f>
        <v>8.0816722372506042</v>
      </c>
      <c r="J37" s="14">
        <f t="shared" ref="J37:J38" ca="1" si="11">IF(J$27&lt;&gt;"",I129,"")</f>
        <v>8.7276535855342239</v>
      </c>
      <c r="K37" s="14">
        <f t="shared" ref="K37:K38" ca="1" si="12">IF(K$27&lt;&gt;"",J129,"")</f>
        <v>9.3530667563675447</v>
      </c>
      <c r="L37" s="14">
        <f t="shared" ref="L37:L38" ca="1" si="13">IF(L$27&lt;&gt;"",K129,"")</f>
        <v>9.9588057712008791</v>
      </c>
    </row>
    <row r="38" spans="1:14" x14ac:dyDescent="0.35">
      <c r="A38" t="s">
        <v>115</v>
      </c>
      <c r="C38" s="14">
        <f>IF(C$27&lt;&gt;"",C22,"")</f>
        <v>10.1</v>
      </c>
      <c r="D38" s="14">
        <f ca="1">IF(D$27&lt;&gt;"",C130,"")</f>
        <v>10.076384493333347</v>
      </c>
      <c r="E38" s="14">
        <f t="shared" ca="1" si="8"/>
        <v>9.6171695866663942</v>
      </c>
      <c r="F38" s="14">
        <f t="shared" ca="1" si="8"/>
        <v>9.2151730430000143</v>
      </c>
      <c r="G38" s="14">
        <f t="shared" ca="1" si="8"/>
        <v>8.8252050968336349</v>
      </c>
      <c r="H38" s="14">
        <f t="shared" ca="1" si="9"/>
        <v>8.447601748166683</v>
      </c>
      <c r="I38" s="14">
        <f t="shared" ca="1" si="10"/>
        <v>8.0816722372506042</v>
      </c>
      <c r="J38" s="14">
        <f t="shared" ca="1" si="11"/>
        <v>8.7276535855342239</v>
      </c>
      <c r="K38" s="14">
        <f t="shared" ca="1" si="12"/>
        <v>9.3530667563675447</v>
      </c>
      <c r="L38" s="14">
        <f t="shared" ca="1" si="13"/>
        <v>9.9588057712008791</v>
      </c>
    </row>
    <row r="39" spans="1:14" x14ac:dyDescent="0.35">
      <c r="A39" s="1" t="s">
        <v>120</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0.99309648000057305</v>
      </c>
      <c r="E39" s="14">
        <f ca="1">IF(E$27&lt;&gt;"",VLOOKUP(E37*1000000,'Powell-Elevation-Area'!$B$5:$D$689,3)*$B$21/1000000 + VLOOKUP(E38*1000000,'Mead-Elevation-Area'!$B$5:$D$676,3)*$C$21/1000000,"")</f>
        <v>0.96665975399942705</v>
      </c>
      <c r="F39" s="14">
        <f ca="1">IF(F$27&lt;&gt;"",VLOOKUP(F37*1000000,'Powell-Elevation-Area'!$B$5:$D$689,3)*$B$21/1000000 + VLOOKUP(F38*1000000,'Mead-Elevation-Area'!$B$5:$D$676,3)*$C$21/1000000,"")</f>
        <v>0.94260255899942713</v>
      </c>
      <c r="G39" s="14">
        <f ca="1">IF(G$27&lt;&gt;"",VLOOKUP(G37*1000000,'Powell-Elevation-Area'!$B$5:$D$689,3)*$B$21/1000000 + VLOOKUP(G38*1000000,'Mead-Elevation-Area'!$B$5:$D$676,3)*$C$21/1000000,"")</f>
        <v>0.91787336400057307</v>
      </c>
      <c r="H39" s="14">
        <f ca="1">IF(H$27&lt;&gt;"",VLOOKUP(H37*1000000,'Powell-Elevation-Area'!$B$5:$D$689,3)*$B$21/1000000 + VLOOKUP(H38*1000000,'Mead-Elevation-Area'!$B$5:$D$676,3)*$C$21/1000000,"")</f>
        <v>0.89452568849882697</v>
      </c>
      <c r="I39" s="14">
        <f ca="1">IF(I$27&lt;&gt;"",VLOOKUP(I37*1000000,'Powell-Elevation-Area'!$B$5:$D$689,3)*$B$21/1000000 + VLOOKUP(I38*1000000,'Mead-Elevation-Area'!$B$5:$D$676,3)*$C$21/1000000,"")</f>
        <v>0.87070397009942702</v>
      </c>
      <c r="J39" s="14">
        <f ca="1">IF(J$27&lt;&gt;"",VLOOKUP(J37*1000000,'Powell-Elevation-Area'!$B$5:$D$689,3)*$B$21/1000000 + VLOOKUP(J38*1000000,'Mead-Elevation-Area'!$B$5:$D$676,3)*$C$21/1000000,"")</f>
        <v>0.9118403250000271</v>
      </c>
      <c r="K39" s="14">
        <f ca="1">IF(K$27&lt;&gt;"",VLOOKUP(K37*1000000,'Powell-Elevation-Area'!$B$5:$D$689,3)*$B$21/1000000 + VLOOKUP(K38*1000000,'Mead-Elevation-Area'!$B$5:$D$676,3)*$C$21/1000000,"")</f>
        <v>0.951188637</v>
      </c>
      <c r="L39" s="14">
        <f ca="1">IF(L$27&lt;&gt;"",VLOOKUP(L37*1000000,'Powell-Elevation-Area'!$B$5:$D$689,3)*$B$21/1000000 + VLOOKUP(L38*1000000,'Mead-Elevation-Area'!$B$5:$D$676,3)*$C$21/1000000,"")</f>
        <v>0.98592591000057306</v>
      </c>
    </row>
    <row r="40" spans="1:14" x14ac:dyDescent="0.35">
      <c r="A40" t="str">
        <f t="shared" ref="A40:A45" si="14">IF(A6="","","    "&amp;A6&amp;" Share")</f>
        <v xml:space="preserve">    Upper Basin Share</v>
      </c>
      <c r="B40" s="1"/>
      <c r="C40" s="14">
        <f>IF(OR(C$27="",$A40=""),"",C$39*C30/C$29)</f>
        <v>0.24571184643515467</v>
      </c>
      <c r="D40" s="14">
        <f t="shared" ref="D40:L40" ca="1" si="15">IF(OR(D$27="",$A40=""),"",D$39*D30/D$29)</f>
        <v>0.22263288843707926</v>
      </c>
      <c r="E40" s="14">
        <f t="shared" ca="1" si="15"/>
        <v>0.20004596590031312</v>
      </c>
      <c r="F40" s="14">
        <f t="shared" ca="1" si="15"/>
        <v>0.17705969809654415</v>
      </c>
      <c r="G40" s="14">
        <f t="shared" ca="1" si="15"/>
        <v>0.15399863296255875</v>
      </c>
      <c r="H40" s="14">
        <f t="shared" ca="1" si="15"/>
        <v>0.13124095683506026</v>
      </c>
      <c r="I40" s="14">
        <f t="shared" ca="1" si="15"/>
        <v>0.10846713230972101</v>
      </c>
      <c r="J40" s="14">
        <f t="shared" ca="1" si="15"/>
        <v>0.18626692514862533</v>
      </c>
      <c r="K40" s="14">
        <f t="shared" ca="1" si="15"/>
        <v>0.25676267855882723</v>
      </c>
      <c r="L40" s="14">
        <f t="shared" ca="1" si="15"/>
        <v>0.32030996716471571</v>
      </c>
    </row>
    <row r="41" spans="1:14" x14ac:dyDescent="0.35">
      <c r="A41" t="str">
        <f t="shared" si="14"/>
        <v xml:space="preserve">    Lower Basin Share</v>
      </c>
      <c r="B41" s="1"/>
      <c r="C41" s="14">
        <f t="shared" ref="C41:L45" si="16">IF(OR(C$27="",$A41=""),"",C$39*C31/C$29)</f>
        <v>0.20638492544244763</v>
      </c>
      <c r="D41" s="14">
        <f t="shared" ca="1" si="16"/>
        <v>0.19110998863608328</v>
      </c>
      <c r="E41" s="14">
        <f t="shared" ca="1" si="16"/>
        <v>0.17616551215787057</v>
      </c>
      <c r="F41" s="14">
        <f t="shared" ca="1" si="16"/>
        <v>0.16507733866169103</v>
      </c>
      <c r="G41" s="14">
        <f t="shared" ca="1" si="16"/>
        <v>0.15372280329235982</v>
      </c>
      <c r="H41" s="14">
        <f t="shared" ca="1" si="16"/>
        <v>0.1424639138789521</v>
      </c>
      <c r="I41" s="14">
        <f t="shared" ca="1" si="16"/>
        <v>0.13097085989204046</v>
      </c>
      <c r="J41" s="14">
        <f t="shared" ca="1" si="16"/>
        <v>0.11377258681576774</v>
      </c>
      <c r="K41" s="14">
        <f t="shared" ca="1" si="16"/>
        <v>9.9219148452146022E-2</v>
      </c>
      <c r="L41" s="14">
        <f t="shared" ca="1" si="16"/>
        <v>8.6484989054371172E-2</v>
      </c>
    </row>
    <row r="42" spans="1:14" x14ac:dyDescent="0.35">
      <c r="A42" t="str">
        <f t="shared" si="14"/>
        <v xml:space="preserve">    Mexico Share</v>
      </c>
      <c r="B42" s="1"/>
      <c r="C42" s="14">
        <f t="shared" si="16"/>
        <v>8.4270235222746598E-3</v>
      </c>
      <c r="D42" s="14">
        <f t="shared" ca="1" si="16"/>
        <v>8.159173572228973E-3</v>
      </c>
      <c r="E42" s="14">
        <f t="shared" ca="1" si="16"/>
        <v>7.9111419748544957E-3</v>
      </c>
      <c r="F42" s="14">
        <f t="shared" ca="1" si="16"/>
        <v>7.646171705776735E-3</v>
      </c>
      <c r="G42" s="14">
        <f t="shared" ca="1" si="16"/>
        <v>7.3769556368074663E-3</v>
      </c>
      <c r="H42" s="14">
        <f t="shared" ca="1" si="16"/>
        <v>7.120091651927416E-3</v>
      </c>
      <c r="I42" s="14">
        <f t="shared" ca="1" si="16"/>
        <v>6.8607318181194577E-3</v>
      </c>
      <c r="J42" s="14">
        <f t="shared" ca="1" si="16"/>
        <v>6.2946805758998916E-3</v>
      </c>
      <c r="K42" s="14">
        <f t="shared" ca="1" si="16"/>
        <v>5.807163469998388E-3</v>
      </c>
      <c r="L42" s="14">
        <f t="shared" ca="1" si="16"/>
        <v>5.3656673941975281E-3</v>
      </c>
    </row>
    <row r="43" spans="1:14" x14ac:dyDescent="0.35">
      <c r="A43" t="str">
        <f t="shared" si="14"/>
        <v xml:space="preserve">    Mohave &amp; Havasu Evap &amp; ET Share</v>
      </c>
      <c r="B43" s="1"/>
      <c r="C43" s="14">
        <f t="shared" si="16"/>
        <v>0</v>
      </c>
      <c r="D43" s="14">
        <f t="shared" ca="1" si="16"/>
        <v>0</v>
      </c>
      <c r="E43" s="14">
        <f t="shared" ca="1" si="16"/>
        <v>0</v>
      </c>
      <c r="F43" s="14">
        <f t="shared" ca="1" si="16"/>
        <v>0</v>
      </c>
      <c r="G43" s="14">
        <f t="shared" ca="1" si="16"/>
        <v>0</v>
      </c>
      <c r="H43" s="14">
        <f t="shared" ca="1" si="16"/>
        <v>0</v>
      </c>
      <c r="I43" s="14">
        <f t="shared" ca="1" si="16"/>
        <v>0</v>
      </c>
      <c r="J43" s="14">
        <f t="shared" ca="1" si="16"/>
        <v>0</v>
      </c>
      <c r="K43" s="14">
        <f t="shared" ca="1" si="16"/>
        <v>0</v>
      </c>
      <c r="L43" s="14">
        <f t="shared" ca="1" si="16"/>
        <v>0</v>
      </c>
    </row>
    <row r="44" spans="1:14" x14ac:dyDescent="0.35">
      <c r="A44" t="str">
        <f t="shared" si="14"/>
        <v xml:space="preserve">    Shared, Reserve Share</v>
      </c>
      <c r="B44" s="1"/>
      <c r="C44" s="14">
        <f t="shared" si="16"/>
        <v>0.56137388460009618</v>
      </c>
      <c r="D44" s="14">
        <f t="shared" ca="1" si="16"/>
        <v>0.57119442935518161</v>
      </c>
      <c r="E44" s="14">
        <f t="shared" ca="1" si="16"/>
        <v>0.58253713396638884</v>
      </c>
      <c r="F44" s="14">
        <f t="shared" ca="1" si="16"/>
        <v>0.59281935053541535</v>
      </c>
      <c r="G44" s="14">
        <f t="shared" ca="1" si="16"/>
        <v>0.60277497210884712</v>
      </c>
      <c r="H44" s="14">
        <f t="shared" ca="1" si="16"/>
        <v>0.61370072613288718</v>
      </c>
      <c r="I44" s="14">
        <f t="shared" ca="1" si="16"/>
        <v>0.62440524607954606</v>
      </c>
      <c r="J44" s="14">
        <f t="shared" ca="1" si="16"/>
        <v>0.60550613245973428</v>
      </c>
      <c r="K44" s="14">
        <f t="shared" ca="1" si="16"/>
        <v>0.58939964651902832</v>
      </c>
      <c r="L44" s="14">
        <f t="shared" ca="1" si="16"/>
        <v>0.57376528638728863</v>
      </c>
    </row>
    <row r="45" spans="1:14" x14ac:dyDescent="0.35">
      <c r="A45" t="str">
        <f t="shared" si="14"/>
        <v/>
      </c>
      <c r="B45" s="1"/>
      <c r="C45" s="14" t="str">
        <f t="shared" si="16"/>
        <v/>
      </c>
      <c r="D45" s="14" t="str">
        <f t="shared" si="16"/>
        <v/>
      </c>
      <c r="E45" s="14" t="str">
        <f t="shared" si="16"/>
        <v/>
      </c>
      <c r="F45" s="14" t="str">
        <f t="shared" si="16"/>
        <v/>
      </c>
      <c r="G45" s="14" t="str">
        <f t="shared" si="16"/>
        <v/>
      </c>
      <c r="H45" s="14" t="str">
        <f t="shared" si="16"/>
        <v/>
      </c>
      <c r="I45" s="14" t="str">
        <f t="shared" si="16"/>
        <v/>
      </c>
      <c r="J45" s="14" t="str">
        <f t="shared" si="16"/>
        <v/>
      </c>
      <c r="K45" s="14" t="str">
        <f t="shared" si="16"/>
        <v/>
      </c>
      <c r="L45" s="14" t="str">
        <f t="shared" si="16"/>
        <v/>
      </c>
    </row>
    <row r="46" spans="1:14" x14ac:dyDescent="0.35">
      <c r="A46" s="1" t="s">
        <v>155</v>
      </c>
      <c r="B46" s="1"/>
      <c r="C46" s="50">
        <f>IF(C$27&lt;&gt;"",1.5-0.21/9/2-IF(SUM(C31,C32,C34/2)&lt;$T$66,$V$66,IF(C$31&lt;=$T$73,VLOOKUP(SUM(C31,C32,C34/2),$T$66:$V$74,3),0)),"")</f>
        <v>1.4583333333333333</v>
      </c>
      <c r="D46" s="50">
        <f t="shared" ref="D46:L46" ca="1" si="17">IF(D$27&lt;&gt;"",1.5-0.21/9/2-IF(SUM(D31,D32,D34/2)&lt;$T$66,$V$66,IF(D$31&lt;=$T$73,VLOOKUP(SUM(D31,D32,D34/2),$T$66:$V$74,3),0)),"")</f>
        <v>1.4583333333333333</v>
      </c>
      <c r="E46" s="50">
        <f t="shared" ca="1" si="17"/>
        <v>1.4543333333333333</v>
      </c>
      <c r="F46" s="50">
        <f t="shared" ca="1" si="17"/>
        <v>1.4543333333333333</v>
      </c>
      <c r="G46" s="50">
        <f t="shared" ca="1" si="17"/>
        <v>1.4543333333333333</v>
      </c>
      <c r="H46" s="50">
        <f t="shared" ca="1" si="17"/>
        <v>1.4543333333333333</v>
      </c>
      <c r="I46" s="50">
        <f t="shared" ca="1" si="17"/>
        <v>1.4543333333333333</v>
      </c>
      <c r="J46" s="50">
        <f t="shared" ca="1" si="17"/>
        <v>1.4543333333333333</v>
      </c>
      <c r="K46" s="50">
        <f t="shared" ca="1" si="17"/>
        <v>1.4543333333333333</v>
      </c>
      <c r="L46" s="50">
        <f t="shared" ca="1" si="17"/>
        <v>1.4123333333333332</v>
      </c>
    </row>
    <row r="47" spans="1:14" x14ac:dyDescent="0.35">
      <c r="A47" s="1" t="s">
        <v>202</v>
      </c>
      <c r="B47" s="1"/>
      <c r="C47" s="53">
        <f>IF(C27="","",SUM(C27:C28))</f>
        <v>13.200000000000001</v>
      </c>
      <c r="D47" s="53">
        <f t="shared" ref="D47:L47" si="18">IF(D27="","",SUM(D27:D28))</f>
        <v>13.200000000000001</v>
      </c>
      <c r="E47" s="53">
        <f t="shared" si="18"/>
        <v>13.200000000000001</v>
      </c>
      <c r="F47" s="53">
        <f t="shared" si="18"/>
        <v>13.200000000000001</v>
      </c>
      <c r="G47" s="53">
        <f t="shared" si="18"/>
        <v>13.200000000000001</v>
      </c>
      <c r="H47" s="53">
        <f t="shared" si="18"/>
        <v>13.200000000000001</v>
      </c>
      <c r="I47" s="53">
        <f t="shared" si="18"/>
        <v>15.200000000000001</v>
      </c>
      <c r="J47" s="53">
        <f t="shared" si="18"/>
        <v>15.200000000000001</v>
      </c>
      <c r="K47" s="53">
        <f t="shared" si="18"/>
        <v>15.200000000000001</v>
      </c>
      <c r="L47" s="53">
        <f t="shared" si="18"/>
        <v>15.200000000000001</v>
      </c>
      <c r="M47" s="46"/>
      <c r="N47" s="46"/>
    </row>
    <row r="48" spans="1:14" x14ac:dyDescent="0.35">
      <c r="A48" t="str">
        <f>IF(A6="","","    To "&amp;A6)</f>
        <v xml:space="preserve">    To Upper Basin</v>
      </c>
      <c r="B48" s="24" t="s">
        <v>156</v>
      </c>
      <c r="C48" s="14">
        <f>IF(OR(C$27="",$A48=""),"",IF(C$47&gt;SUM(C49:C53),C$47-SUM(C49:C53),0))</f>
        <v>3.8901463910332872</v>
      </c>
      <c r="D48" s="14">
        <f t="shared" ref="D48:L48" ca="1" si="19">IF(OR(D$27="",$A48=""),"",IF(D$47&gt;SUM(D49:D53),D$47-SUM(D49:D53),0))</f>
        <v>3.8852361186557438</v>
      </c>
      <c r="E48" s="14">
        <f t="shared" ca="1" si="19"/>
        <v>3.8815647663501416</v>
      </c>
      <c r="F48" s="14">
        <f t="shared" ca="1" si="19"/>
        <v>3.8764236580656277</v>
      </c>
      <c r="G48" s="14">
        <f t="shared" ca="1" si="19"/>
        <v>3.8714458472789115</v>
      </c>
      <c r="H48" s="14">
        <f t="shared" ca="1" si="19"/>
        <v>3.8659829702668915</v>
      </c>
      <c r="I48" s="14">
        <f t="shared" ca="1" si="19"/>
        <v>5.8606307102935631</v>
      </c>
      <c r="J48" s="14">
        <f t="shared" ca="1" si="19"/>
        <v>5.870080267103468</v>
      </c>
      <c r="K48" s="14">
        <f t="shared" ca="1" si="19"/>
        <v>5.8781335100738197</v>
      </c>
      <c r="L48" s="14">
        <f t="shared" ca="1" si="19"/>
        <v>5.9069506901396895</v>
      </c>
      <c r="M48" s="29"/>
      <c r="N48" s="29"/>
    </row>
    <row r="49" spans="1:26" x14ac:dyDescent="0.35">
      <c r="A49" t="str">
        <f t="shared" ref="A49:A53" si="20">IF(A7="","","    To "&amp;A7)</f>
        <v xml:space="preserve">    To Lower Basin</v>
      </c>
      <c r="B49" s="44">
        <f>7.5</f>
        <v>7.5</v>
      </c>
      <c r="C49" s="14">
        <f>IF(OR(C$27="",$A49=""),"",C28-C52/2-C51-C50/2+MIN($B49,C27-C50/2-C52/2))</f>
        <v>6.6901463910332852</v>
      </c>
      <c r="D49" s="14">
        <f t="shared" ref="D49:G49" ca="1" si="21">IF(OR(D$27="",$A49=""),"",D28-D52/2-D51-D50/2+MIN($B49,D27-D50/2-D52/2))</f>
        <v>6.6852361186557427</v>
      </c>
      <c r="E49" s="14">
        <f t="shared" ca="1" si="21"/>
        <v>6.6815647663501387</v>
      </c>
      <c r="F49" s="14">
        <f t="shared" ca="1" si="21"/>
        <v>6.6764236580656258</v>
      </c>
      <c r="G49" s="14">
        <f t="shared" ca="1" si="21"/>
        <v>6.6714458472789095</v>
      </c>
      <c r="H49" s="14">
        <f ca="1">IF(OR(H$27="",$A49=""),"",H28-H52/2-H51-H50/2+MIN($B49,H27-H50/2-H52/2))</f>
        <v>6.6659829702668896</v>
      </c>
      <c r="I49" s="14">
        <f t="shared" ref="I49:L49" ca="1" si="22">IF(OR(I$27="",$A49=""),"",I28-I52/2-I51-I50/2+MIN($B49,I27-I50/2-I52/2))</f>
        <v>6.6606307102935602</v>
      </c>
      <c r="J49" s="14">
        <f t="shared" ca="1" si="22"/>
        <v>6.670080267103466</v>
      </c>
      <c r="K49" s="14">
        <f t="shared" ca="1" si="22"/>
        <v>6.6781335100738195</v>
      </c>
      <c r="L49" s="14">
        <f t="shared" ca="1" si="22"/>
        <v>6.7069506901396894</v>
      </c>
      <c r="M49" s="29"/>
      <c r="N49" s="29"/>
    </row>
    <row r="50" spans="1:26" x14ac:dyDescent="0.35">
      <c r="A50" t="str">
        <f t="shared" si="20"/>
        <v xml:space="preserve">    To Mexico</v>
      </c>
      <c r="B50" s="44" t="s">
        <v>204</v>
      </c>
      <c r="C50" s="14">
        <f>IF(OR(C$27="",$A50=""),"",IF(C$47&gt;SUM(C51:C52,C46),C46,C$47-SUM(C51:C52)))</f>
        <v>1.4583333333333333</v>
      </c>
      <c r="D50" s="14">
        <f t="shared" ref="D50:L50" ca="1" si="23">IF(OR(D$27="",$A50=""),"",IF(D$47&gt;SUM(D51:D52,D46),D46,D$47-SUM(D51:D52)))</f>
        <v>1.4583333333333333</v>
      </c>
      <c r="E50" s="14">
        <f t="shared" ca="1" si="23"/>
        <v>1.4543333333333333</v>
      </c>
      <c r="F50" s="14">
        <f t="shared" ca="1" si="23"/>
        <v>1.4543333333333333</v>
      </c>
      <c r="G50" s="14">
        <f t="shared" ca="1" si="23"/>
        <v>1.4543333333333333</v>
      </c>
      <c r="H50" s="14">
        <f t="shared" ca="1" si="23"/>
        <v>1.4543333333333333</v>
      </c>
      <c r="I50" s="14">
        <f t="shared" ca="1" si="23"/>
        <v>1.4543333333333333</v>
      </c>
      <c r="J50" s="14">
        <f t="shared" ca="1" si="23"/>
        <v>1.4543333333333333</v>
      </c>
      <c r="K50" s="14">
        <f t="shared" ca="1" si="23"/>
        <v>1.4543333333333333</v>
      </c>
      <c r="L50" s="14">
        <f t="shared" ca="1" si="23"/>
        <v>1.4123333333333332</v>
      </c>
      <c r="M50" s="29"/>
      <c r="N50" s="29"/>
    </row>
    <row r="51" spans="1:26" x14ac:dyDescent="0.35">
      <c r="A51" t="str">
        <f t="shared" si="20"/>
        <v xml:space="preserve">    To Mohave &amp; Havasu Evap &amp; ET</v>
      </c>
      <c r="B51" s="44">
        <v>0.6</v>
      </c>
      <c r="C51" s="14">
        <f>IF(OR(C$27="",$A51=""),"",IF(C$47&gt;C52+$B$51,$B51,C$47-C52))</f>
        <v>0.6</v>
      </c>
      <c r="D51" s="14">
        <f t="shared" ref="D51:L51" ca="1" si="24">IF(OR(D$27="",$A51=""),"",IF(D$47&gt;D52+$B$51,$B51,D$47-D52))</f>
        <v>0.6</v>
      </c>
      <c r="E51" s="14">
        <f t="shared" ca="1" si="24"/>
        <v>0.6</v>
      </c>
      <c r="F51" s="14">
        <f t="shared" ca="1" si="24"/>
        <v>0.6</v>
      </c>
      <c r="G51" s="14">
        <f t="shared" ca="1" si="24"/>
        <v>0.6</v>
      </c>
      <c r="H51" s="14">
        <f t="shared" ca="1" si="24"/>
        <v>0.6</v>
      </c>
      <c r="I51" s="14">
        <f t="shared" ca="1" si="24"/>
        <v>0.6</v>
      </c>
      <c r="J51" s="14">
        <f t="shared" ca="1" si="24"/>
        <v>0.6</v>
      </c>
      <c r="K51" s="14">
        <f t="shared" ca="1" si="24"/>
        <v>0.6</v>
      </c>
      <c r="L51" s="14">
        <f t="shared" ca="1" si="24"/>
        <v>0.6</v>
      </c>
      <c r="M51" s="29"/>
      <c r="N51" s="29"/>
    </row>
    <row r="52" spans="1:26" x14ac:dyDescent="0.35">
      <c r="A52" t="str">
        <f t="shared" si="20"/>
        <v xml:space="preserve">    To Shared, Reserve</v>
      </c>
      <c r="B52" s="44" t="s">
        <v>203</v>
      </c>
      <c r="C52" s="14">
        <f>IF(OR(C$27="",$A52=""),"",IF(C$47&gt;C44,C44,C$47))</f>
        <v>0.56137388460009618</v>
      </c>
      <c r="D52" s="14">
        <f t="shared" ref="D52:L52" ca="1" si="25">IF(OR(D$27="",$A52=""),"",IF(D$47&gt;D44,D44,D$47))</f>
        <v>0.57119442935518161</v>
      </c>
      <c r="E52" s="14">
        <f t="shared" ca="1" si="25"/>
        <v>0.58253713396638884</v>
      </c>
      <c r="F52" s="14">
        <f t="shared" ca="1" si="25"/>
        <v>0.59281935053541535</v>
      </c>
      <c r="G52" s="14">
        <f t="shared" ca="1" si="25"/>
        <v>0.60277497210884712</v>
      </c>
      <c r="H52" s="14">
        <f t="shared" ca="1" si="25"/>
        <v>0.61370072613288718</v>
      </c>
      <c r="I52" s="14">
        <f t="shared" ca="1" si="25"/>
        <v>0.62440524607954606</v>
      </c>
      <c r="J52" s="14">
        <f t="shared" ca="1" si="25"/>
        <v>0.60550613245973428</v>
      </c>
      <c r="K52" s="14">
        <f t="shared" ca="1" si="25"/>
        <v>0.58939964651902832</v>
      </c>
      <c r="L52" s="14">
        <f t="shared" ca="1" si="25"/>
        <v>0.57376528638728863</v>
      </c>
      <c r="M52" s="29"/>
      <c r="N52" s="29"/>
    </row>
    <row r="53" spans="1:26" x14ac:dyDescent="0.35">
      <c r="A53" t="str">
        <f t="shared" si="20"/>
        <v/>
      </c>
      <c r="B53" s="44"/>
      <c r="C53" s="58" t="str">
        <f t="shared" ref="C53:L53" si="26">IF(OR(C$27="",$A53=""),"",IF(C$27&gt;$B53,$B53,C$27))</f>
        <v/>
      </c>
      <c r="D53" s="58" t="str">
        <f t="shared" si="26"/>
        <v/>
      </c>
      <c r="E53" s="58" t="str">
        <f t="shared" si="26"/>
        <v/>
      </c>
      <c r="F53" s="58" t="str">
        <f t="shared" si="26"/>
        <v/>
      </c>
      <c r="G53" s="58" t="str">
        <f t="shared" si="26"/>
        <v/>
      </c>
      <c r="H53" s="58" t="str">
        <f t="shared" si="26"/>
        <v/>
      </c>
      <c r="I53" s="58" t="str">
        <f t="shared" si="26"/>
        <v/>
      </c>
      <c r="J53" s="58" t="str">
        <f t="shared" si="26"/>
        <v/>
      </c>
      <c r="K53" s="58" t="str">
        <f t="shared" si="26"/>
        <v/>
      </c>
      <c r="L53" s="58" t="str">
        <f t="shared" si="26"/>
        <v/>
      </c>
      <c r="M53" s="29"/>
      <c r="N53" s="29"/>
    </row>
    <row r="54" spans="1:26" x14ac:dyDescent="0.35">
      <c r="C54"/>
    </row>
    <row r="55" spans="1:26" x14ac:dyDescent="0.35">
      <c r="A55" s="83" t="s">
        <v>196</v>
      </c>
      <c r="B55" s="84"/>
      <c r="C55" s="84"/>
      <c r="D55" s="84"/>
      <c r="E55" s="84"/>
      <c r="F55" s="84"/>
      <c r="G55" s="84"/>
      <c r="H55" s="84"/>
      <c r="I55" s="84"/>
      <c r="J55" s="84"/>
      <c r="K55" s="84"/>
      <c r="L55" s="84"/>
      <c r="M55" s="84"/>
      <c r="N55" s="84"/>
    </row>
    <row r="56" spans="1:26" x14ac:dyDescent="0.35">
      <c r="A56" s="80" t="str">
        <f>IF(A$6="[Unused]","",A6)</f>
        <v>Upper Basin</v>
      </c>
      <c r="B56" s="81"/>
      <c r="C56" s="81"/>
      <c r="D56" s="81"/>
      <c r="E56" s="81"/>
      <c r="F56" s="81"/>
      <c r="G56" s="81"/>
      <c r="H56" s="81"/>
      <c r="I56" s="81"/>
      <c r="J56" s="81"/>
      <c r="K56" s="81"/>
      <c r="L56" s="81"/>
      <c r="M56" s="82" t="s">
        <v>108</v>
      </c>
      <c r="N56" s="80" t="s">
        <v>187</v>
      </c>
    </row>
    <row r="57" spans="1:26" x14ac:dyDescent="0.35">
      <c r="A57" s="32" t="str">
        <f>IF(A56="[Unused]","","   Volume of Sales(+) and Purchases(-) [maf]")</f>
        <v xml:space="preserve">   Volume of Sales(+) and Purchases(-) [maf]</v>
      </c>
      <c r="C57" s="25"/>
      <c r="D57" s="25"/>
      <c r="E57" s="25"/>
      <c r="F57" s="25"/>
      <c r="G57" s="25"/>
      <c r="H57" s="25"/>
      <c r="I57" s="25"/>
      <c r="J57" s="25"/>
      <c r="K57" s="25"/>
      <c r="L57" s="25"/>
      <c r="M57" s="79">
        <f>SUM(C57:L57)</f>
        <v>0</v>
      </c>
      <c r="N57" t="str">
        <f>IF(A57="","","Add if multiple transactions, e.g.: 0.5 + 0.25")</f>
        <v>Add if multiple transactions, e.g.: 0.5 + 0.25</v>
      </c>
    </row>
    <row r="58" spans="1:26" x14ac:dyDescent="0.35">
      <c r="A58" s="32" t="str">
        <f>IF(A57="","","   Cash Intake(+) and Payments(-) [$ Mill]")</f>
        <v xml:space="preserve">   Cash Intake(+) and Payments(-) [$ Mill]</v>
      </c>
      <c r="C58" s="77"/>
      <c r="D58" s="77"/>
      <c r="E58" s="77"/>
      <c r="F58" s="77"/>
      <c r="G58" s="77"/>
      <c r="H58" s="77"/>
      <c r="I58" s="77"/>
      <c r="J58" s="77"/>
      <c r="K58" s="77"/>
      <c r="L58" s="77"/>
      <c r="M58" s="76">
        <f>SUM(C58:L58)</f>
        <v>0</v>
      </c>
      <c r="N58" t="str">
        <f>IF(A58="","","Add if multiple transactions, e.g.: $350*0.5 + $450*0.25")</f>
        <v>Add if multiple transactions, e.g.: $350*0.5 + $450*0.25</v>
      </c>
    </row>
    <row r="59" spans="1:26" x14ac:dyDescent="0.35">
      <c r="A59" s="32" t="str">
        <f>IF(A58="","","   Volume of all players (should be zero)")</f>
        <v xml:space="preserve">   Volume of all players (should be zero)</v>
      </c>
      <c r="C59" s="79">
        <f t="shared" ref="C59:M59" ca="1" si="27">IF(OR(C$27="",$A59=""),"",C$112)</f>
        <v>0</v>
      </c>
      <c r="D59" s="79">
        <f t="shared" ca="1" si="27"/>
        <v>0</v>
      </c>
      <c r="E59" s="79">
        <f t="shared" ca="1" si="27"/>
        <v>0</v>
      </c>
      <c r="F59" s="79">
        <f t="shared" ca="1" si="27"/>
        <v>0</v>
      </c>
      <c r="G59" s="79">
        <f t="shared" ca="1" si="27"/>
        <v>0</v>
      </c>
      <c r="H59" s="79">
        <f t="shared" ca="1" si="27"/>
        <v>0</v>
      </c>
      <c r="I59" s="79">
        <f t="shared" ca="1" si="27"/>
        <v>0</v>
      </c>
      <c r="J59" s="79">
        <f t="shared" ca="1" si="27"/>
        <v>0</v>
      </c>
      <c r="K59" s="79">
        <f t="shared" ca="1" si="27"/>
        <v>0</v>
      </c>
      <c r="L59" s="79">
        <f t="shared" ca="1" si="27"/>
        <v>0</v>
      </c>
      <c r="M59" t="str">
        <f t="shared" si="27"/>
        <v/>
      </c>
      <c r="N59" t="str">
        <f>IF(A59="","","If non-zero, players need to change amount(s)")</f>
        <v>If non-zero, players need to change amount(s)</v>
      </c>
    </row>
    <row r="60" spans="1:26" x14ac:dyDescent="0.35">
      <c r="A60" s="1" t="str">
        <f>IF(A58="","","   Available Water [maf]")</f>
        <v xml:space="preserve">   Available Water [maf]</v>
      </c>
      <c r="C60" s="14">
        <f>IF(OR(C$27="",$A60=""),"",C30+C48-C40-C57)</f>
        <v>8.7178582945981322</v>
      </c>
      <c r="D60" s="14">
        <f t="shared" ref="D60:L60" ca="1" si="28">IF(OR(D$27="",$A60=""),"",D30+D48-D40-D57)</f>
        <v>8.1804615248167956</v>
      </c>
      <c r="E60" s="14">
        <f t="shared" ca="1" si="28"/>
        <v>7.6619803252666241</v>
      </c>
      <c r="F60" s="14">
        <f t="shared" ca="1" si="28"/>
        <v>7.1613442852357077</v>
      </c>
      <c r="G60" s="14">
        <f t="shared" ca="1" si="28"/>
        <v>6.6787914995520605</v>
      </c>
      <c r="H60" s="14">
        <f t="shared" ca="1" si="28"/>
        <v>6.2135335129838918</v>
      </c>
      <c r="I60" s="14">
        <f t="shared" ca="1" si="28"/>
        <v>7.7656970909677341</v>
      </c>
      <c r="J60" s="14">
        <f t="shared" ca="1" si="28"/>
        <v>9.2495104329225768</v>
      </c>
      <c r="K60" s="14">
        <f t="shared" ca="1" si="28"/>
        <v>10.67088126443757</v>
      </c>
      <c r="L60" s="14">
        <f t="shared" ca="1" si="28"/>
        <v>12.057521987412544</v>
      </c>
      <c r="N60" t="str">
        <f>IF(A60="","","Available water = Account Balance + Available Inflow - Evaporation + Sales - Purchases")</f>
        <v>Available water = Account Balance + Available Inflow - Evaporation + Sales - Purchases</v>
      </c>
    </row>
    <row r="61" spans="1:26" x14ac:dyDescent="0.35">
      <c r="A61" s="1" t="str">
        <f>IF(A60="","","   Account Withdraw [maf] (less than available water)")</f>
        <v xml:space="preserve">   Account Withdraw [maf] (less than available water)</v>
      </c>
      <c r="C61" s="43">
        <f>IF(C60&gt;4.2,4.2,MAX(C60,0))</f>
        <v>4.2</v>
      </c>
      <c r="D61" s="43">
        <f t="shared" ref="D61:L61" ca="1" si="29">IF(D60&gt;4.2,4.2,MAX(D60,0))</f>
        <v>4.2</v>
      </c>
      <c r="E61" s="43">
        <f t="shared" ca="1" si="29"/>
        <v>4.2</v>
      </c>
      <c r="F61" s="43">
        <f t="shared" ca="1" si="29"/>
        <v>4.2</v>
      </c>
      <c r="G61" s="43">
        <f t="shared" ca="1" si="29"/>
        <v>4.2</v>
      </c>
      <c r="H61" s="43">
        <f t="shared" ca="1" si="29"/>
        <v>4.2</v>
      </c>
      <c r="I61" s="43">
        <f t="shared" ca="1" si="29"/>
        <v>4.2</v>
      </c>
      <c r="J61" s="43">
        <f t="shared" ca="1" si="29"/>
        <v>4.2</v>
      </c>
      <c r="K61" s="43">
        <f t="shared" ca="1" si="29"/>
        <v>4.2</v>
      </c>
      <c r="L61" s="43">
        <f t="shared" ca="1" si="29"/>
        <v>4.2</v>
      </c>
      <c r="N61" t="str">
        <f>IF(A61="","","Must be less than Available water")</f>
        <v>Must be less than Available water</v>
      </c>
    </row>
    <row r="62" spans="1:26" x14ac:dyDescent="0.35">
      <c r="A62" s="32" t="str">
        <f>IF(A61="","","   End of Year Balance [maf]")</f>
        <v xml:space="preserve">   End of Year Balance [maf]</v>
      </c>
      <c r="C62" s="78">
        <f>IF(OR(C$27="",$A62=""),"",C60-C61)</f>
        <v>4.517858294598132</v>
      </c>
      <c r="D62" s="78">
        <f t="shared" ref="D62:L62" ca="1" si="30">IF(OR(D$27="",$A62=""),"",D60-D61)</f>
        <v>3.9804615248167954</v>
      </c>
      <c r="E62" s="78">
        <f t="shared" ca="1" si="30"/>
        <v>3.4619803252666239</v>
      </c>
      <c r="F62" s="78">
        <f t="shared" ca="1" si="30"/>
        <v>2.9613442852357075</v>
      </c>
      <c r="G62" s="78">
        <f t="shared" ca="1" si="30"/>
        <v>2.4787914995520604</v>
      </c>
      <c r="H62" s="78">
        <f t="shared" ca="1" si="30"/>
        <v>2.0135335129838916</v>
      </c>
      <c r="I62" s="78">
        <f t="shared" ca="1" si="30"/>
        <v>3.5656970909677339</v>
      </c>
      <c r="J62" s="78">
        <f t="shared" ca="1" si="30"/>
        <v>5.0495104329225766</v>
      </c>
      <c r="K62" s="78">
        <f t="shared" ca="1" si="30"/>
        <v>6.4708812644375699</v>
      </c>
      <c r="L62" s="78">
        <f t="shared" ca="1" si="30"/>
        <v>7.8575219874125439</v>
      </c>
      <c r="N62" t="str">
        <f>IF(A62="","","Available water - Account Withdraw")</f>
        <v>Available water - Account Withdraw</v>
      </c>
    </row>
    <row r="63" spans="1:26" x14ac:dyDescent="0.35">
      <c r="C63"/>
      <c r="S63" s="1" t="s">
        <v>199</v>
      </c>
    </row>
    <row r="64" spans="1:26" x14ac:dyDescent="0.35">
      <c r="A64" s="80" t="str">
        <f>IF(A$7="","[Unused]",A7)</f>
        <v>Lower Basin</v>
      </c>
      <c r="B64" s="81"/>
      <c r="C64" s="81"/>
      <c r="D64" s="81"/>
      <c r="E64" s="81"/>
      <c r="F64" s="81"/>
      <c r="G64" s="81"/>
      <c r="H64" s="81"/>
      <c r="I64" s="81"/>
      <c r="J64" s="81"/>
      <c r="K64" s="81"/>
      <c r="L64" s="81"/>
      <c r="M64" s="82" t="s">
        <v>108</v>
      </c>
      <c r="N64" s="80" t="s">
        <v>187</v>
      </c>
      <c r="S64" s="37" t="s">
        <v>129</v>
      </c>
      <c r="T64" s="37" t="s">
        <v>130</v>
      </c>
      <c r="U64" s="38" t="s">
        <v>131</v>
      </c>
      <c r="V64" s="38" t="s">
        <v>132</v>
      </c>
      <c r="W64" s="37" t="s">
        <v>133</v>
      </c>
      <c r="X64" s="37" t="s">
        <v>133</v>
      </c>
      <c r="Y64" s="51" t="s">
        <v>152</v>
      </c>
      <c r="Z64" s="51" t="s">
        <v>153</v>
      </c>
    </row>
    <row r="65" spans="1:26" x14ac:dyDescent="0.35">
      <c r="A65" s="32" t="str">
        <f>IF(A64="[Unused]","","   Volume of Sales(+) and Purchases(-) [maf]")</f>
        <v xml:space="preserve">   Volume of Sales(+) and Purchases(-) [maf]</v>
      </c>
      <c r="C65" s="25"/>
      <c r="D65" s="25"/>
      <c r="E65" s="25"/>
      <c r="F65" s="25"/>
      <c r="G65" s="25"/>
      <c r="H65" s="25"/>
      <c r="I65" s="25"/>
      <c r="J65" s="25"/>
      <c r="K65" s="25"/>
      <c r="L65" s="25"/>
      <c r="M65" s="79">
        <f>SUM(C65:L65)</f>
        <v>0</v>
      </c>
      <c r="N65" t="str">
        <f>IF(A65="","",N57)</f>
        <v>Add if multiple transactions, e.g.: 0.5 + 0.25</v>
      </c>
      <c r="S65">
        <v>955</v>
      </c>
      <c r="T65" s="29">
        <v>0</v>
      </c>
      <c r="U65" s="85">
        <f>U66</f>
        <v>1.2000000000000002</v>
      </c>
      <c r="V65" s="85">
        <f t="shared" ref="V65:Z65" si="31">V66</f>
        <v>0.15</v>
      </c>
      <c r="W65" s="85">
        <f t="shared" si="31"/>
        <v>1.325</v>
      </c>
      <c r="X65" s="85">
        <f t="shared" si="31"/>
        <v>1.35</v>
      </c>
      <c r="Y65" s="85">
        <f t="shared" si="31"/>
        <v>0.125</v>
      </c>
      <c r="Z65" s="6">
        <f t="shared" si="31"/>
        <v>1350000</v>
      </c>
    </row>
    <row r="66" spans="1:26" x14ac:dyDescent="0.35">
      <c r="A66" s="32" t="str">
        <f>IF(A65="","","   Cash Intake(+) and Payments(-) [$ Mill]")</f>
        <v xml:space="preserve">   Cash Intake(+) and Payments(-) [$ Mill]</v>
      </c>
      <c r="C66" s="77"/>
      <c r="D66" s="77"/>
      <c r="E66" s="77"/>
      <c r="F66" s="77"/>
      <c r="G66" s="77"/>
      <c r="H66" s="77"/>
      <c r="I66" s="77"/>
      <c r="J66" s="77"/>
      <c r="K66" s="77"/>
      <c r="L66" s="77"/>
      <c r="M66" s="76">
        <f>SUM(C66:L66)</f>
        <v>0</v>
      </c>
      <c r="N66" t="str">
        <f t="shared" ref="N66:N70" si="32">IF(A66="","",N58)</f>
        <v>Add if multiple transactions, e.g.: $350*0.5 + $450*0.25</v>
      </c>
      <c r="S66" s="39">
        <v>1025</v>
      </c>
      <c r="T66" s="40">
        <v>5.981122</v>
      </c>
      <c r="U66" s="41">
        <f>X66-V66</f>
        <v>1.2000000000000002</v>
      </c>
      <c r="V66" s="49">
        <v>0.15</v>
      </c>
      <c r="W66" s="41">
        <v>1.325</v>
      </c>
      <c r="X66" s="41">
        <f t="shared" ref="X66:X73" si="33">Z66/1000000</f>
        <v>1.35</v>
      </c>
      <c r="Y66" s="42">
        <v>0.125</v>
      </c>
      <c r="Z66" s="52">
        <v>1350000</v>
      </c>
    </row>
    <row r="67" spans="1:26" x14ac:dyDescent="0.35">
      <c r="A67" s="32" t="str">
        <f>IF(A66="","","   Volume all players (should be zero)")</f>
        <v xml:space="preserve">   Volume all players (should be zero)</v>
      </c>
      <c r="C67" s="79">
        <f t="shared" ref="C67:M67" ca="1" si="34">IF(OR(C$27="",$A67=""),"",C$112)</f>
        <v>0</v>
      </c>
      <c r="D67" s="79">
        <f t="shared" ca="1" si="34"/>
        <v>0</v>
      </c>
      <c r="E67" s="79">
        <f t="shared" ca="1" si="34"/>
        <v>0</v>
      </c>
      <c r="F67" s="79">
        <f t="shared" ca="1" si="34"/>
        <v>0</v>
      </c>
      <c r="G67" s="79">
        <f t="shared" ca="1" si="34"/>
        <v>0</v>
      </c>
      <c r="H67" s="79">
        <f t="shared" ca="1" si="34"/>
        <v>0</v>
      </c>
      <c r="I67" s="79">
        <f t="shared" ca="1" si="34"/>
        <v>0</v>
      </c>
      <c r="J67" s="79">
        <f t="shared" ca="1" si="34"/>
        <v>0</v>
      </c>
      <c r="K67" s="79">
        <f t="shared" ca="1" si="34"/>
        <v>0</v>
      </c>
      <c r="L67" s="79">
        <f t="shared" ca="1" si="34"/>
        <v>0</v>
      </c>
      <c r="M67" t="str">
        <f t="shared" si="34"/>
        <v/>
      </c>
      <c r="N67" t="str">
        <f t="shared" si="32"/>
        <v>If non-zero, players need to change amount(s)</v>
      </c>
      <c r="S67" s="39">
        <v>1030</v>
      </c>
      <c r="T67" s="40">
        <v>6.305377</v>
      </c>
      <c r="U67" s="41">
        <f t="shared" ref="U67:U73" si="35">X67-V67</f>
        <v>1.117</v>
      </c>
      <c r="V67" s="49">
        <v>0.10100000000000001</v>
      </c>
      <c r="W67" s="41">
        <v>1.1870000000000001</v>
      </c>
      <c r="X67" s="41">
        <f t="shared" si="33"/>
        <v>1.218</v>
      </c>
      <c r="Y67" s="42">
        <v>7.0000000000000007E-2</v>
      </c>
      <c r="Z67" s="52">
        <v>1218000</v>
      </c>
    </row>
    <row r="68" spans="1:26" x14ac:dyDescent="0.35">
      <c r="A68" s="1" t="str">
        <f>IF(A66="","","   Available Water [maf]")</f>
        <v xml:space="preserve">   Available Water [maf]</v>
      </c>
      <c r="C68" s="14">
        <f t="shared" ref="C68:L68" si="36">IF(OR(C$27="",$A68=""),"",C31+C49-C41-C65)</f>
        <v>10.745168465590837</v>
      </c>
      <c r="D68" s="14">
        <f t="shared" ca="1" si="36"/>
        <v>10.372294595610496</v>
      </c>
      <c r="E68" s="14">
        <f t="shared" ca="1" si="36"/>
        <v>10.010693849802765</v>
      </c>
      <c r="F68" s="14">
        <f t="shared" ca="1" si="36"/>
        <v>9.7390401692066995</v>
      </c>
      <c r="G68" s="14">
        <f t="shared" ca="1" si="36"/>
        <v>9.4737632131932497</v>
      </c>
      <c r="H68" s="14">
        <f t="shared" ca="1" si="36"/>
        <v>9.2142822695811866</v>
      </c>
      <c r="I68" s="14">
        <f t="shared" ca="1" si="36"/>
        <v>8.9609421199827057</v>
      </c>
      <c r="J68" s="14">
        <f t="shared" ca="1" si="36"/>
        <v>8.734249800270403</v>
      </c>
      <c r="K68" s="14">
        <f t="shared" ca="1" si="36"/>
        <v>8.5301641618920758</v>
      </c>
      <c r="L68" s="14">
        <f t="shared" ca="1" si="36"/>
        <v>8.3676298629773935</v>
      </c>
      <c r="N68" t="str">
        <f t="shared" si="32"/>
        <v>Available water = Account Balance + Available Inflow - Evaporation + Sales - Purchases</v>
      </c>
      <c r="S68" s="39">
        <v>1035</v>
      </c>
      <c r="T68" s="40">
        <v>6.6375080000000004</v>
      </c>
      <c r="U68" s="41">
        <f t="shared" si="35"/>
        <v>1.0669999999999999</v>
      </c>
      <c r="V68" s="49">
        <v>9.1999999999999998E-2</v>
      </c>
      <c r="W68" s="41">
        <v>1.137</v>
      </c>
      <c r="X68" s="41">
        <f t="shared" si="33"/>
        <v>1.159</v>
      </c>
      <c r="Y68" s="42">
        <v>7.0000000000000007E-2</v>
      </c>
      <c r="Z68" s="52">
        <v>1159000</v>
      </c>
    </row>
    <row r="69" spans="1:26" x14ac:dyDescent="0.35">
      <c r="A69" s="1" t="str">
        <f>IF(A68="","","   Account Withdraw [maf]")</f>
        <v xml:space="preserve">   Account Withdraw [maf]</v>
      </c>
      <c r="C69" s="43">
        <f>7.5-VLOOKUP(C31+C32+$C$24,$T$65:$U$74,2)</f>
        <v>6.867</v>
      </c>
      <c r="D69" s="43">
        <f t="shared" ref="D69:L69" ca="1" si="37">7.5-VLOOKUP(D31+D32+$C$24,$T$65:$U$74,2)</f>
        <v>6.867</v>
      </c>
      <c r="E69" s="43">
        <f t="shared" ca="1" si="37"/>
        <v>6.7830000000000004</v>
      </c>
      <c r="F69" s="43">
        <f t="shared" ca="1" si="37"/>
        <v>6.7830000000000004</v>
      </c>
      <c r="G69" s="43">
        <f t="shared" ca="1" si="37"/>
        <v>6.7830000000000004</v>
      </c>
      <c r="H69" s="43">
        <f t="shared" ca="1" si="37"/>
        <v>6.7830000000000004</v>
      </c>
      <c r="I69" s="43">
        <f t="shared" ca="1" si="37"/>
        <v>6.7830000000000004</v>
      </c>
      <c r="J69" s="43">
        <f t="shared" ca="1" si="37"/>
        <v>6.7830000000000004</v>
      </c>
      <c r="K69" s="43">
        <f t="shared" ca="1" si="37"/>
        <v>6.7830000000000004</v>
      </c>
      <c r="L69" s="43">
        <f t="shared" ca="1" si="37"/>
        <v>6.5330000000000004</v>
      </c>
      <c r="N69" t="str">
        <f t="shared" si="32"/>
        <v>Must be less than Available water</v>
      </c>
      <c r="S69" s="39">
        <v>1040</v>
      </c>
      <c r="T69" s="40">
        <v>6.977665</v>
      </c>
      <c r="U69" s="41">
        <f t="shared" si="35"/>
        <v>1.0169999999999999</v>
      </c>
      <c r="V69" s="49">
        <v>8.4000000000000005E-2</v>
      </c>
      <c r="W69" s="41">
        <v>1.087</v>
      </c>
      <c r="X69" s="41">
        <f t="shared" si="33"/>
        <v>1.101</v>
      </c>
      <c r="Y69" s="42">
        <v>7.0000000000000007E-2</v>
      </c>
      <c r="Z69" s="52">
        <v>1101000</v>
      </c>
    </row>
    <row r="70" spans="1:26" x14ac:dyDescent="0.35">
      <c r="A70" s="32" t="str">
        <f>IF(A69="","","   End of Year Balance [maf]")</f>
        <v xml:space="preserve">   End of Year Balance [maf]</v>
      </c>
      <c r="C70" s="78">
        <f>IF(OR(C$27="",$A70=""),"",C68-C69)</f>
        <v>3.8781684655908366</v>
      </c>
      <c r="D70" s="78">
        <f t="shared" ref="D70:L70" ca="1" si="38">IF(OR(D$27="",$A70=""),"",D68-D69)</f>
        <v>3.5052945956104962</v>
      </c>
      <c r="E70" s="78">
        <f t="shared" ca="1" si="38"/>
        <v>3.2276938498027645</v>
      </c>
      <c r="F70" s="78">
        <f t="shared" ca="1" si="38"/>
        <v>2.9560401692066991</v>
      </c>
      <c r="G70" s="78">
        <f t="shared" ca="1" si="38"/>
        <v>2.6907632131932493</v>
      </c>
      <c r="H70" s="78">
        <f t="shared" ca="1" si="38"/>
        <v>2.4312822695811862</v>
      </c>
      <c r="I70" s="78">
        <f t="shared" ca="1" si="38"/>
        <v>2.1779421199827054</v>
      </c>
      <c r="J70" s="78">
        <f t="shared" ca="1" si="38"/>
        <v>1.9512498002704026</v>
      </c>
      <c r="K70" s="78">
        <f t="shared" ca="1" si="38"/>
        <v>1.7471641618920755</v>
      </c>
      <c r="L70" s="78">
        <f t="shared" ca="1" si="38"/>
        <v>1.8346298629773932</v>
      </c>
      <c r="N70" t="str">
        <f t="shared" si="32"/>
        <v>Available water - Account Withdraw</v>
      </c>
      <c r="S70" s="39">
        <v>1045</v>
      </c>
      <c r="T70" s="40">
        <v>7.3260519999999998</v>
      </c>
      <c r="U70" s="41">
        <f t="shared" si="35"/>
        <v>0.96699999999999997</v>
      </c>
      <c r="V70" s="49">
        <v>7.5999999999999998E-2</v>
      </c>
      <c r="W70" s="41">
        <v>1.0369999999999999</v>
      </c>
      <c r="X70" s="41">
        <f t="shared" si="33"/>
        <v>1.0429999999999999</v>
      </c>
      <c r="Y70" s="42">
        <v>7.0000000000000007E-2</v>
      </c>
      <c r="Z70" s="52">
        <v>1043000</v>
      </c>
    </row>
    <row r="71" spans="1:26" x14ac:dyDescent="0.35">
      <c r="C71"/>
      <c r="S71" s="39">
        <v>1050</v>
      </c>
      <c r="T71" s="40">
        <v>7.6828779999999997</v>
      </c>
      <c r="U71" s="41">
        <f t="shared" si="35"/>
        <v>0.71699999999999997</v>
      </c>
      <c r="V71" s="49">
        <v>3.4000000000000002E-2</v>
      </c>
      <c r="W71" s="41">
        <v>0.78700000000000003</v>
      </c>
      <c r="X71" s="41">
        <f t="shared" si="33"/>
        <v>0.751</v>
      </c>
      <c r="Y71" s="42">
        <v>7.0000000000000007E-2</v>
      </c>
      <c r="Z71" s="52">
        <v>751000</v>
      </c>
    </row>
    <row r="72" spans="1:26" x14ac:dyDescent="0.35">
      <c r="A72" s="80" t="str">
        <f>IF(A$8="","[Unused]",A8)</f>
        <v>Mexico</v>
      </c>
      <c r="B72" s="81"/>
      <c r="C72" s="81"/>
      <c r="D72" s="81"/>
      <c r="E72" s="81"/>
      <c r="F72" s="81"/>
      <c r="G72" s="81"/>
      <c r="H72" s="81"/>
      <c r="I72" s="81"/>
      <c r="J72" s="81"/>
      <c r="K72" s="81"/>
      <c r="L72" s="81"/>
      <c r="M72" s="82" t="s">
        <v>108</v>
      </c>
      <c r="N72" s="80" t="s">
        <v>187</v>
      </c>
      <c r="S72" s="39">
        <v>1075</v>
      </c>
      <c r="T72" s="40">
        <v>9.6009879999900001</v>
      </c>
      <c r="U72" s="41">
        <f t="shared" si="35"/>
        <v>0.63300000000000001</v>
      </c>
      <c r="V72" s="49">
        <v>0.03</v>
      </c>
      <c r="W72" s="41">
        <v>0.68300000000000005</v>
      </c>
      <c r="X72" s="41">
        <f t="shared" si="33"/>
        <v>0.66300000000000003</v>
      </c>
      <c r="Y72" s="42">
        <v>0.05</v>
      </c>
      <c r="Z72" s="52">
        <v>663000</v>
      </c>
    </row>
    <row r="73" spans="1:26" x14ac:dyDescent="0.35">
      <c r="A73" s="32" t="str">
        <f>IF(A72="[Unused]","","   Volume of Sales(+) and Purchases(-) [maf]")</f>
        <v xml:space="preserve">   Volume of Sales(+) and Purchases(-) [maf]</v>
      </c>
      <c r="C73" s="25"/>
      <c r="D73" s="25"/>
      <c r="E73" s="25"/>
      <c r="F73" s="25"/>
      <c r="G73" s="25"/>
      <c r="H73" s="25"/>
      <c r="I73" s="25"/>
      <c r="J73" s="25"/>
      <c r="K73" s="25"/>
      <c r="L73" s="25"/>
      <c r="M73" s="79">
        <f>SUM(C73:L73)</f>
        <v>0</v>
      </c>
      <c r="N73" t="str">
        <f>IF(A73="","",N65)</f>
        <v>Add if multiple transactions, e.g.: 0.5 + 0.25</v>
      </c>
      <c r="S73" s="39">
        <v>1090</v>
      </c>
      <c r="T73" s="40">
        <v>10.857008</v>
      </c>
      <c r="U73" s="41">
        <f t="shared" si="35"/>
        <v>0.30000000000000004</v>
      </c>
      <c r="V73" s="49">
        <v>4.1000000000000002E-2</v>
      </c>
      <c r="W73" s="41">
        <v>0.3</v>
      </c>
      <c r="X73" s="41">
        <f t="shared" si="33"/>
        <v>0.34100000000000003</v>
      </c>
      <c r="Y73" s="38"/>
      <c r="Z73" s="52">
        <v>341000</v>
      </c>
    </row>
    <row r="74" spans="1:26" x14ac:dyDescent="0.35">
      <c r="A74" s="32" t="str">
        <f>IF(A73="","","   Cash Intake(+) and Payments(-) [$ Mill]")</f>
        <v xml:space="preserve">   Cash Intake(+) and Payments(-) [$ Mill]</v>
      </c>
      <c r="C74" s="77"/>
      <c r="D74" s="77"/>
      <c r="E74" s="77"/>
      <c r="F74" s="77"/>
      <c r="G74" s="77"/>
      <c r="H74" s="77"/>
      <c r="I74" s="77"/>
      <c r="J74" s="77"/>
      <c r="K74" s="77"/>
      <c r="L74" s="77"/>
      <c r="M74" s="76">
        <f>SUM(C74:L74)</f>
        <v>0</v>
      </c>
      <c r="N74" t="str">
        <f t="shared" ref="N74:N78" si="39">IF(A74="","",N66)</f>
        <v>Add if multiple transactions, e.g.: $350*0.5 + $450*0.25</v>
      </c>
      <c r="S74" s="39">
        <v>1091</v>
      </c>
      <c r="T74" s="40">
        <v>10.9</v>
      </c>
      <c r="U74" s="41">
        <v>0</v>
      </c>
      <c r="V74" s="49">
        <v>0</v>
      </c>
      <c r="W74" s="41">
        <v>0</v>
      </c>
      <c r="X74" s="41">
        <v>0</v>
      </c>
      <c r="Y74" s="38"/>
      <c r="Z74" s="52">
        <v>0</v>
      </c>
    </row>
    <row r="75" spans="1:26" x14ac:dyDescent="0.35">
      <c r="A75" s="32" t="str">
        <f>IF(A74="","","   Volume all players (should be zero)")</f>
        <v xml:space="preserve">   Volume all players (should be zero)</v>
      </c>
      <c r="C75" s="79">
        <f t="shared" ref="C75:M75" ca="1" si="40">IF(OR(C$27="",$A75=""),"",C$112)</f>
        <v>0</v>
      </c>
      <c r="D75" s="79">
        <f t="shared" ca="1" si="40"/>
        <v>0</v>
      </c>
      <c r="E75" s="79">
        <f t="shared" ca="1" si="40"/>
        <v>0</v>
      </c>
      <c r="F75" s="79">
        <f t="shared" ca="1" si="40"/>
        <v>0</v>
      </c>
      <c r="G75" s="79">
        <f t="shared" ca="1" si="40"/>
        <v>0</v>
      </c>
      <c r="H75" s="79">
        <f t="shared" ca="1" si="40"/>
        <v>0</v>
      </c>
      <c r="I75" s="79">
        <f t="shared" ca="1" si="40"/>
        <v>0</v>
      </c>
      <c r="J75" s="79">
        <f t="shared" ca="1" si="40"/>
        <v>0</v>
      </c>
      <c r="K75" s="79">
        <f t="shared" ca="1" si="40"/>
        <v>0</v>
      </c>
      <c r="L75" s="79">
        <f t="shared" ca="1" si="40"/>
        <v>0</v>
      </c>
      <c r="M75" t="str">
        <f t="shared" si="40"/>
        <v/>
      </c>
      <c r="N75" t="str">
        <f t="shared" si="39"/>
        <v>If non-zero, players need to change amount(s)</v>
      </c>
    </row>
    <row r="76" spans="1:26" x14ac:dyDescent="0.35">
      <c r="A76" s="1" t="str">
        <f>IF(A74="","","   Available Water [maf]")</f>
        <v xml:space="preserve">   Available Water [maf]</v>
      </c>
      <c r="C76" s="14">
        <f t="shared" ref="C76:L76" si="41">IF(OR(C$27="",$A76=""),"",C32+C50-C42-C73)</f>
        <v>1.6239063098110584</v>
      </c>
      <c r="D76" s="14">
        <f t="shared" ca="1" si="41"/>
        <v>1.6157471362388294</v>
      </c>
      <c r="E76" s="14">
        <f t="shared" ca="1" si="41"/>
        <v>1.6038359942639748</v>
      </c>
      <c r="F76" s="14">
        <f ca="1">IF(OR(F$27="",$A76=""),"",F32+F50-F42-F73)</f>
        <v>1.5961898225581981</v>
      </c>
      <c r="G76" s="14">
        <f t="shared" ca="1" si="41"/>
        <v>1.5888128669213906</v>
      </c>
      <c r="H76" s="14">
        <f t="shared" ca="1" si="41"/>
        <v>1.5816927752694632</v>
      </c>
      <c r="I76" s="14">
        <f t="shared" ca="1" si="41"/>
        <v>1.5748320434513436</v>
      </c>
      <c r="J76" s="14">
        <f t="shared" ca="1" si="41"/>
        <v>1.5685373628754438</v>
      </c>
      <c r="K76" s="14">
        <f t="shared" ca="1" si="41"/>
        <v>1.5627301994054454</v>
      </c>
      <c r="L76" s="14">
        <f t="shared" ca="1" si="41"/>
        <v>1.5153645320112479</v>
      </c>
      <c r="N76" t="str">
        <f t="shared" si="39"/>
        <v>Available water = Account Balance + Available Inflow - Evaporation + Sales - Purchases</v>
      </c>
    </row>
    <row r="77" spans="1:26" x14ac:dyDescent="0.35">
      <c r="A77" s="1" t="str">
        <f>IF(A76="","","   Account Withdraw [maf]")</f>
        <v xml:space="preserve">   Account Withdraw [maf]</v>
      </c>
      <c r="C77" s="50">
        <f>C46</f>
        <v>1.4583333333333333</v>
      </c>
      <c r="D77" s="50">
        <f t="shared" ref="D77:L77" ca="1" si="42">D46</f>
        <v>1.4583333333333333</v>
      </c>
      <c r="E77" s="50">
        <f t="shared" ca="1" si="42"/>
        <v>1.4543333333333333</v>
      </c>
      <c r="F77" s="50">
        <f t="shared" ca="1" si="42"/>
        <v>1.4543333333333333</v>
      </c>
      <c r="G77" s="50">
        <f t="shared" ca="1" si="42"/>
        <v>1.4543333333333333</v>
      </c>
      <c r="H77" s="50">
        <f t="shared" ca="1" si="42"/>
        <v>1.4543333333333333</v>
      </c>
      <c r="I77" s="50">
        <f t="shared" ca="1" si="42"/>
        <v>1.4543333333333333</v>
      </c>
      <c r="J77" s="50">
        <f t="shared" ca="1" si="42"/>
        <v>1.4543333333333333</v>
      </c>
      <c r="K77" s="50">
        <f t="shared" ca="1" si="42"/>
        <v>1.4543333333333333</v>
      </c>
      <c r="L77" s="50">
        <f t="shared" ca="1" si="42"/>
        <v>1.4123333333333332</v>
      </c>
      <c r="N77" t="str">
        <f t="shared" si="39"/>
        <v>Must be less than Available water</v>
      </c>
    </row>
    <row r="78" spans="1:26" x14ac:dyDescent="0.35">
      <c r="A78" s="32" t="str">
        <f>IF(A77="","","   End of Year Balance [maf]")</f>
        <v xml:space="preserve">   End of Year Balance [maf]</v>
      </c>
      <c r="C78" s="78">
        <f>IF(OR(C$27="",$A78=""),"",C76-C77)</f>
        <v>0.16557297647772518</v>
      </c>
      <c r="D78" s="78">
        <f t="shared" ref="D78:L78" ca="1" si="43">IF(OR(D$27="",$A78=""),"",D76-D77)</f>
        <v>0.15741380290549611</v>
      </c>
      <c r="E78" s="78">
        <f t="shared" ca="1" si="43"/>
        <v>0.14950266093064157</v>
      </c>
      <c r="F78" s="78">
        <f t="shared" ca="1" si="43"/>
        <v>0.14185648922486482</v>
      </c>
      <c r="G78" s="78">
        <f t="shared" ca="1" si="43"/>
        <v>0.13447953358805731</v>
      </c>
      <c r="H78" s="78">
        <f t="shared" ca="1" si="43"/>
        <v>0.12735944193612991</v>
      </c>
      <c r="I78" s="78">
        <f t="shared" ca="1" si="43"/>
        <v>0.12049871011801039</v>
      </c>
      <c r="J78" s="78">
        <f t="shared" ca="1" si="43"/>
        <v>0.11420402954211051</v>
      </c>
      <c r="K78" s="78">
        <f t="shared" ca="1" si="43"/>
        <v>0.10839686607211219</v>
      </c>
      <c r="L78" s="78">
        <f t="shared" ca="1" si="43"/>
        <v>0.10303119867791466</v>
      </c>
      <c r="N78" t="str">
        <f t="shared" si="39"/>
        <v>Available water - Account Withdraw</v>
      </c>
    </row>
    <row r="79" spans="1:26" x14ac:dyDescent="0.35">
      <c r="C79"/>
    </row>
    <row r="80" spans="1:26" x14ac:dyDescent="0.35">
      <c r="A80" s="80" t="str">
        <f>IF(A$9="","[Unused]",A9)</f>
        <v>Mohave &amp; Havasu Evap &amp; ET</v>
      </c>
      <c r="B80" s="81"/>
      <c r="C80" s="81"/>
      <c r="D80" s="81"/>
      <c r="E80" s="81"/>
      <c r="F80" s="81"/>
      <c r="G80" s="81"/>
      <c r="H80" s="81"/>
      <c r="I80" s="81"/>
      <c r="J80" s="81"/>
      <c r="K80" s="81"/>
      <c r="L80" s="81"/>
      <c r="M80" s="82" t="s">
        <v>108</v>
      </c>
      <c r="N80" s="80" t="s">
        <v>187</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9">
        <f>SUM(C81:L81)</f>
        <v>0</v>
      </c>
      <c r="N81" t="str">
        <f>IF(A81="","",N73)</f>
        <v>Add if multiple transactions, e.g.: 0.5 + 0.25</v>
      </c>
    </row>
    <row r="82" spans="1:14" x14ac:dyDescent="0.35">
      <c r="A82" s="32" t="str">
        <f>IF(A81="","","   Cash Intake(+) and Payments(-) [$ Mill]")</f>
        <v xml:space="preserve">   Cash Intake(+) and Payments(-) [$ Mill]</v>
      </c>
      <c r="C82" s="77"/>
      <c r="D82" s="77"/>
      <c r="E82" s="77"/>
      <c r="F82" s="77"/>
      <c r="G82" s="77"/>
      <c r="H82" s="77"/>
      <c r="I82" s="77"/>
      <c r="J82" s="77"/>
      <c r="K82" s="77"/>
      <c r="L82" s="77"/>
      <c r="M82" s="76">
        <f>SUM(C82:L82)</f>
        <v>0</v>
      </c>
      <c r="N82" t="str">
        <f t="shared" ref="N82:N86" si="44">IF(A82="","",N74)</f>
        <v>Add if multiple transactions, e.g.: $350*0.5 + $450*0.25</v>
      </c>
    </row>
    <row r="83" spans="1:14" x14ac:dyDescent="0.35">
      <c r="A83" s="32" t="str">
        <f>IF(A82="","","   Volume all players (should be zero)")</f>
        <v xml:space="preserve">   Volume all players (should be zero)</v>
      </c>
      <c r="C83" s="79">
        <f t="shared" ref="C83:M83" ca="1" si="45">IF(OR(C$27="",$A83=""),"",C$112)</f>
        <v>0</v>
      </c>
      <c r="D83" s="79">
        <f t="shared" ca="1" si="45"/>
        <v>0</v>
      </c>
      <c r="E83" s="79">
        <f t="shared" ca="1" si="45"/>
        <v>0</v>
      </c>
      <c r="F83" s="79">
        <f t="shared" ca="1" si="45"/>
        <v>0</v>
      </c>
      <c r="G83" s="79">
        <f t="shared" ca="1" si="45"/>
        <v>0</v>
      </c>
      <c r="H83" s="79">
        <f t="shared" ca="1" si="45"/>
        <v>0</v>
      </c>
      <c r="I83" s="79">
        <f t="shared" ca="1" si="45"/>
        <v>0</v>
      </c>
      <c r="J83" s="79">
        <f t="shared" ca="1" si="45"/>
        <v>0</v>
      </c>
      <c r="K83" s="79">
        <f t="shared" ca="1" si="45"/>
        <v>0</v>
      </c>
      <c r="L83" s="79">
        <f t="shared" ca="1" si="45"/>
        <v>0</v>
      </c>
      <c r="M83" t="str">
        <f t="shared" si="45"/>
        <v/>
      </c>
      <c r="N83" t="str">
        <f t="shared" si="44"/>
        <v>If non-zero, players need to change amount(s)</v>
      </c>
    </row>
    <row r="84" spans="1:14" x14ac:dyDescent="0.35">
      <c r="A84" s="1" t="str">
        <f>IF(A82="","","   Available Water [maf]")</f>
        <v xml:space="preserve">   Available Water [maf]</v>
      </c>
      <c r="C84" s="14">
        <f t="shared" ref="C84:L84" si="46">IF(OR(C$27="",$A84=""),"",C33+C51-C43-C81)</f>
        <v>0.6</v>
      </c>
      <c r="D84" s="14">
        <f t="shared" ca="1" si="46"/>
        <v>0.6</v>
      </c>
      <c r="E84" s="14">
        <f t="shared" ca="1" si="46"/>
        <v>0.6</v>
      </c>
      <c r="F84" s="14">
        <f t="shared" ca="1" si="46"/>
        <v>0.6</v>
      </c>
      <c r="G84" s="14">
        <f t="shared" ca="1" si="46"/>
        <v>0.6</v>
      </c>
      <c r="H84" s="14">
        <f t="shared" ca="1" si="46"/>
        <v>0.6</v>
      </c>
      <c r="I84" s="14">
        <f t="shared" ca="1" si="46"/>
        <v>0.6</v>
      </c>
      <c r="J84" s="14">
        <f t="shared" ca="1" si="46"/>
        <v>0.6</v>
      </c>
      <c r="K84" s="14">
        <f t="shared" ca="1" si="46"/>
        <v>0.6</v>
      </c>
      <c r="L84" s="14">
        <f t="shared" ca="1" si="46"/>
        <v>0.6</v>
      </c>
      <c r="N84" t="str">
        <f t="shared" si="44"/>
        <v>Available water = Account Balance + Available Inflow - Evaporation + Sales - Purchases</v>
      </c>
    </row>
    <row r="85" spans="1:14" x14ac:dyDescent="0.35">
      <c r="A85" s="1" t="str">
        <f>IF(A84="","","   Account Withdraw [maf]")</f>
        <v xml:space="preserve">   Account Withdraw [maf]</v>
      </c>
      <c r="C85" s="43">
        <f>C84</f>
        <v>0.6</v>
      </c>
      <c r="D85" s="43">
        <f t="shared" ref="D85:L85" ca="1" si="47">D84</f>
        <v>0.6</v>
      </c>
      <c r="E85" s="43">
        <f t="shared" ca="1" si="47"/>
        <v>0.6</v>
      </c>
      <c r="F85" s="43">
        <f t="shared" ca="1" si="47"/>
        <v>0.6</v>
      </c>
      <c r="G85" s="43">
        <f t="shared" ca="1" si="47"/>
        <v>0.6</v>
      </c>
      <c r="H85" s="43">
        <f t="shared" ca="1" si="47"/>
        <v>0.6</v>
      </c>
      <c r="I85" s="43">
        <f t="shared" ca="1" si="47"/>
        <v>0.6</v>
      </c>
      <c r="J85" s="43">
        <f t="shared" ca="1" si="47"/>
        <v>0.6</v>
      </c>
      <c r="K85" s="43">
        <f t="shared" ca="1" si="47"/>
        <v>0.6</v>
      </c>
      <c r="L85" s="43">
        <f t="shared" ca="1" si="47"/>
        <v>0.6</v>
      </c>
      <c r="N85" t="str">
        <f t="shared" si="44"/>
        <v>Must be less than Available water</v>
      </c>
    </row>
    <row r="86" spans="1:14" x14ac:dyDescent="0.35">
      <c r="A86" s="32" t="str">
        <f>IF(A85="","","   End of Year Balance [maf]")</f>
        <v xml:space="preserve">   End of Year Balance [maf]</v>
      </c>
      <c r="C86" s="78">
        <f>IF(OR(C$27="",$A86=""),"",C84-C85)</f>
        <v>0</v>
      </c>
      <c r="D86" s="78">
        <f t="shared" ref="D86:L86" ca="1" si="48">IF(OR(D$27="",$A86=""),"",D84-D85)</f>
        <v>0</v>
      </c>
      <c r="E86" s="78">
        <f t="shared" ca="1" si="48"/>
        <v>0</v>
      </c>
      <c r="F86" s="78">
        <f t="shared" ca="1" si="48"/>
        <v>0</v>
      </c>
      <c r="G86" s="78">
        <f t="shared" ca="1" si="48"/>
        <v>0</v>
      </c>
      <c r="H86" s="78">
        <f t="shared" ca="1" si="48"/>
        <v>0</v>
      </c>
      <c r="I86" s="78">
        <f t="shared" ca="1" si="48"/>
        <v>0</v>
      </c>
      <c r="J86" s="78">
        <f t="shared" ca="1" si="48"/>
        <v>0</v>
      </c>
      <c r="K86" s="78">
        <f t="shared" ca="1" si="48"/>
        <v>0</v>
      </c>
      <c r="L86" s="78">
        <f t="shared" ca="1" si="48"/>
        <v>0</v>
      </c>
      <c r="N86" t="str">
        <f t="shared" si="44"/>
        <v>Available water - Account Withdraw</v>
      </c>
    </row>
    <row r="87" spans="1:14" x14ac:dyDescent="0.35">
      <c r="C87"/>
    </row>
    <row r="88" spans="1:14" x14ac:dyDescent="0.35">
      <c r="A88" s="80" t="str">
        <f>IF(A$10="","[Unused]",A10)</f>
        <v>Shared, Reserve</v>
      </c>
      <c r="B88" s="81"/>
      <c r="C88" s="81"/>
      <c r="D88" s="81"/>
      <c r="E88" s="81"/>
      <c r="F88" s="81"/>
      <c r="G88" s="81"/>
      <c r="H88" s="81"/>
      <c r="I88" s="81"/>
      <c r="J88" s="81"/>
      <c r="K88" s="81"/>
      <c r="L88" s="81"/>
      <c r="M88" s="82" t="s">
        <v>108</v>
      </c>
      <c r="N88" s="80" t="s">
        <v>187</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9">
        <f>SUM(C89:L89)</f>
        <v>0</v>
      </c>
      <c r="N89" t="str">
        <f>IF(A89="","",N81)</f>
        <v>Add if multiple transactions, e.g.: 0.5 + 0.25</v>
      </c>
    </row>
    <row r="90" spans="1:14" x14ac:dyDescent="0.35">
      <c r="A90" s="32" t="str">
        <f>IF(A89="","","   Cash Intake(+) and Payments(-) [$ Mill]")</f>
        <v xml:space="preserve">   Cash Intake(+) and Payments(-) [$ Mill]</v>
      </c>
      <c r="C90" s="77"/>
      <c r="D90" s="77"/>
      <c r="E90" s="77"/>
      <c r="F90" s="77"/>
      <c r="G90" s="77"/>
      <c r="H90" s="77"/>
      <c r="I90" s="77"/>
      <c r="J90" s="77"/>
      <c r="K90" s="77"/>
      <c r="L90" s="77"/>
      <c r="M90" s="76">
        <f>SUM(C90:L90)</f>
        <v>0</v>
      </c>
      <c r="N90" t="str">
        <f t="shared" ref="N90:N94" si="49">IF(A90="","",N82)</f>
        <v>Add if multiple transactions, e.g.: $350*0.5 + $450*0.25</v>
      </c>
    </row>
    <row r="91" spans="1:14" x14ac:dyDescent="0.35">
      <c r="A91" s="32" t="str">
        <f>IF(A90="","","   Volume all players (should be zero)")</f>
        <v xml:space="preserve">   Volume all players (should be zero)</v>
      </c>
      <c r="C91" s="79">
        <f t="shared" ref="C91:M91" ca="1" si="50">IF(OR(C$27="",$A91=""),"",C$112)</f>
        <v>0</v>
      </c>
      <c r="D91" s="79">
        <f t="shared" ca="1" si="50"/>
        <v>0</v>
      </c>
      <c r="E91" s="79">
        <f t="shared" ca="1" si="50"/>
        <v>0</v>
      </c>
      <c r="F91" s="79">
        <f t="shared" ca="1" si="50"/>
        <v>0</v>
      </c>
      <c r="G91" s="79">
        <f t="shared" ca="1" si="50"/>
        <v>0</v>
      </c>
      <c r="H91" s="79">
        <f t="shared" ca="1" si="50"/>
        <v>0</v>
      </c>
      <c r="I91" s="79">
        <f t="shared" ca="1" si="50"/>
        <v>0</v>
      </c>
      <c r="J91" s="79">
        <f t="shared" ca="1" si="50"/>
        <v>0</v>
      </c>
      <c r="K91" s="79">
        <f t="shared" ca="1" si="50"/>
        <v>0</v>
      </c>
      <c r="L91" s="79">
        <f t="shared" ca="1" si="50"/>
        <v>0</v>
      </c>
      <c r="M91" t="str">
        <f t="shared" si="50"/>
        <v/>
      </c>
      <c r="N91" t="str">
        <f t="shared" si="49"/>
        <v>If non-zero, players need to change amount(s)</v>
      </c>
    </row>
    <row r="92" spans="1:14" x14ac:dyDescent="0.35">
      <c r="A92" s="1" t="str">
        <f>IF(A90="","","   Available Water [maf]")</f>
        <v xml:space="preserve">   Available Water [maf]</v>
      </c>
      <c r="C92" s="14">
        <f t="shared" ref="C92:L92" si="51">IF(OR(C$27="",$A92=""),"",C34+C52-C44-C89)</f>
        <v>11.59116925</v>
      </c>
      <c r="D92" s="14">
        <f t="shared" ca="1" si="51"/>
        <v>11.59116925</v>
      </c>
      <c r="E92" s="14">
        <f t="shared" ca="1" si="51"/>
        <v>11.59116925</v>
      </c>
      <c r="F92" s="14">
        <f t="shared" ca="1" si="51"/>
        <v>11.59116925</v>
      </c>
      <c r="G92" s="14">
        <f t="shared" ca="1" si="51"/>
        <v>11.59116925</v>
      </c>
      <c r="H92" s="14">
        <f t="shared" ca="1" si="51"/>
        <v>11.59116925</v>
      </c>
      <c r="I92" s="14">
        <f t="shared" ca="1" si="51"/>
        <v>11.59116925</v>
      </c>
      <c r="J92" s="14">
        <f t="shared" ca="1" si="51"/>
        <v>11.59116925</v>
      </c>
      <c r="K92" s="14">
        <f t="shared" ca="1" si="51"/>
        <v>11.59116925</v>
      </c>
      <c r="L92" s="14">
        <f t="shared" ca="1" si="51"/>
        <v>11.59116925</v>
      </c>
      <c r="N92" t="str">
        <f t="shared" si="49"/>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49"/>
        <v>Must be less than Available water</v>
      </c>
    </row>
    <row r="94" spans="1:14" x14ac:dyDescent="0.35">
      <c r="A94" s="32" t="str">
        <f>IF(A93="","","   End of Year Balance [maf]")</f>
        <v xml:space="preserve">   End of Year Balance [maf]</v>
      </c>
      <c r="C94" s="78">
        <f>IF(OR(C$27="",$A94=""),"",C92-C93)</f>
        <v>11.59116925</v>
      </c>
      <c r="D94" s="78">
        <f t="shared" ref="D94:L94" ca="1" si="52">IF(OR(D$27="",$A94=""),"",D92-D93)</f>
        <v>11.59116925</v>
      </c>
      <c r="E94" s="78">
        <f t="shared" ca="1" si="52"/>
        <v>11.59116925</v>
      </c>
      <c r="F94" s="78">
        <f t="shared" ca="1" si="52"/>
        <v>11.59116925</v>
      </c>
      <c r="G94" s="78">
        <f t="shared" ca="1" si="52"/>
        <v>11.59116925</v>
      </c>
      <c r="H94" s="78">
        <f t="shared" ca="1" si="52"/>
        <v>11.59116925</v>
      </c>
      <c r="I94" s="78">
        <f t="shared" ca="1" si="52"/>
        <v>11.59116925</v>
      </c>
      <c r="J94" s="78">
        <f t="shared" ca="1" si="52"/>
        <v>11.59116925</v>
      </c>
      <c r="K94" s="78">
        <f t="shared" ca="1" si="52"/>
        <v>11.59116925</v>
      </c>
      <c r="L94" s="78">
        <f t="shared" ca="1" si="52"/>
        <v>11.59116925</v>
      </c>
      <c r="N94" t="str">
        <f t="shared" si="49"/>
        <v>Available water - Account Withdraw</v>
      </c>
    </row>
    <row r="95" spans="1:14" x14ac:dyDescent="0.35">
      <c r="C95"/>
    </row>
    <row r="96" spans="1:14" x14ac:dyDescent="0.35">
      <c r="A96" s="80" t="str">
        <f>IF(A$11="","[Unused]",A11)</f>
        <v>[Unused]</v>
      </c>
      <c r="B96" s="81"/>
      <c r="C96" s="81"/>
      <c r="D96" s="81"/>
      <c r="E96" s="81"/>
      <c r="F96" s="81"/>
      <c r="G96" s="81"/>
      <c r="H96" s="81"/>
      <c r="I96" s="81"/>
      <c r="J96" s="81"/>
      <c r="K96" s="81"/>
      <c r="L96" s="81"/>
      <c r="M96" s="82" t="s">
        <v>108</v>
      </c>
      <c r="N96" s="80" t="s">
        <v>187</v>
      </c>
    </row>
    <row r="97" spans="1:14" x14ac:dyDescent="0.35">
      <c r="A97" s="32" t="str">
        <f>IF(A96="[Unused]","","   Volume of Sales(+) and Purchases(-) [maf]")</f>
        <v/>
      </c>
      <c r="C97" s="25"/>
      <c r="D97" s="25"/>
      <c r="E97" s="25"/>
      <c r="F97" s="25"/>
      <c r="G97" s="25"/>
      <c r="H97" s="25"/>
      <c r="I97" s="25"/>
      <c r="J97" s="25"/>
      <c r="K97" s="25"/>
      <c r="L97" s="25"/>
      <c r="M97" s="79">
        <f>SUM(C97:L97)</f>
        <v>0</v>
      </c>
      <c r="N97" t="str">
        <f>IF(A97="","",N89)</f>
        <v/>
      </c>
    </row>
    <row r="98" spans="1:14" x14ac:dyDescent="0.35">
      <c r="A98" s="32" t="str">
        <f>IF(A97="","","   Cash Intake(+) and Payments(-) [$ Mill]")</f>
        <v/>
      </c>
      <c r="C98" s="77"/>
      <c r="D98" s="77"/>
      <c r="E98" s="77"/>
      <c r="F98" s="77"/>
      <c r="G98" s="77"/>
      <c r="H98" s="77"/>
      <c r="I98" s="77"/>
      <c r="J98" s="77"/>
      <c r="K98" s="77"/>
      <c r="L98" s="77"/>
      <c r="M98" s="76">
        <f>SUM(C98:L98)</f>
        <v>0</v>
      </c>
      <c r="N98" t="str">
        <f t="shared" ref="N98:N102" si="53">IF(A98="","",N90)</f>
        <v/>
      </c>
    </row>
    <row r="99" spans="1:14" x14ac:dyDescent="0.35">
      <c r="A99" s="32" t="str">
        <f>IF(A98="","","   Volume all players (should be zero)")</f>
        <v/>
      </c>
      <c r="C99" s="79" t="str">
        <f t="shared" ref="C99:M99" si="54">IF(OR(C$27="",$A99=""),"",C$112)</f>
        <v/>
      </c>
      <c r="D99" s="79" t="str">
        <f t="shared" si="54"/>
        <v/>
      </c>
      <c r="E99" s="79" t="str">
        <f t="shared" si="54"/>
        <v/>
      </c>
      <c r="F99" s="79" t="str">
        <f t="shared" si="54"/>
        <v/>
      </c>
      <c r="G99" s="79" t="str">
        <f t="shared" si="54"/>
        <v/>
      </c>
      <c r="H99" s="79" t="str">
        <f t="shared" si="54"/>
        <v/>
      </c>
      <c r="I99" s="79" t="str">
        <f t="shared" si="54"/>
        <v/>
      </c>
      <c r="J99" s="79" t="str">
        <f t="shared" si="54"/>
        <v/>
      </c>
      <c r="K99" s="79" t="str">
        <f t="shared" si="54"/>
        <v/>
      </c>
      <c r="L99" s="79" t="str">
        <f t="shared" si="54"/>
        <v/>
      </c>
      <c r="M99" t="str">
        <f t="shared" si="54"/>
        <v/>
      </c>
      <c r="N99" t="str">
        <f t="shared" si="53"/>
        <v/>
      </c>
    </row>
    <row r="100" spans="1:14" x14ac:dyDescent="0.35">
      <c r="A100" s="1" t="str">
        <f>IF(A98="","","   Available Water [maf]")</f>
        <v/>
      </c>
      <c r="C100" s="14" t="str">
        <f t="shared" ref="C100:L100" si="55">IF(OR(C$27="",$A100=""),"",C35+C53-C45-C97)</f>
        <v/>
      </c>
      <c r="D100" s="14" t="str">
        <f t="shared" si="55"/>
        <v/>
      </c>
      <c r="E100" s="14" t="str">
        <f t="shared" si="55"/>
        <v/>
      </c>
      <c r="F100" s="14" t="str">
        <f t="shared" si="55"/>
        <v/>
      </c>
      <c r="G100" s="14" t="str">
        <f t="shared" si="55"/>
        <v/>
      </c>
      <c r="H100" s="14" t="str">
        <f t="shared" si="55"/>
        <v/>
      </c>
      <c r="I100" s="14" t="str">
        <f t="shared" si="55"/>
        <v/>
      </c>
      <c r="J100" s="14" t="str">
        <f t="shared" si="55"/>
        <v/>
      </c>
      <c r="K100" s="14" t="str">
        <f t="shared" si="55"/>
        <v/>
      </c>
      <c r="L100" s="14" t="str">
        <f t="shared" si="55"/>
        <v/>
      </c>
      <c r="N100" t="str">
        <f t="shared" si="53"/>
        <v/>
      </c>
    </row>
    <row r="101" spans="1:14" x14ac:dyDescent="0.35">
      <c r="A101" s="1" t="str">
        <f>IF(A100="","","   Account Withdraw [maf]")</f>
        <v/>
      </c>
      <c r="C101" s="43"/>
      <c r="D101" s="43"/>
      <c r="E101" s="43"/>
      <c r="F101" s="43"/>
      <c r="G101" s="43"/>
      <c r="H101" s="43"/>
      <c r="I101" s="43"/>
      <c r="J101" s="43"/>
      <c r="K101" s="43"/>
      <c r="L101" s="43"/>
      <c r="N101" t="str">
        <f t="shared" si="53"/>
        <v/>
      </c>
    </row>
    <row r="102" spans="1:14" x14ac:dyDescent="0.35">
      <c r="A102" s="32" t="str">
        <f>IF(A101="","","   End of Year Balance [maf]")</f>
        <v/>
      </c>
      <c r="C102" s="78" t="str">
        <f>IF(OR(C$27="",$A102=""),"",C100-C101)</f>
        <v/>
      </c>
      <c r="D102" s="78" t="str">
        <f t="shared" ref="D102:L102" si="56">IF(OR(D$27="",$A102=""),"",D100-D101)</f>
        <v/>
      </c>
      <c r="E102" s="78" t="str">
        <f t="shared" si="56"/>
        <v/>
      </c>
      <c r="F102" s="78" t="str">
        <f t="shared" si="56"/>
        <v/>
      </c>
      <c r="G102" s="78" t="str">
        <f t="shared" si="56"/>
        <v/>
      </c>
      <c r="H102" s="78" t="str">
        <f t="shared" si="56"/>
        <v/>
      </c>
      <c r="I102" s="78" t="str">
        <f t="shared" si="56"/>
        <v/>
      </c>
      <c r="J102" s="78" t="str">
        <f t="shared" si="56"/>
        <v/>
      </c>
      <c r="K102" s="78" t="str">
        <f t="shared" si="56"/>
        <v/>
      </c>
      <c r="L102" s="78" t="str">
        <f t="shared" si="56"/>
        <v/>
      </c>
      <c r="N102" t="str">
        <f t="shared" si="53"/>
        <v/>
      </c>
    </row>
    <row r="103" spans="1:14" x14ac:dyDescent="0.35">
      <c r="C103"/>
    </row>
    <row r="104" spans="1:14" x14ac:dyDescent="0.35">
      <c r="A104" s="83" t="s">
        <v>198</v>
      </c>
      <c r="B104" s="84"/>
      <c r="C104" s="84"/>
      <c r="D104" s="84"/>
      <c r="E104" s="84"/>
      <c r="F104" s="84"/>
      <c r="G104" s="84"/>
      <c r="H104" s="84"/>
      <c r="I104" s="84"/>
      <c r="J104" s="84"/>
      <c r="K104" s="84"/>
      <c r="L104" s="84"/>
      <c r="M104" s="84"/>
      <c r="N104" s="84"/>
    </row>
    <row r="105" spans="1:14" x14ac:dyDescent="0.35">
      <c r="A105" s="1" t="s">
        <v>159</v>
      </c>
      <c r="C105"/>
      <c r="M105" t="s">
        <v>197</v>
      </c>
      <c r="N105" t="s">
        <v>160</v>
      </c>
    </row>
    <row r="106" spans="1:14" x14ac:dyDescent="0.35">
      <c r="A106" t="str">
        <f t="shared" ref="A106:A111" si="57">IF(A6="","","    "&amp;A6)</f>
        <v xml:space="preserve">    Upper Basin</v>
      </c>
      <c r="B106" s="1"/>
      <c r="C106" s="79">
        <f t="shared" ref="C106:L111" ca="1" si="58">IF(OR(C$27="",$A106=""),"",OFFSET(C$57,8*(ROW(B106)-ROW(B$106)),0))</f>
        <v>0</v>
      </c>
      <c r="D106" s="79">
        <f t="shared" ca="1" si="58"/>
        <v>0</v>
      </c>
      <c r="E106" s="79">
        <f t="shared" ca="1" si="58"/>
        <v>0</v>
      </c>
      <c r="F106" s="79">
        <f t="shared" ca="1" si="58"/>
        <v>0</v>
      </c>
      <c r="G106" s="79">
        <f t="shared" ca="1" si="58"/>
        <v>0</v>
      </c>
      <c r="H106" s="79">
        <f t="shared" ca="1" si="58"/>
        <v>0</v>
      </c>
      <c r="I106" s="79">
        <f t="shared" ca="1" si="58"/>
        <v>0</v>
      </c>
      <c r="J106" s="79">
        <f t="shared" ca="1" si="58"/>
        <v>0</v>
      </c>
      <c r="K106" s="79">
        <f t="shared" ca="1" si="58"/>
        <v>0</v>
      </c>
      <c r="L106" s="79">
        <f t="shared" ca="1" si="58"/>
        <v>0</v>
      </c>
      <c r="M106" s="79">
        <f ca="1">IF(OR($A106=""),"",SUM(C106:L106))</f>
        <v>0</v>
      </c>
      <c r="N106" s="76">
        <f>IF(OR($A106=""),"",M58)</f>
        <v>0</v>
      </c>
    </row>
    <row r="107" spans="1:14" x14ac:dyDescent="0.35">
      <c r="A107" t="str">
        <f t="shared" si="57"/>
        <v xml:space="preserve">    Lower Basin</v>
      </c>
      <c r="B107" s="1"/>
      <c r="C107" s="79">
        <f t="shared" ca="1" si="58"/>
        <v>0</v>
      </c>
      <c r="D107" s="79">
        <f t="shared" ca="1" si="58"/>
        <v>0</v>
      </c>
      <c r="E107" s="79">
        <f t="shared" ca="1" si="58"/>
        <v>0</v>
      </c>
      <c r="F107" s="79">
        <f t="shared" ca="1" si="58"/>
        <v>0</v>
      </c>
      <c r="G107" s="79">
        <f t="shared" ca="1" si="58"/>
        <v>0</v>
      </c>
      <c r="H107" s="79">
        <f t="shared" ca="1" si="58"/>
        <v>0</v>
      </c>
      <c r="I107" s="79">
        <f t="shared" ca="1" si="58"/>
        <v>0</v>
      </c>
      <c r="J107" s="79">
        <f t="shared" ca="1" si="58"/>
        <v>0</v>
      </c>
      <c r="K107" s="79">
        <f t="shared" ca="1" si="58"/>
        <v>0</v>
      </c>
      <c r="L107" s="79">
        <f t="shared" ca="1" si="58"/>
        <v>0</v>
      </c>
      <c r="M107" s="79">
        <f t="shared" ref="M107:M111" ca="1" si="59">IF(OR($A107=""),"",SUM(C107:L107))</f>
        <v>0</v>
      </c>
      <c r="N107" s="76">
        <f>IF(OR($A107=""),"",M66)</f>
        <v>0</v>
      </c>
    </row>
    <row r="108" spans="1:14" x14ac:dyDescent="0.35">
      <c r="A108" t="str">
        <f t="shared" si="57"/>
        <v xml:space="preserve">    Mexico</v>
      </c>
      <c r="B108" s="1"/>
      <c r="C108" s="79">
        <f t="shared" ca="1" si="58"/>
        <v>0</v>
      </c>
      <c r="D108" s="79">
        <f t="shared" ca="1" si="58"/>
        <v>0</v>
      </c>
      <c r="E108" s="79">
        <f t="shared" ca="1" si="58"/>
        <v>0</v>
      </c>
      <c r="F108" s="79">
        <f t="shared" ca="1" si="58"/>
        <v>0</v>
      </c>
      <c r="G108" s="79">
        <f t="shared" ca="1" si="58"/>
        <v>0</v>
      </c>
      <c r="H108" s="79">
        <f t="shared" ca="1" si="58"/>
        <v>0</v>
      </c>
      <c r="I108" s="79">
        <f t="shared" ca="1" si="58"/>
        <v>0</v>
      </c>
      <c r="J108" s="79">
        <f t="shared" ca="1" si="58"/>
        <v>0</v>
      </c>
      <c r="K108" s="79">
        <f t="shared" ca="1" si="58"/>
        <v>0</v>
      </c>
      <c r="L108" s="79">
        <f t="shared" ca="1" si="58"/>
        <v>0</v>
      </c>
      <c r="M108" s="79">
        <f t="shared" ca="1" si="59"/>
        <v>0</v>
      </c>
      <c r="N108" s="76">
        <f>IF(OR($A108=""),"",M74)</f>
        <v>0</v>
      </c>
    </row>
    <row r="109" spans="1:14" x14ac:dyDescent="0.35">
      <c r="A109" t="str">
        <f t="shared" si="57"/>
        <v xml:space="preserve">    Mohave &amp; Havasu Evap &amp; ET</v>
      </c>
      <c r="B109" s="1"/>
      <c r="C109" s="79">
        <f t="shared" ca="1" si="58"/>
        <v>0</v>
      </c>
      <c r="D109" s="79">
        <f t="shared" ca="1" si="58"/>
        <v>0</v>
      </c>
      <c r="E109" s="79">
        <f t="shared" ca="1" si="58"/>
        <v>0</v>
      </c>
      <c r="F109" s="79">
        <f t="shared" ca="1" si="58"/>
        <v>0</v>
      </c>
      <c r="G109" s="79">
        <f t="shared" ca="1" si="58"/>
        <v>0</v>
      </c>
      <c r="H109" s="79">
        <f t="shared" ca="1" si="58"/>
        <v>0</v>
      </c>
      <c r="I109" s="79">
        <f t="shared" ca="1" si="58"/>
        <v>0</v>
      </c>
      <c r="J109" s="79">
        <f t="shared" ca="1" si="58"/>
        <v>0</v>
      </c>
      <c r="K109" s="79">
        <f t="shared" ca="1" si="58"/>
        <v>0</v>
      </c>
      <c r="L109" s="79">
        <f t="shared" ca="1" si="58"/>
        <v>0</v>
      </c>
      <c r="M109" s="79">
        <f t="shared" ca="1" si="59"/>
        <v>0</v>
      </c>
      <c r="N109" s="76">
        <f>IF(OR($A109=""),"",M82)</f>
        <v>0</v>
      </c>
    </row>
    <row r="110" spans="1:14" x14ac:dyDescent="0.35">
      <c r="A110" t="str">
        <f t="shared" si="57"/>
        <v xml:space="preserve">    Shared, Reserve</v>
      </c>
      <c r="B110" s="1"/>
      <c r="C110" s="79">
        <f t="shared" ca="1" si="58"/>
        <v>0</v>
      </c>
      <c r="D110" s="79">
        <f t="shared" ca="1" si="58"/>
        <v>0</v>
      </c>
      <c r="E110" s="79">
        <f t="shared" ca="1" si="58"/>
        <v>0</v>
      </c>
      <c r="F110" s="79">
        <f t="shared" ca="1" si="58"/>
        <v>0</v>
      </c>
      <c r="G110" s="79">
        <f t="shared" ca="1" si="58"/>
        <v>0</v>
      </c>
      <c r="H110" s="79">
        <f t="shared" ca="1" si="58"/>
        <v>0</v>
      </c>
      <c r="I110" s="79">
        <f t="shared" ca="1" si="58"/>
        <v>0</v>
      </c>
      <c r="J110" s="79">
        <f t="shared" ca="1" si="58"/>
        <v>0</v>
      </c>
      <c r="K110" s="79">
        <f t="shared" ca="1" si="58"/>
        <v>0</v>
      </c>
      <c r="L110" s="79">
        <f t="shared" ca="1" si="58"/>
        <v>0</v>
      </c>
      <c r="M110" s="79">
        <f t="shared" ca="1" si="59"/>
        <v>0</v>
      </c>
      <c r="N110" s="76">
        <f>IF(OR($A110=""),"",M90)</f>
        <v>0</v>
      </c>
    </row>
    <row r="111" spans="1:14" x14ac:dyDescent="0.35">
      <c r="A111" t="str">
        <f t="shared" si="57"/>
        <v/>
      </c>
      <c r="B111" s="1"/>
      <c r="C111" s="79" t="str">
        <f t="shared" ca="1" si="58"/>
        <v/>
      </c>
      <c r="D111" s="79" t="str">
        <f t="shared" ca="1" si="58"/>
        <v/>
      </c>
      <c r="E111" s="79" t="str">
        <f t="shared" ca="1" si="58"/>
        <v/>
      </c>
      <c r="F111" s="79" t="str">
        <f t="shared" ca="1" si="58"/>
        <v/>
      </c>
      <c r="G111" s="79" t="str">
        <f t="shared" ca="1" si="58"/>
        <v/>
      </c>
      <c r="H111" s="79" t="str">
        <f t="shared" ca="1" si="58"/>
        <v/>
      </c>
      <c r="I111" s="79" t="str">
        <f t="shared" ca="1" si="58"/>
        <v/>
      </c>
      <c r="J111" s="79" t="str">
        <f t="shared" ca="1" si="58"/>
        <v/>
      </c>
      <c r="K111" s="79" t="str">
        <f t="shared" ca="1" si="58"/>
        <v/>
      </c>
      <c r="L111" s="79" t="str">
        <f t="shared" ca="1" si="58"/>
        <v/>
      </c>
      <c r="M111" s="79" t="str">
        <f t="shared" si="59"/>
        <v/>
      </c>
      <c r="N111" s="76" t="str">
        <f>IF(OR($A111=""),"",M98)</f>
        <v/>
      </c>
    </row>
    <row r="112" spans="1:14" x14ac:dyDescent="0.35">
      <c r="A112" t="s">
        <v>154</v>
      </c>
      <c r="B112" s="1"/>
      <c r="C112" s="53">
        <f ca="1">IF(C$27&lt;&gt;"",SUM(C106:C111),"")</f>
        <v>0</v>
      </c>
      <c r="D112" s="53">
        <f t="shared" ref="D112:L112" ca="1" si="60">IF(D$27&lt;&gt;"",SUM(D106:D111),"")</f>
        <v>0</v>
      </c>
      <c r="E112" s="53">
        <f t="shared" ca="1" si="60"/>
        <v>0</v>
      </c>
      <c r="F112" s="53">
        <f t="shared" ca="1" si="60"/>
        <v>0</v>
      </c>
      <c r="G112" s="53">
        <f t="shared" ca="1" si="60"/>
        <v>0</v>
      </c>
      <c r="H112" s="53">
        <f t="shared" ca="1" si="60"/>
        <v>0</v>
      </c>
      <c r="I112" s="53">
        <f t="shared" ca="1" si="60"/>
        <v>0</v>
      </c>
      <c r="J112" s="53">
        <f t="shared" ca="1" si="60"/>
        <v>0</v>
      </c>
      <c r="K112" s="53">
        <f t="shared" ca="1" si="60"/>
        <v>0</v>
      </c>
      <c r="L112" s="53">
        <f t="shared" ca="1" si="60"/>
        <v>0</v>
      </c>
      <c r="M112" s="34"/>
    </row>
    <row r="113" spans="1:12" x14ac:dyDescent="0.35">
      <c r="A113" s="1" t="s">
        <v>135</v>
      </c>
      <c r="B113" s="1"/>
      <c r="C113" s="61"/>
      <c r="D113" s="2"/>
      <c r="E113" s="61"/>
      <c r="F113" s="2"/>
      <c r="G113" s="2"/>
      <c r="H113" s="2"/>
      <c r="I113" s="2"/>
      <c r="J113" s="2"/>
      <c r="K113" s="2"/>
      <c r="L113" s="2"/>
    </row>
    <row r="114" spans="1:12" x14ac:dyDescent="0.35">
      <c r="A114" t="str">
        <f>IF(A6="","","    "&amp;A6&amp;" - Consumptive Use and Headwaters Losses")</f>
        <v xml:space="preserve">    Upper Basin - Consumptive Use and Headwaters Losses</v>
      </c>
      <c r="C114" s="79">
        <f t="shared" ref="C114:L119" ca="1" si="61">IF(OR(C$27="",$A114=""),"",OFFSET(C$61,8*(ROW(B114)-ROW(B$114)),0))</f>
        <v>4.2</v>
      </c>
      <c r="D114" s="79">
        <f t="shared" ca="1" si="61"/>
        <v>4.2</v>
      </c>
      <c r="E114" s="79">
        <f t="shared" ca="1" si="61"/>
        <v>4.2</v>
      </c>
      <c r="F114" s="79">
        <f t="shared" ca="1" si="61"/>
        <v>4.2</v>
      </c>
      <c r="G114" s="79">
        <f t="shared" ca="1" si="61"/>
        <v>4.2</v>
      </c>
      <c r="H114" s="79">
        <f t="shared" ca="1" si="61"/>
        <v>4.2</v>
      </c>
      <c r="I114" s="79">
        <f t="shared" ca="1" si="61"/>
        <v>4.2</v>
      </c>
      <c r="J114" s="79">
        <f t="shared" ca="1" si="61"/>
        <v>4.2</v>
      </c>
      <c r="K114" s="79">
        <f t="shared" ca="1" si="61"/>
        <v>4.2</v>
      </c>
      <c r="L114" s="79">
        <f t="shared" ca="1" si="61"/>
        <v>4.2</v>
      </c>
    </row>
    <row r="115" spans="1:12" x14ac:dyDescent="0.35">
      <c r="A115" t="str">
        <f>IF(A7="","","    "&amp;A7&amp;" - Release from Mead")</f>
        <v xml:space="preserve">    Lower Basin - Release from Mead</v>
      </c>
      <c r="C115" s="79">
        <f t="shared" ca="1" si="61"/>
        <v>6.867</v>
      </c>
      <c r="D115" s="79">
        <f t="shared" ca="1" si="61"/>
        <v>6.867</v>
      </c>
      <c r="E115" s="79">
        <f t="shared" ca="1" si="61"/>
        <v>6.7830000000000004</v>
      </c>
      <c r="F115" s="79">
        <f t="shared" ca="1" si="61"/>
        <v>6.7830000000000004</v>
      </c>
      <c r="G115" s="79">
        <f t="shared" ca="1" si="61"/>
        <v>6.7830000000000004</v>
      </c>
      <c r="H115" s="79">
        <f t="shared" ca="1" si="61"/>
        <v>6.7830000000000004</v>
      </c>
      <c r="I115" s="79">
        <f t="shared" ca="1" si="61"/>
        <v>6.7830000000000004</v>
      </c>
      <c r="J115" s="79">
        <f t="shared" ca="1" si="61"/>
        <v>6.7830000000000004</v>
      </c>
      <c r="K115" s="79">
        <f t="shared" ca="1" si="61"/>
        <v>6.7830000000000004</v>
      </c>
      <c r="L115" s="79">
        <f t="shared" ca="1" si="61"/>
        <v>6.5330000000000004</v>
      </c>
    </row>
    <row r="116" spans="1:12" x14ac:dyDescent="0.35">
      <c r="A116" t="str">
        <f>IF(A8="","","    "&amp;A8&amp;" - Release from Mead")</f>
        <v xml:space="preserve">    Mexico - Release from Mead</v>
      </c>
      <c r="C116" s="79">
        <f t="shared" ca="1" si="61"/>
        <v>1.4583333333333333</v>
      </c>
      <c r="D116" s="79">
        <f t="shared" ca="1" si="61"/>
        <v>1.4583333333333333</v>
      </c>
      <c r="E116" s="79">
        <f t="shared" ca="1" si="61"/>
        <v>1.4543333333333333</v>
      </c>
      <c r="F116" s="79">
        <f t="shared" ca="1" si="61"/>
        <v>1.4543333333333333</v>
      </c>
      <c r="G116" s="79">
        <f t="shared" ca="1" si="61"/>
        <v>1.4543333333333333</v>
      </c>
      <c r="H116" s="79">
        <f t="shared" ca="1" si="61"/>
        <v>1.4543333333333333</v>
      </c>
      <c r="I116" s="79">
        <f t="shared" ca="1" si="61"/>
        <v>1.4543333333333333</v>
      </c>
      <c r="J116" s="79">
        <f t="shared" ca="1" si="61"/>
        <v>1.4543333333333333</v>
      </c>
      <c r="K116" s="79">
        <f t="shared" ca="1" si="61"/>
        <v>1.4543333333333333</v>
      </c>
      <c r="L116" s="79">
        <f t="shared" ca="1" si="61"/>
        <v>1.4123333333333332</v>
      </c>
    </row>
    <row r="117" spans="1:12" x14ac:dyDescent="0.35">
      <c r="A117" t="str">
        <f>IF(A9="","","    "&amp;A9&amp;" - Release from Mead")</f>
        <v xml:space="preserve">    Mohave &amp; Havasu Evap &amp; ET - Release from Mead</v>
      </c>
      <c r="C117" s="79">
        <f t="shared" ca="1" si="61"/>
        <v>0.6</v>
      </c>
      <c r="D117" s="79">
        <f t="shared" ca="1" si="61"/>
        <v>0.6</v>
      </c>
      <c r="E117" s="79">
        <f t="shared" ca="1" si="61"/>
        <v>0.6</v>
      </c>
      <c r="F117" s="79">
        <f t="shared" ca="1" si="61"/>
        <v>0.6</v>
      </c>
      <c r="G117" s="79">
        <f t="shared" ca="1" si="61"/>
        <v>0.6</v>
      </c>
      <c r="H117" s="79">
        <f t="shared" ca="1" si="61"/>
        <v>0.6</v>
      </c>
      <c r="I117" s="79">
        <f t="shared" ca="1" si="61"/>
        <v>0.6</v>
      </c>
      <c r="J117" s="79">
        <f t="shared" ca="1" si="61"/>
        <v>0.6</v>
      </c>
      <c r="K117" s="79">
        <f t="shared" ca="1" si="61"/>
        <v>0.6</v>
      </c>
      <c r="L117" s="79">
        <f t="shared" ca="1" si="61"/>
        <v>0.6</v>
      </c>
    </row>
    <row r="118" spans="1:12" x14ac:dyDescent="0.35">
      <c r="A118" t="str">
        <f>IF(A10="","","    "&amp;A10&amp;" - Release from Mead")</f>
        <v xml:space="preserve">    Shared, Reserve - Release from Mead</v>
      </c>
      <c r="C118" s="79">
        <f t="shared" ca="1" si="61"/>
        <v>0</v>
      </c>
      <c r="D118" s="79">
        <f t="shared" ca="1" si="61"/>
        <v>0</v>
      </c>
      <c r="E118" s="79">
        <f t="shared" ca="1" si="61"/>
        <v>0</v>
      </c>
      <c r="F118" s="79">
        <f t="shared" ca="1" si="61"/>
        <v>0</v>
      </c>
      <c r="G118" s="79">
        <f t="shared" ca="1" si="61"/>
        <v>0</v>
      </c>
      <c r="H118" s="79">
        <f t="shared" ca="1" si="61"/>
        <v>0</v>
      </c>
      <c r="I118" s="79">
        <f t="shared" ca="1" si="61"/>
        <v>0</v>
      </c>
      <c r="J118" s="79">
        <f t="shared" ca="1" si="61"/>
        <v>0</v>
      </c>
      <c r="K118" s="79">
        <f t="shared" ca="1" si="61"/>
        <v>0</v>
      </c>
      <c r="L118" s="79">
        <f t="shared" ca="1" si="61"/>
        <v>0</v>
      </c>
    </row>
    <row r="119" spans="1:12" x14ac:dyDescent="0.35">
      <c r="A119" t="str">
        <f>IF(A11="","","    "&amp;A11&amp;" - Release from Mead")</f>
        <v/>
      </c>
      <c r="C119" s="79" t="str">
        <f t="shared" ca="1" si="61"/>
        <v/>
      </c>
      <c r="D119" s="79" t="str">
        <f t="shared" ca="1" si="61"/>
        <v/>
      </c>
      <c r="E119" s="79" t="str">
        <f t="shared" ca="1" si="61"/>
        <v/>
      </c>
      <c r="F119" s="79" t="str">
        <f t="shared" ca="1" si="61"/>
        <v/>
      </c>
      <c r="G119" s="79" t="str">
        <f t="shared" ca="1" si="61"/>
        <v/>
      </c>
      <c r="H119" s="79" t="str">
        <f t="shared" ca="1" si="61"/>
        <v/>
      </c>
      <c r="I119" s="79" t="str">
        <f t="shared" ca="1" si="61"/>
        <v/>
      </c>
      <c r="J119" s="79" t="str">
        <f t="shared" ca="1" si="61"/>
        <v/>
      </c>
      <c r="K119" s="79" t="str">
        <f t="shared" ca="1" si="61"/>
        <v/>
      </c>
      <c r="L119" s="79" t="str">
        <f t="shared" ca="1" si="61"/>
        <v/>
      </c>
    </row>
    <row r="120" spans="1:12" x14ac:dyDescent="0.35">
      <c r="A120" s="1" t="s">
        <v>140</v>
      </c>
      <c r="B120" s="1"/>
      <c r="D120" s="2"/>
      <c r="E120" s="2"/>
      <c r="F120" s="2"/>
      <c r="G120" s="2"/>
      <c r="H120" s="2"/>
      <c r="I120" s="2"/>
      <c r="J120" s="2"/>
      <c r="K120" s="2"/>
      <c r="L120" s="2"/>
    </row>
    <row r="121" spans="1:12" x14ac:dyDescent="0.35">
      <c r="A121" t="str">
        <f t="shared" ref="A121:A126" si="62">IF(A6="","","    "&amp;A6)</f>
        <v xml:space="preserve">    Upper Basin</v>
      </c>
      <c r="C121" s="79">
        <f t="shared" ref="C121:L126" ca="1" si="63">IF(OR(C$27="",$A121=""),"",OFFSET(C$62,8*(ROW(B121)-ROW(B$121)),0))</f>
        <v>4.517858294598132</v>
      </c>
      <c r="D121" s="79">
        <f t="shared" ca="1" si="63"/>
        <v>3.9804615248167954</v>
      </c>
      <c r="E121" s="79">
        <f t="shared" ca="1" si="63"/>
        <v>3.4619803252666239</v>
      </c>
      <c r="F121" s="79">
        <f t="shared" ca="1" si="63"/>
        <v>2.9613442852357075</v>
      </c>
      <c r="G121" s="79">
        <f t="shared" ca="1" si="63"/>
        <v>2.4787914995520604</v>
      </c>
      <c r="H121" s="79">
        <f t="shared" ca="1" si="63"/>
        <v>2.0135335129838916</v>
      </c>
      <c r="I121" s="79">
        <f t="shared" ca="1" si="63"/>
        <v>3.5656970909677339</v>
      </c>
      <c r="J121" s="79">
        <f t="shared" ca="1" si="63"/>
        <v>5.0495104329225766</v>
      </c>
      <c r="K121" s="79">
        <f t="shared" ca="1" si="63"/>
        <v>6.4708812644375699</v>
      </c>
      <c r="L121" s="79">
        <f t="shared" ca="1" si="63"/>
        <v>7.8575219874125439</v>
      </c>
    </row>
    <row r="122" spans="1:12" x14ac:dyDescent="0.35">
      <c r="A122" t="str">
        <f t="shared" si="62"/>
        <v xml:space="preserve">    Lower Basin</v>
      </c>
      <c r="C122" s="79">
        <f t="shared" ca="1" si="63"/>
        <v>3.8781684655908366</v>
      </c>
      <c r="D122" s="79">
        <f t="shared" ca="1" si="63"/>
        <v>3.5052945956104962</v>
      </c>
      <c r="E122" s="79">
        <f t="shared" ca="1" si="63"/>
        <v>3.2276938498027645</v>
      </c>
      <c r="F122" s="79">
        <f t="shared" ca="1" si="63"/>
        <v>2.9560401692066991</v>
      </c>
      <c r="G122" s="79">
        <f t="shared" ca="1" si="63"/>
        <v>2.6907632131932493</v>
      </c>
      <c r="H122" s="79">
        <f t="shared" ca="1" si="63"/>
        <v>2.4312822695811862</v>
      </c>
      <c r="I122" s="79">
        <f t="shared" ca="1" si="63"/>
        <v>2.1779421199827054</v>
      </c>
      <c r="J122" s="79">
        <f t="shared" ca="1" si="63"/>
        <v>1.9512498002704026</v>
      </c>
      <c r="K122" s="79">
        <f t="shared" ca="1" si="63"/>
        <v>1.7471641618920755</v>
      </c>
      <c r="L122" s="79">
        <f t="shared" ca="1" si="63"/>
        <v>1.8346298629773932</v>
      </c>
    </row>
    <row r="123" spans="1:12" x14ac:dyDescent="0.35">
      <c r="A123" t="str">
        <f t="shared" si="62"/>
        <v xml:space="preserve">    Mexico</v>
      </c>
      <c r="C123" s="79">
        <f t="shared" ca="1" si="63"/>
        <v>0.16557297647772518</v>
      </c>
      <c r="D123" s="79">
        <f t="shared" ca="1" si="63"/>
        <v>0.15741380290549611</v>
      </c>
      <c r="E123" s="79">
        <f t="shared" ca="1" si="63"/>
        <v>0.14950266093064157</v>
      </c>
      <c r="F123" s="79">
        <f t="shared" ca="1" si="63"/>
        <v>0.14185648922486482</v>
      </c>
      <c r="G123" s="79">
        <f t="shared" ca="1" si="63"/>
        <v>0.13447953358805731</v>
      </c>
      <c r="H123" s="79">
        <f t="shared" ca="1" si="63"/>
        <v>0.12735944193612991</v>
      </c>
      <c r="I123" s="79">
        <f t="shared" ca="1" si="63"/>
        <v>0.12049871011801039</v>
      </c>
      <c r="J123" s="79">
        <f t="shared" ca="1" si="63"/>
        <v>0.11420402954211051</v>
      </c>
      <c r="K123" s="79">
        <f t="shared" ca="1" si="63"/>
        <v>0.10839686607211219</v>
      </c>
      <c r="L123" s="79">
        <f t="shared" ca="1" si="63"/>
        <v>0.10303119867791466</v>
      </c>
    </row>
    <row r="124" spans="1:12" x14ac:dyDescent="0.35">
      <c r="A124" t="str">
        <f t="shared" si="62"/>
        <v xml:space="preserve">    Mohave &amp; Havasu Evap &amp; ET</v>
      </c>
      <c r="C124" s="79">
        <f t="shared" ca="1" si="63"/>
        <v>0</v>
      </c>
      <c r="D124" s="79">
        <f t="shared" ca="1" si="63"/>
        <v>0</v>
      </c>
      <c r="E124" s="79">
        <f t="shared" ca="1" si="63"/>
        <v>0</v>
      </c>
      <c r="F124" s="79">
        <f t="shared" ca="1" si="63"/>
        <v>0</v>
      </c>
      <c r="G124" s="79">
        <f t="shared" ca="1" si="63"/>
        <v>0</v>
      </c>
      <c r="H124" s="79">
        <f t="shared" ca="1" si="63"/>
        <v>0</v>
      </c>
      <c r="I124" s="79">
        <f t="shared" ca="1" si="63"/>
        <v>0</v>
      </c>
      <c r="J124" s="79">
        <f t="shared" ca="1" si="63"/>
        <v>0</v>
      </c>
      <c r="K124" s="79">
        <f t="shared" ca="1" si="63"/>
        <v>0</v>
      </c>
      <c r="L124" s="79">
        <f t="shared" ca="1" si="63"/>
        <v>0</v>
      </c>
    </row>
    <row r="125" spans="1:12" x14ac:dyDescent="0.35">
      <c r="A125" t="str">
        <f t="shared" si="62"/>
        <v xml:space="preserve">    Shared, Reserve</v>
      </c>
      <c r="C125" s="79">
        <f t="shared" ca="1" si="63"/>
        <v>11.59116925</v>
      </c>
      <c r="D125" s="79">
        <f t="shared" ca="1" si="63"/>
        <v>11.59116925</v>
      </c>
      <c r="E125" s="79">
        <f t="shared" ca="1" si="63"/>
        <v>11.59116925</v>
      </c>
      <c r="F125" s="79">
        <f t="shared" ca="1" si="63"/>
        <v>11.59116925</v>
      </c>
      <c r="G125" s="79">
        <f t="shared" ca="1" si="63"/>
        <v>11.59116925</v>
      </c>
      <c r="H125" s="79">
        <f t="shared" ca="1" si="63"/>
        <v>11.59116925</v>
      </c>
      <c r="I125" s="79">
        <f t="shared" ca="1" si="63"/>
        <v>11.59116925</v>
      </c>
      <c r="J125" s="79">
        <f t="shared" ca="1" si="63"/>
        <v>11.59116925</v>
      </c>
      <c r="K125" s="79">
        <f t="shared" ca="1" si="63"/>
        <v>11.59116925</v>
      </c>
      <c r="L125" s="79">
        <f t="shared" ca="1" si="63"/>
        <v>11.59116925</v>
      </c>
    </row>
    <row r="126" spans="1:12" x14ac:dyDescent="0.35">
      <c r="A126" t="str">
        <f t="shared" si="62"/>
        <v/>
      </c>
      <c r="C126" s="79" t="str">
        <f t="shared" ca="1" si="63"/>
        <v/>
      </c>
      <c r="D126" s="79" t="str">
        <f t="shared" ca="1" si="63"/>
        <v/>
      </c>
      <c r="E126" s="79" t="str">
        <f t="shared" ca="1" si="63"/>
        <v/>
      </c>
      <c r="F126" s="79" t="str">
        <f t="shared" ca="1" si="63"/>
        <v/>
      </c>
      <c r="G126" s="79" t="str">
        <f t="shared" ca="1" si="63"/>
        <v/>
      </c>
      <c r="H126" s="79" t="str">
        <f t="shared" ca="1" si="63"/>
        <v/>
      </c>
      <c r="I126" s="79" t="str">
        <f t="shared" ca="1" si="63"/>
        <v/>
      </c>
      <c r="J126" s="79" t="str">
        <f t="shared" ca="1" si="63"/>
        <v/>
      </c>
      <c r="K126" s="79" t="str">
        <f t="shared" ca="1" si="63"/>
        <v/>
      </c>
      <c r="L126" s="79" t="str">
        <f t="shared" ca="1" si="63"/>
        <v/>
      </c>
    </row>
    <row r="127" spans="1:12" x14ac:dyDescent="0.35">
      <c r="A127" s="1" t="s">
        <v>124</v>
      </c>
      <c r="B127" s="1"/>
      <c r="C127" s="14">
        <f ca="1">IF(C$27&lt;&gt;"",SUM(C121:C126),"")</f>
        <v>20.152768986666693</v>
      </c>
      <c r="D127" s="14">
        <f t="shared" ref="D127:L127" ca="1" si="64">IF(D$27&lt;&gt;"",SUM(D121:D126),"")</f>
        <v>19.234339173332788</v>
      </c>
      <c r="E127" s="14">
        <f t="shared" ca="1" si="64"/>
        <v>18.430346086000029</v>
      </c>
      <c r="F127" s="14">
        <f t="shared" ca="1" si="64"/>
        <v>17.65041019366727</v>
      </c>
      <c r="G127" s="14">
        <f t="shared" ca="1" si="64"/>
        <v>16.895203496333366</v>
      </c>
      <c r="H127" s="14">
        <f t="shared" ca="1" si="64"/>
        <v>16.163344474501208</v>
      </c>
      <c r="I127" s="14">
        <f t="shared" ca="1" si="64"/>
        <v>17.455307171068448</v>
      </c>
      <c r="J127" s="14">
        <f t="shared" ca="1" si="64"/>
        <v>18.706133512735089</v>
      </c>
      <c r="K127" s="14">
        <f t="shared" ca="1" si="64"/>
        <v>19.917611542401758</v>
      </c>
      <c r="L127" s="14">
        <f t="shared" ca="1" si="64"/>
        <v>21.386352299067852</v>
      </c>
    </row>
    <row r="128" spans="1:12" x14ac:dyDescent="0.35">
      <c r="A128" s="1" t="s">
        <v>219</v>
      </c>
      <c r="B128" s="1"/>
      <c r="C128" s="89">
        <v>0.5</v>
      </c>
      <c r="D128" s="89">
        <v>0.5</v>
      </c>
      <c r="E128" s="89">
        <v>0.5</v>
      </c>
      <c r="F128" s="89">
        <v>0.5</v>
      </c>
      <c r="G128" s="89">
        <v>0.5</v>
      </c>
      <c r="H128" s="89">
        <v>0.5</v>
      </c>
      <c r="I128" s="89">
        <v>0.5</v>
      </c>
      <c r="J128" s="89">
        <v>0.5</v>
      </c>
      <c r="K128" s="89">
        <v>0.5</v>
      </c>
      <c r="L128" s="89">
        <v>0.5</v>
      </c>
    </row>
    <row r="129" spans="1:14" x14ac:dyDescent="0.35">
      <c r="A129" s="1" t="s">
        <v>215</v>
      </c>
      <c r="B129" s="1"/>
      <c r="C129" s="14">
        <f ca="1">IF(C27="","",C$128*C$127)</f>
        <v>10.076384493333347</v>
      </c>
      <c r="D129" s="14">
        <f t="shared" ref="D129:L129" ca="1" si="65">IF(D27="","",D$128*D$127)</f>
        <v>9.6171695866663942</v>
      </c>
      <c r="E129" s="14">
        <f t="shared" ca="1" si="65"/>
        <v>9.2151730430000143</v>
      </c>
      <c r="F129" s="14">
        <f t="shared" ca="1" si="65"/>
        <v>8.8252050968336349</v>
      </c>
      <c r="G129" s="14">
        <f t="shared" ca="1" si="65"/>
        <v>8.447601748166683</v>
      </c>
      <c r="H129" s="14">
        <f t="shared" ca="1" si="65"/>
        <v>8.0816722372506042</v>
      </c>
      <c r="I129" s="14">
        <f t="shared" ca="1" si="65"/>
        <v>8.7276535855342239</v>
      </c>
      <c r="J129" s="14">
        <f t="shared" ca="1" si="65"/>
        <v>9.3530667563675447</v>
      </c>
      <c r="K129" s="14">
        <f t="shared" ca="1" si="65"/>
        <v>9.9588057712008791</v>
      </c>
      <c r="L129" s="14">
        <f t="shared" ca="1" si="65"/>
        <v>10.693176149533926</v>
      </c>
    </row>
    <row r="130" spans="1:14" x14ac:dyDescent="0.35">
      <c r="A130" s="1" t="s">
        <v>216</v>
      </c>
      <c r="B130" s="1"/>
      <c r="C130" s="14">
        <f ca="1">IF(C28="","",(1-C$128)*C$127)</f>
        <v>10.076384493333347</v>
      </c>
      <c r="D130" s="14">
        <f t="shared" ref="D130:L130" ca="1" si="66">IF(D28="","",(1-D$128)*D$127)</f>
        <v>9.6171695866663942</v>
      </c>
      <c r="E130" s="14">
        <f t="shared" ca="1" si="66"/>
        <v>9.2151730430000143</v>
      </c>
      <c r="F130" s="14">
        <f t="shared" ca="1" si="66"/>
        <v>8.8252050968336349</v>
      </c>
      <c r="G130" s="14">
        <f t="shared" ca="1" si="66"/>
        <v>8.447601748166683</v>
      </c>
      <c r="H130" s="14">
        <f t="shared" ca="1" si="66"/>
        <v>8.0816722372506042</v>
      </c>
      <c r="I130" s="14">
        <f t="shared" ca="1" si="66"/>
        <v>8.7276535855342239</v>
      </c>
      <c r="J130" s="14">
        <f t="shared" ca="1" si="66"/>
        <v>9.3530667563675447</v>
      </c>
      <c r="K130" s="14">
        <f t="shared" ca="1" si="66"/>
        <v>9.9588057712008791</v>
      </c>
      <c r="L130" s="14">
        <f t="shared" ca="1" si="66"/>
        <v>10.693176149533926</v>
      </c>
    </row>
    <row r="131" spans="1:14" x14ac:dyDescent="0.35">
      <c r="A131" s="1" t="s">
        <v>146</v>
      </c>
      <c r="B131" s="1"/>
      <c r="C131" s="14">
        <f ca="1">IF(C$27&lt;&gt;"",-C129+C37+C27-C61-VLOOKUP(C37*1000000,'Powell-Elevation-Area'!$B$5:$D$689,3)*$B$21/1000000,"")</f>
        <v>8.6007186266660796</v>
      </c>
      <c r="D131" s="14">
        <f ca="1">IF(D$27&lt;&gt;"",-D129+D37+D27-D61-VLOOKUP(D37*1000000,'Powell-Elevation-Area'!$B$5:$D$689,3)*$B$21/1000000,"")</f>
        <v>8.1641658266663804</v>
      </c>
      <c r="E131" s="14">
        <f ca="1">IF(E$27&lt;&gt;"",-E129+E37+E27-E61-VLOOKUP(E37*1000000,'Powell-Elevation-Area'!$B$5:$D$689,3)*$B$21/1000000,"")</f>
        <v>8.1222247896669533</v>
      </c>
      <c r="F131" s="14">
        <f ca="1">IF(F$27&lt;&gt;"",-F129+F37+F27-F61-VLOOKUP(F37*1000000,'Powell-Elevation-Area'!$B$5:$D$689,3)*$B$21/1000000,"")</f>
        <v>8.1240713871669517</v>
      </c>
      <c r="G131" s="14">
        <f ca="1">IF(G$27&lt;&gt;"",-G129+G37+G27-G61-VLOOKUP(G37*1000000,'Powell-Elevation-Area'!$B$5:$D$689,3)*$B$21/1000000,"")</f>
        <v>8.1255819846663773</v>
      </c>
      <c r="H131" s="14">
        <f ca="1">IF(H$27&lt;&gt;"",-H129+H37+H27-H61-VLOOKUP(H37*1000000,'Powell-Elevation-Area'!$B$5:$D$689,3)*$B$21/1000000,"")</f>
        <v>8.1263958224166508</v>
      </c>
      <c r="I131" s="14">
        <f ca="1">IF(I$27&lt;&gt;"",-I129+I37+I27-I61-VLOOKUP(I37*1000000,'Powell-Elevation-Area'!$B$5:$D$689,3)*$B$21/1000000,"")</f>
        <v>9.1274466816169522</v>
      </c>
      <c r="J131" s="14">
        <f ca="1">IF(J$27&lt;&gt;"",-J129+J37+J27-J61-VLOOKUP(J37*1000000,'Powell-Elevation-Area'!$B$5:$D$689,3)*$B$21/1000000,"")</f>
        <v>9.1253405041672533</v>
      </c>
      <c r="K131" s="14">
        <f ca="1">IF(K$27&lt;&gt;"",-K129+K37+K27-K61-VLOOKUP(K37*1000000,'Powell-Elevation-Area'!$B$5:$D$689,3)*$B$21/1000000,"")</f>
        <v>9.122814348166667</v>
      </c>
      <c r="L131" s="14">
        <f ca="1">IF(L$27&lt;&gt;"",-L129+L37+L27-L61-VLOOKUP(L37*1000000,'Powell-Elevation-Area'!$B$5:$D$689,3)*$B$21/1000000,"")</f>
        <v>8.9747577116663795</v>
      </c>
      <c r="N131" t="s">
        <v>217</v>
      </c>
    </row>
    <row r="132" spans="1:14" x14ac:dyDescent="0.35">
      <c r="C132" s="29"/>
    </row>
    <row r="133" spans="1:14" x14ac:dyDescent="0.35">
      <c r="A133" s="1" t="s">
        <v>126</v>
      </c>
      <c r="C133" s="12">
        <f>IF(C$27&lt;&gt;"",0.2,"")</f>
        <v>0.2</v>
      </c>
      <c r="D133" s="12">
        <f t="shared" ref="D133:L133" si="67">IF(D$27&lt;&gt;"",0.2,"")</f>
        <v>0.2</v>
      </c>
      <c r="E133" s="12">
        <f t="shared" si="67"/>
        <v>0.2</v>
      </c>
      <c r="F133" s="12">
        <f t="shared" si="67"/>
        <v>0.2</v>
      </c>
      <c r="G133" s="12">
        <f t="shared" si="67"/>
        <v>0.2</v>
      </c>
      <c r="H133" s="12">
        <f t="shared" si="67"/>
        <v>0.2</v>
      </c>
      <c r="I133" s="12">
        <f t="shared" si="67"/>
        <v>0.2</v>
      </c>
      <c r="J133" s="12">
        <f t="shared" si="67"/>
        <v>0.2</v>
      </c>
      <c r="K133" s="12">
        <f t="shared" si="67"/>
        <v>0.2</v>
      </c>
      <c r="L133" s="12">
        <f t="shared" si="67"/>
        <v>0.2</v>
      </c>
    </row>
    <row r="134" spans="1:14" x14ac:dyDescent="0.35">
      <c r="A134" t="s">
        <v>127</v>
      </c>
      <c r="C134" s="14">
        <f t="shared" ref="C134:L134" ca="1" si="68">IF(C$27&lt;&gt;"",C115+C133,"")</f>
        <v>7.0670000000000002</v>
      </c>
      <c r="D134" s="14">
        <f t="shared" ca="1" si="68"/>
        <v>7.0670000000000002</v>
      </c>
      <c r="E134" s="14">
        <f t="shared" ca="1" si="68"/>
        <v>6.9830000000000005</v>
      </c>
      <c r="F134" s="14">
        <f t="shared" ca="1" si="68"/>
        <v>6.9830000000000005</v>
      </c>
      <c r="G134" s="14">
        <f t="shared" ca="1" si="68"/>
        <v>6.9830000000000005</v>
      </c>
      <c r="H134" s="14">
        <f t="shared" ca="1" si="68"/>
        <v>6.9830000000000005</v>
      </c>
      <c r="I134" s="14">
        <f t="shared" ca="1" si="68"/>
        <v>6.9830000000000005</v>
      </c>
      <c r="J134" s="14">
        <f t="shared" ca="1" si="68"/>
        <v>6.9830000000000005</v>
      </c>
      <c r="K134" s="14">
        <f t="shared" ca="1" si="68"/>
        <v>6.9830000000000005</v>
      </c>
      <c r="L134" s="14">
        <f t="shared" ca="1" si="68"/>
        <v>6.7330000000000005</v>
      </c>
    </row>
    <row r="136" spans="1:14" x14ac:dyDescent="0.35">
      <c r="D136" s="18"/>
    </row>
  </sheetData>
  <mergeCells count="9">
    <mergeCell ref="C9:G9"/>
    <mergeCell ref="C10:G10"/>
    <mergeCell ref="C11:G11"/>
    <mergeCell ref="A3:G3"/>
    <mergeCell ref="C4:G4"/>
    <mergeCell ref="C5:G5"/>
    <mergeCell ref="C6:G6"/>
    <mergeCell ref="C7:G7"/>
    <mergeCell ref="C8:G8"/>
  </mergeCells>
  <conditionalFormatting sqref="C61:L61">
    <cfRule type="cellIs" dxfId="78" priority="54" operator="greaterThan">
      <formula>$C$60</formula>
    </cfRule>
  </conditionalFormatting>
  <conditionalFormatting sqref="C69:L69">
    <cfRule type="cellIs" dxfId="77" priority="43" operator="greaterThan">
      <formula>$C$68</formula>
    </cfRule>
  </conditionalFormatting>
  <conditionalFormatting sqref="C77:L77">
    <cfRule type="cellIs" dxfId="76" priority="37" operator="greaterThan">
      <formula>$C$76</formula>
    </cfRule>
  </conditionalFormatting>
  <conditionalFormatting sqref="C85">
    <cfRule type="cellIs" dxfId="75" priority="31" operator="greaterThan">
      <formula>$C$84</formula>
    </cfRule>
  </conditionalFormatting>
  <conditionalFormatting sqref="D85">
    <cfRule type="cellIs" dxfId="74" priority="30" operator="greaterThan">
      <formula>$D$84</formula>
    </cfRule>
  </conditionalFormatting>
  <conditionalFormatting sqref="E85">
    <cfRule type="cellIs" dxfId="73" priority="29" operator="greaterThan">
      <formula>$E$84</formula>
    </cfRule>
  </conditionalFormatting>
  <conditionalFormatting sqref="F85">
    <cfRule type="cellIs" dxfId="72" priority="28" operator="greaterThan">
      <formula>$F$84</formula>
    </cfRule>
  </conditionalFormatting>
  <conditionalFormatting sqref="G85:L85">
    <cfRule type="cellIs" dxfId="71" priority="27" operator="greaterThan">
      <formula>$G$84</formula>
    </cfRule>
  </conditionalFormatting>
  <conditionalFormatting sqref="C93">
    <cfRule type="cellIs" dxfId="70" priority="21" operator="greaterThan">
      <formula>$C$92</formula>
    </cfRule>
  </conditionalFormatting>
  <conditionalFormatting sqref="D93">
    <cfRule type="cellIs" dxfId="69" priority="20" operator="greaterThan">
      <formula>$D$92</formula>
    </cfRule>
  </conditionalFormatting>
  <conditionalFormatting sqref="E93">
    <cfRule type="cellIs" dxfId="68" priority="19" operator="greaterThan">
      <formula>$E$92</formula>
    </cfRule>
  </conditionalFormatting>
  <conditionalFormatting sqref="F93">
    <cfRule type="cellIs" dxfId="67" priority="18" operator="greaterThan">
      <formula>$F$92</formula>
    </cfRule>
  </conditionalFormatting>
  <conditionalFormatting sqref="G93">
    <cfRule type="cellIs" dxfId="66" priority="17" operator="greaterThan">
      <formula>$G$92</formula>
    </cfRule>
  </conditionalFormatting>
  <conditionalFormatting sqref="H93">
    <cfRule type="cellIs" dxfId="65" priority="16" operator="greaterThan">
      <formula>$H$92</formula>
    </cfRule>
  </conditionalFormatting>
  <conditionalFormatting sqref="I93">
    <cfRule type="cellIs" dxfId="64" priority="15" operator="greaterThan">
      <formula>$I$92</formula>
    </cfRule>
  </conditionalFormatting>
  <conditionalFormatting sqref="J93">
    <cfRule type="cellIs" dxfId="63" priority="14" operator="greaterThan">
      <formula>$J$92</formula>
    </cfRule>
  </conditionalFormatting>
  <conditionalFormatting sqref="K93">
    <cfRule type="cellIs" dxfId="62" priority="13" operator="greaterThan">
      <formula>$K$92</formula>
    </cfRule>
  </conditionalFormatting>
  <conditionalFormatting sqref="L93">
    <cfRule type="cellIs" dxfId="61" priority="12" operator="greaterThan">
      <formula>$L$92</formula>
    </cfRule>
  </conditionalFormatting>
  <conditionalFormatting sqref="C101">
    <cfRule type="cellIs" dxfId="60" priority="11" operator="greaterThan">
      <formula>$C$100</formula>
    </cfRule>
  </conditionalFormatting>
  <conditionalFormatting sqref="D101">
    <cfRule type="cellIs" dxfId="59" priority="10" operator="greaterThan">
      <formula>$D$100</formula>
    </cfRule>
  </conditionalFormatting>
  <conditionalFormatting sqref="E101">
    <cfRule type="cellIs" dxfId="58" priority="9" operator="greaterThan">
      <formula>$E$100</formula>
    </cfRule>
  </conditionalFormatting>
  <conditionalFormatting sqref="F101">
    <cfRule type="cellIs" dxfId="57" priority="8" operator="greaterThan">
      <formula>$F$100</formula>
    </cfRule>
  </conditionalFormatting>
  <conditionalFormatting sqref="G101">
    <cfRule type="cellIs" dxfId="56" priority="7" operator="greaterThan">
      <formula>$G$100</formula>
    </cfRule>
  </conditionalFormatting>
  <conditionalFormatting sqref="H101">
    <cfRule type="cellIs" dxfId="55" priority="6" operator="greaterThan">
      <formula>$H$100</formula>
    </cfRule>
  </conditionalFormatting>
  <conditionalFormatting sqref="I101">
    <cfRule type="cellIs" dxfId="54" priority="5" operator="greaterThan">
      <formula>$I$100</formula>
    </cfRule>
  </conditionalFormatting>
  <conditionalFormatting sqref="J101">
    <cfRule type="cellIs" dxfId="53" priority="4" operator="greaterThan">
      <formula>$J$100</formula>
    </cfRule>
  </conditionalFormatting>
  <conditionalFormatting sqref="K101">
    <cfRule type="cellIs" dxfId="52" priority="3" operator="greaterThan">
      <formula>$K$100</formula>
    </cfRule>
  </conditionalFormatting>
  <conditionalFormatting sqref="L101">
    <cfRule type="cellIs" dxfId="51" priority="2"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53" id="{13398D08-0450-4098-8FB8-7A69C4B5F6B4}">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topLeftCell="O1" workbookViewId="0">
      <selection activeCell="AM2" sqref="AM2"/>
    </sheetView>
  </sheetViews>
  <sheetFormatPr defaultRowHeight="14.5" x14ac:dyDescent="0.35"/>
  <cols>
    <col min="7" max="7" width="7.90625" customWidth="1"/>
  </cols>
  <sheetData>
    <row r="1" spans="7:36" ht="36" x14ac:dyDescent="0.8">
      <c r="G1" s="48" t="s">
        <v>40</v>
      </c>
      <c r="P1" s="115" t="s">
        <v>41</v>
      </c>
      <c r="Q1" s="115"/>
      <c r="R1" s="115"/>
      <c r="S1" s="115"/>
      <c r="T1" s="115"/>
      <c r="U1" s="115"/>
      <c r="V1" s="115"/>
      <c r="W1" s="115"/>
      <c r="X1" s="115"/>
      <c r="Y1" s="115"/>
      <c r="AA1" s="115" t="s">
        <v>245</v>
      </c>
      <c r="AB1" s="115"/>
      <c r="AC1" s="115"/>
      <c r="AD1" s="115"/>
      <c r="AE1" s="115"/>
      <c r="AF1" s="115"/>
      <c r="AG1" s="115"/>
      <c r="AH1" s="115"/>
      <c r="AI1" s="115"/>
      <c r="AJ1" s="115"/>
    </row>
  </sheetData>
  <mergeCells count="2">
    <mergeCell ref="P1:Y1"/>
    <mergeCell ref="AA1:AJ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ReadMe-Directions</vt:lpstr>
      <vt:lpstr>Versions</vt:lpstr>
      <vt:lpstr>Master</vt:lpstr>
      <vt:lpstr>11.0-Trade</vt:lpstr>
      <vt:lpstr>11.0-LawOfRiver</vt:lpstr>
      <vt:lpstr>11.0-Plots</vt:lpstr>
      <vt:lpstr>MillenniumRecover-Trade</vt:lpstr>
      <vt:lpstr>MillenniumRecover-LawOfRiver</vt:lpstr>
      <vt:lpstr>Millennium-Plots</vt:lpstr>
      <vt:lpstr>MillenniumRecover-Delta</vt:lpstr>
      <vt:lpstr>HydrologicScenarios</vt:lpstr>
      <vt:lpstr>Powell-Elevation-Area</vt:lpstr>
      <vt:lpstr>Mead-Elevation-Area</vt:lpstr>
      <vt:lpstr>11.0-LawOfRiverShort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2021-07-08T18:46:23Z</dcterms:modified>
</cp:coreProperties>
</file>