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34881090-D046-4AF9-AF77-43C5F1242E3D}"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60" l="1"/>
  <c r="C33" i="60"/>
  <c r="C36" i="60" s="1"/>
  <c r="C21" i="60"/>
  <c r="B21" i="60"/>
  <c r="D38" i="60"/>
  <c r="E38" i="60"/>
  <c r="F38" i="60"/>
  <c r="G38" i="60"/>
  <c r="H38" i="60"/>
  <c r="I38" i="60"/>
  <c r="J38" i="60"/>
  <c r="K38" i="60"/>
  <c r="L38" i="60"/>
  <c r="C38" i="60"/>
  <c r="E101" i="57" l="1"/>
  <c r="F101" i="57"/>
  <c r="G101" i="57"/>
  <c r="H101" i="57"/>
  <c r="I101" i="57"/>
  <c r="J101" i="57"/>
  <c r="K101" i="57"/>
  <c r="L101" i="57"/>
  <c r="E73" i="57"/>
  <c r="F73" i="57"/>
  <c r="G73" i="57"/>
  <c r="H73" i="57"/>
  <c r="I73" i="57"/>
  <c r="J73" i="57"/>
  <c r="K73" i="57"/>
  <c r="L73" i="57"/>
  <c r="E69" i="57"/>
  <c r="F69" i="57"/>
  <c r="G69" i="57"/>
  <c r="H69" i="57"/>
  <c r="I69" i="57"/>
  <c r="J69" i="57"/>
  <c r="K69" i="57"/>
  <c r="L69" i="57"/>
  <c r="E65" i="57"/>
  <c r="F65" i="57"/>
  <c r="G65" i="57"/>
  <c r="H65" i="57"/>
  <c r="I65" i="57"/>
  <c r="J65" i="57"/>
  <c r="K65" i="57"/>
  <c r="L65" i="57"/>
  <c r="E61" i="57"/>
  <c r="F61" i="57"/>
  <c r="G61" i="57"/>
  <c r="H61" i="57"/>
  <c r="I61" i="57"/>
  <c r="J61" i="57"/>
  <c r="K61" i="57"/>
  <c r="L61" i="57"/>
  <c r="C28" i="57"/>
  <c r="E116" i="47"/>
  <c r="F116" i="47"/>
  <c r="G116" i="47"/>
  <c r="F46" i="47" l="1"/>
  <c r="E49" i="57"/>
  <c r="F49" i="57"/>
  <c r="G49" i="57"/>
  <c r="H49" i="57"/>
  <c r="I49" i="57"/>
  <c r="J49" i="57"/>
  <c r="K49" i="57"/>
  <c r="L49" i="5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6" i="57"/>
  <c r="I56" i="57"/>
  <c r="J56" i="57"/>
  <c r="K56" i="57"/>
  <c r="L56" i="57"/>
  <c r="H57" i="57"/>
  <c r="I57" i="57"/>
  <c r="J57" i="57"/>
  <c r="K57" i="57"/>
  <c r="L57" i="57"/>
  <c r="E51" i="57"/>
  <c r="F51" i="57"/>
  <c r="G51" i="57"/>
  <c r="E52" i="57"/>
  <c r="F52" i="57"/>
  <c r="G52" i="57"/>
  <c r="E53" i="57"/>
  <c r="F53" i="57"/>
  <c r="G53" i="57"/>
  <c r="E54" i="57"/>
  <c r="F54" i="57"/>
  <c r="G54" i="57"/>
  <c r="E56" i="57"/>
  <c r="F56" i="57"/>
  <c r="G56"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E51" i="47"/>
  <c r="F51" i="47"/>
  <c r="G51" i="47"/>
  <c r="E52" i="47"/>
  <c r="F52" i="47"/>
  <c r="G52" i="47"/>
  <c r="E53" i="47"/>
  <c r="F53" i="47"/>
  <c r="G53" i="47"/>
  <c r="E54" i="47"/>
  <c r="F54" i="47"/>
  <c r="G54" i="47"/>
  <c r="E55" i="47"/>
  <c r="F55" i="47"/>
  <c r="G55" i="47"/>
  <c r="E56" i="47"/>
  <c r="F56" i="47"/>
  <c r="G56" i="47"/>
  <c r="E57" i="47"/>
  <c r="F57" i="47"/>
  <c r="G57" i="47"/>
  <c r="B25" i="47"/>
  <c r="B56" i="60"/>
  <c r="B57" i="60" s="1"/>
  <c r="A46" i="60"/>
  <c r="A45" i="60"/>
  <c r="B44" i="60"/>
  <c r="A44" i="60"/>
  <c r="B43" i="60"/>
  <c r="B41" i="60" s="1"/>
  <c r="A43" i="60"/>
  <c r="A42" i="60"/>
  <c r="A41" i="60"/>
  <c r="A40" i="60"/>
  <c r="H39" i="60"/>
  <c r="E39" i="60"/>
  <c r="D39" i="60"/>
  <c r="C39" i="60"/>
  <c r="A37" i="60"/>
  <c r="C34" i="60"/>
  <c r="D33" i="60"/>
  <c r="D36"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35" i="60" l="1"/>
  <c r="D35" i="60" s="1"/>
  <c r="E35" i="60" s="1"/>
  <c r="F35" i="60" s="1"/>
  <c r="G35" i="60" s="1"/>
  <c r="H35" i="60" s="1"/>
  <c r="I35" i="60" s="1"/>
  <c r="J35" i="60" s="1"/>
  <c r="K35" i="60" s="1"/>
  <c r="L35" i="60" s="1"/>
  <c r="D37" i="60"/>
  <c r="D45" i="60" s="1"/>
  <c r="D46" i="60" s="1"/>
  <c r="E33" i="60"/>
  <c r="E36" i="60" s="1"/>
  <c r="D34" i="60"/>
  <c r="C37" i="60"/>
  <c r="C45" i="60" s="1"/>
  <c r="C46" i="60" l="1"/>
  <c r="C44" i="60" s="1"/>
  <c r="C43" i="60" s="1"/>
  <c r="C42" i="60" s="1"/>
  <c r="C41" i="60" s="1"/>
  <c r="C40" i="60" s="1"/>
  <c r="C48" i="60" s="1"/>
  <c r="D44" i="60"/>
  <c r="D43" i="60" s="1"/>
  <c r="E34" i="60"/>
  <c r="F33" i="60"/>
  <c r="F36" i="60" s="1"/>
  <c r="E37" i="60"/>
  <c r="E45" i="60" s="1"/>
  <c r="D42" i="60" l="1"/>
  <c r="D41" i="60" s="1"/>
  <c r="D40" i="60" s="1"/>
  <c r="D48" i="60" s="1"/>
  <c r="F37" i="60"/>
  <c r="F45" i="60" s="1"/>
  <c r="G33" i="60"/>
  <c r="G36" i="60" s="1"/>
  <c r="E46" i="60"/>
  <c r="E44" i="60" s="1"/>
  <c r="E43" i="60" s="1"/>
  <c r="F34" i="60"/>
  <c r="E42" i="60" l="1"/>
  <c r="E41" i="60" s="1"/>
  <c r="E40" i="60" s="1"/>
  <c r="E48" i="60" s="1"/>
  <c r="F46" i="60"/>
  <c r="F44" i="60" s="1"/>
  <c r="F43" i="60" s="1"/>
  <c r="G34" i="60"/>
  <c r="G37" i="60"/>
  <c r="G45" i="60" s="1"/>
  <c r="H33" i="60"/>
  <c r="H36" i="60" s="1"/>
  <c r="F42" i="60" l="1"/>
  <c r="F41" i="60" s="1"/>
  <c r="F40" i="60" s="1"/>
  <c r="F48" i="60" s="1"/>
  <c r="H37" i="60"/>
  <c r="H45" i="60" s="1"/>
  <c r="I33" i="60"/>
  <c r="I36" i="60" s="1"/>
  <c r="G46" i="60"/>
  <c r="G44" i="60" s="1"/>
  <c r="G43" i="60" s="1"/>
  <c r="H34" i="60"/>
  <c r="G42" i="60" l="1"/>
  <c r="G41" i="60" s="1"/>
  <c r="G40" i="60" s="1"/>
  <c r="G48" i="60" s="1"/>
  <c r="H46" i="60"/>
  <c r="H44" i="60" s="1"/>
  <c r="H43" i="60" s="1"/>
  <c r="I34" i="60"/>
  <c r="I37" i="60"/>
  <c r="I45" i="60" s="1"/>
  <c r="J33" i="60"/>
  <c r="J36" i="60" s="1"/>
  <c r="H42" i="60" l="1"/>
  <c r="H41" i="60" s="1"/>
  <c r="H40" i="60" s="1"/>
  <c r="H48" i="60" s="1"/>
  <c r="I46" i="60"/>
  <c r="I44" i="60" s="1"/>
  <c r="I43" i="60" s="1"/>
  <c r="J34" i="60"/>
  <c r="K33" i="60"/>
  <c r="K36" i="60" s="1"/>
  <c r="J37" i="60"/>
  <c r="J45" i="60" s="1"/>
  <c r="I42" i="60" l="1"/>
  <c r="I41" i="60" s="1"/>
  <c r="I40" i="60" s="1"/>
  <c r="I48" i="60" s="1"/>
  <c r="J46" i="60"/>
  <c r="J44" i="60" s="1"/>
  <c r="J43" i="60" s="1"/>
  <c r="L33" i="60"/>
  <c r="L36" i="60" s="1"/>
  <c r="K37" i="60"/>
  <c r="K45" i="60" s="1"/>
  <c r="K34" i="60"/>
  <c r="H50" i="60" l="1"/>
  <c r="J42" i="60"/>
  <c r="J41" i="60" s="1"/>
  <c r="J40" i="60" s="1"/>
  <c r="J48" i="60" s="1"/>
  <c r="L34" i="60"/>
  <c r="K46" i="60"/>
  <c r="K44" i="60" s="1"/>
  <c r="K43" i="60" s="1"/>
  <c r="K42" i="60" l="1"/>
  <c r="K41" i="60" s="1"/>
  <c r="K40" i="60" s="1"/>
  <c r="K48" i="60" s="1"/>
  <c r="L37" i="60"/>
  <c r="L45" i="60" s="1"/>
  <c r="L46" i="60" l="1"/>
  <c r="L44" i="60" s="1"/>
  <c r="L43" i="60" s="1"/>
  <c r="L42" i="60" s="1"/>
  <c r="L41" i="60" s="1"/>
  <c r="L40" i="60" s="1"/>
  <c r="L48" i="60" s="1"/>
  <c r="A63" i="57" l="1"/>
  <c r="A63" i="47" l="1"/>
  <c r="E81" i="57" l="1"/>
  <c r="F81" i="57"/>
  <c r="G81" i="57"/>
  <c r="A6" i="57" l="1"/>
  <c r="A68" i="57" s="1"/>
  <c r="A7" i="57"/>
  <c r="A112" i="57" s="1"/>
  <c r="L112" i="57" s="1"/>
  <c r="A8" i="57"/>
  <c r="A36" i="57" s="1"/>
  <c r="B9" i="57"/>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N59"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H130" i="57"/>
  <c r="F29" i="57"/>
  <c r="F134" i="57" s="1"/>
  <c r="A129" i="57"/>
  <c r="J129" i="57" s="1"/>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G110" i="57"/>
  <c r="F110" i="57"/>
  <c r="J123" i="57"/>
  <c r="B38" i="57"/>
  <c r="B33" i="57"/>
  <c r="C33" i="57" s="1"/>
  <c r="H33" i="57"/>
  <c r="J118" i="57"/>
  <c r="I33" i="57"/>
  <c r="J110" i="57"/>
  <c r="K38" i="57"/>
  <c r="C38" i="57"/>
  <c r="J38" i="57"/>
  <c r="H38" i="57"/>
  <c r="L38" i="57"/>
  <c r="I112" i="57"/>
  <c r="H112" i="57"/>
  <c r="G112" i="57"/>
  <c r="F112" i="57"/>
  <c r="E112" i="57"/>
  <c r="J33" i="57"/>
  <c r="H123" i="57"/>
  <c r="G123" i="57"/>
  <c r="F123" i="57"/>
  <c r="E123" i="57"/>
  <c r="L123" i="57"/>
  <c r="I113" i="57"/>
  <c r="I115" i="57"/>
  <c r="J130" i="57"/>
  <c r="J111" i="57"/>
  <c r="J113" i="57"/>
  <c r="J115" i="57"/>
  <c r="K130" i="57"/>
  <c r="J119" i="57"/>
  <c r="L130" i="57"/>
  <c r="J36" i="57"/>
  <c r="J48" i="57"/>
  <c r="L113" i="57"/>
  <c r="L115" i="57"/>
  <c r="J122" i="57"/>
  <c r="L125" i="57"/>
  <c r="C36" i="57"/>
  <c r="E115" i="57"/>
  <c r="B25" i="57"/>
  <c r="I129" i="57" l="1"/>
  <c r="E55" i="57"/>
  <c r="L55" i="57"/>
  <c r="G55" i="57"/>
  <c r="H55" i="57"/>
  <c r="F55" i="57"/>
  <c r="I55" i="57"/>
  <c r="J55" i="57"/>
  <c r="K55" i="57"/>
  <c r="C42" i="57"/>
  <c r="C44" i="57" s="1"/>
  <c r="A69" i="57"/>
  <c r="A70" i="57" s="1"/>
  <c r="A72" i="57" s="1"/>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A64" i="57"/>
  <c r="F50" i="47"/>
  <c r="G50" i="47"/>
  <c r="H50" i="47"/>
  <c r="I50" i="47"/>
  <c r="J50" i="47"/>
  <c r="K50" i="47"/>
  <c r="L50" i="47"/>
  <c r="C43" i="57" l="1"/>
  <c r="C46" i="57"/>
  <c r="C48" i="57"/>
  <c r="C45" i="57"/>
  <c r="C47" i="57"/>
  <c r="A95" i="57"/>
  <c r="F95" i="57" s="1"/>
  <c r="G96" i="57"/>
  <c r="M114" i="57"/>
  <c r="F96" i="57"/>
  <c r="J96" i="57"/>
  <c r="I96" i="57"/>
  <c r="M113" i="57"/>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79" i="57"/>
  <c r="K79" i="57"/>
  <c r="I79" i="57"/>
  <c r="H79" i="57"/>
  <c r="M79" i="57"/>
  <c r="J79" i="57"/>
  <c r="E79" i="57"/>
  <c r="G79" i="57"/>
  <c r="F79" i="57"/>
  <c r="I66" i="57"/>
  <c r="H66" i="57"/>
  <c r="L103" i="57"/>
  <c r="K103" i="57"/>
  <c r="J103" i="57"/>
  <c r="I103" i="57"/>
  <c r="H103" i="57"/>
  <c r="F103" i="57"/>
  <c r="E103" i="57"/>
  <c r="G103" i="57"/>
  <c r="M103" i="57"/>
  <c r="A105" i="57"/>
  <c r="A106" i="57" s="1"/>
  <c r="L71" i="57"/>
  <c r="K71" i="57"/>
  <c r="I71" i="57"/>
  <c r="H71" i="57"/>
  <c r="J71" i="57"/>
  <c r="G71" i="57"/>
  <c r="F71" i="57"/>
  <c r="E71" i="57"/>
  <c r="M71" i="57"/>
  <c r="B24" i="47"/>
  <c r="F97" i="57" l="1"/>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B21" i="47"/>
  <c r="A1" i="47"/>
  <c r="F9" i="43"/>
  <c r="E6" i="43"/>
  <c r="E7" i="43" s="1"/>
  <c r="E11" i="43"/>
  <c r="D50" i="47" l="1"/>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M46" i="60"/>
  <c r="A105" i="47"/>
  <c r="A106" i="47" s="1"/>
  <c r="A73" i="47"/>
  <c r="A74" i="47" s="1"/>
  <c r="A81" i="47"/>
  <c r="A82" i="47" s="1"/>
  <c r="A66" i="47"/>
  <c r="A90" i="47"/>
  <c r="A98"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1" i="57" l="1"/>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01" i="57" l="1"/>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4"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<sst xmlns="http://schemas.openxmlformats.org/spreadsheetml/2006/main" count="808" uniqueCount="409">
  <si>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</si>
  <si>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</si>
  <si>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</si>
  <si>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</si>
  <si>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</si>
  <si>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</si>
  <si>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</si>
  <si>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</si>
  <si>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</si>
  <si>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</si>
  <si>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</si>
  <si>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</si>
  <si>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</si>
  <si>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</si>
  <si>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</si>
  <si>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</si>
  <si>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</si>
  <si>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</si>
  <si>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</si>
  <si>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</si>
  <si>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</si>
  <si>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</si>
  <si>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</si>
  <si>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</si>
  <si>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</si>
  <si>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</si>
  <si>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</si>
  <si>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</si>
  <si>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</si>
  <si>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</si>
  <si>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</si>
  <si>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</si>
  <si>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</si>
  <si>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</si>
  <si>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</si>
  <si>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</si>
  <si>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</si>
  <si>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</si>
  <si>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</si>
  <si>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</si>
  <si>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</si>
  <si>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</si>
  <si>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</si>
  <si>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</si>
  <si>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</si>
  <si>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</si>
  <si>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</si>
  <si>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</si>
  <si>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</si>
  <si>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</si>
  <si>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</si>
  <si>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</si>
  <si>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</si>
  <si>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</si>
  <si>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</si>
  <si>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</si>
  <si>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</si>
  <si>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</si>
  <si>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</si>
  <si>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</si>
  <si>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</si>
  <si>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</si>
  <si>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</si>
  <si>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</si>
  <si>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</si>
  <si>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</si>
  <si>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</si>
  <si>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</si>
  <si>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</si>
  <si>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</si>
  <si>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</si>
  <si>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</si>
  <si>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</si>
  <si>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</si>
  <si>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</si>
  <si>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</si>
  <si>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</si>
  <si>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</si>
  <si>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</si>
  <si>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</si>
  <si>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</si>
  <si>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</si>
  <si>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</si>
  <si>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</si>
  <si>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</si>
  <si>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</si>
  <si>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</si>
  <si>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</si>
  <si>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</si>
  <si>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</si>
  <si>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</si>
  <si>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</si>
  <si>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</si>
  <si>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</si>
  <si>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</si>
  <si>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</si>
  <si>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</si>
  <si>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</si>
  <si>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</si>
  <si>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</si>
  <si>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</si>
  <si>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</si>
  <si>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</si>
  <si>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</si>
  <si>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</si>
  <si>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</si>
  <si>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</si>
  <si>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</si>
  <si>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</si>
  <si>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</si>
  <si>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</si>
  <si>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</si>
  <si>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</si>
  <si>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</si>
  <si>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</si>
  <si>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</si>
  <si>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</si>
  <si>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</si>
  <si>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</si>
  <si>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</si>
  <si>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</si>
  <si>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</si>
  <si>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</si>
  <si>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</si>
  <si>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</si>
  <si>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</si>
  <si>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</si>
  <si>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</si>
  <si>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</si>
  <si>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</si>
  <si>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</si>
  <si>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</si>
  <si>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</si>
  <si>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</si>
  <si>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</si>
  <si>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</si>
  <si>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</si>
  <si>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</si>
  <si>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</si>
  <si>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</si>
  <si>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</si>
  <si>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</si>
  <si>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</si>
  <si>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</si>
  <si>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</si>
  <si>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</si>
  <si>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</si>
  <si>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</si>
  <si>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</si>
  <si>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</si>
  <si>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</si>
  <si>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</si>
  <si>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</si>
  <si>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</si>
  <si>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</si>
  <si>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</si>
  <si>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</si>
  <si>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</si>
  <si>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</si>
  <si>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</si>
  <si>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</si>
  <si>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</si>
  <si>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</si>
  <si>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</si>
  <si>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</si>
  <si>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</si>
  <si>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</si>
  <si>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</si>
  <si>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</si>
  <si>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</si>
  <si>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</si>
  <si>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</si>
  <si>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</si>
  <si>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</si>
  <si>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</si>
  <si>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</si>
  <si>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</si>
  <si>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</si>
  <si>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</si>
  <si>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</si>
  <si>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</si>
  <si>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</si>
  <si>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</si>
  <si>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</si>
  <si>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</si>
  <si>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</si>
  <si>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</si>
  <si>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</si>
  <si>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</si>
  <si>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</si>
  <si>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</si>
  <si>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</si>
  <si>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</si>
  <si>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</si>
  <si>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</si>
  <si>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</si>
  <si>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</si>
  <si>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</si>
  <si>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</si>
  <si>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</si>
  <si>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</si>
  <si>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</si>
  <si>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</si>
  <si>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</si>
  <si>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</si>
  <si>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</si>
  <si>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</si>
  <si>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</si>
  <si>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</si>
  <si>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</si>
  <si>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</si>
  <si>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</si>
  <si>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</si>
  <si>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</si>
  <si>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</si>
  <si>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</si>
  <si>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</si>
  <si>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</si>
  <si>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</si>
  <si>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</si>
  <si>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</si>
  <si>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</si>
  <si>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</si>
  <si>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</si>
  <si>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</si>
  <si>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</si>
  <si>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</si>
  <si>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</si>
  <si>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</si>
  <si>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</si>
  <si>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</si>
  <si>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</si>
  <si>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</si>
  <si>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</si>
  <si>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</si>
  <si>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</si>
  <si>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</si>
  <si>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</si>
  <si>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</si>
  <si>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</si>
  <si>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</si>
  <si>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</si>
  <si>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</si>
  <si>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</si>
  <si>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</si>
  <si>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</si>
  <si>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</si>
  <si>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</si>
  <si>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</si>
  <si>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</si>
  <si>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</si>
  <si>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</si>
  <si>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</si>
  <si>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</si>
  <si>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</si>
  <si>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</si>
  <si>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</si>
  <si>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</si>
  <si>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</si>
  <si>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</si>
  <si>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</si>
  <si>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</si>
  <si>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</si>
  <si>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</si>
  <si>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</si>
  <si>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</si>
  <si>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</si>
  <si>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</si>
  <si>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</si>
  <si>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</si>
  <si>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</si>
  <si>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</si>
  <si>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</si>
  <si>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</si>
  <si>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</si>
  <si>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</si>
  <si>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</si>
  <si>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</si>
  <si>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</si>
  <si>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</si>
  <si>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</si>
  <si>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</si>
  <si>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</si>
  <si>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</si>
  <si>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</si>
  <si>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</si>
  <si>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</si>
  <si>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</si>
  <si>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</si>
  <si>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</si>
  <si>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</si>
  <si>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</si>
  <si>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</si>
  <si>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</si>
  <si>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</si>
  <si>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</si>
  <si>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</si>
  <si>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</si>
  <si>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</si>
  <si>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</si>
  <si>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</si>
  <si>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</si>
  <si>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</si>
  <si>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</si>
  <si>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</si>
  <si>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</si>
  <si>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</si>
  <si>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</si>
  <si>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</si>
  <si>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</si>
  <si>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</si>
  <si>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</si>
  <si>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</si>
  <si>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</si>
  <si>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</si>
  <si>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</si>
  <si>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</si>
  <si>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</si>
  <si>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</si>
  <si>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</si>
  <si>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</si>
  <si>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</si>
  <si>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</si>
  <si>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</si>
  <si>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</si>
  <si>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</si>
  <si>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</si>
  <si>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</si>
  <si>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</si>
  <si>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</si>
  <si>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</si>
  <si>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</si>
  <si>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</si>
  <si>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</si>
  <si>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</si>
  <si>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</si>
  <si>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</si>
  <si>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</si>
  <si>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</si>
  <si>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</si>
  <si>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</si>
  <si>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</si>
  <si>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</si>
  <si>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</si>
  <si>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</si>
  <si>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</si>
  <si>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</si>
  <si>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</si>
  <si>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</si>
  <si>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</si>
  <si>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</si>
  <si>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</si>
  <si>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</si>
  <si>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</si>
  <si>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</si>
  <si>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</si>
  <si>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</si>
  <si>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</si>
  <si>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</si>
  <si>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</si>
  <si>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</si>
  <si>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</si>
  <si>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</si>
  <si>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</si>
  <si>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</si>
  <si>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</si>
  <si>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</si>
  <si>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</si>
  <si>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</si>
  <si>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</si>
  <si>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</si>
  <si>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</si>
  <si>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</si>
  <si>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</si>
  <si>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</si>
  <si>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</si>
  <si>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</si>
  <si>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</si>
  <si>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</si>
  <si>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</si>
  <si>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</si>
  <si>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</si>
  <si>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</si>
  <si>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</si>
  <si>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</si>
  <si>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</si>
  <si>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</si>
  <si>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</si>
  <si>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</si>
  <si>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</si>
  <si>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</si>
  <si>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</si>
  <si>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</si>
  <si>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</si>
  <si>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</si>
  <si>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</si>
  <si>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</si>
  <si>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</si>
  <si>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</si>
  <si>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</si>
  <si>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</si>
  <si>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</si>
  <si>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</si>
  <si>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</si>
  <si>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</si>
  <si>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</si>
  <si>
    <t>6.2</t>
  </si>
  <si>
    <t>Allow Shared Reserve to sell water to Lower Basin and Upper Basin on Master-LawOfRiver when those account balances go negative. The sale amount is the difference between Withdraw and Available water. This allows accounts to continue to draw down reservoirs below protection elevations.</t>
  </si>
  <si>
    <t>LETS START (visual directions as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</si>
</sst>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4">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8" t="s">
        <v>379</v>
      </c>
      <c r="B1" s="238"/>
      <c r="C1" s="238"/>
      <c r="D1" s="238"/>
      <c r="E1" s="238"/>
      <c r="F1" s="238"/>
      <c r="G1" s="238"/>
      <c r="H1" s="238"/>
      <c r="I1" s="238"/>
      <c r="J1" s="238"/>
      <c r="K1" s="238"/>
      <c r="L1" s="238"/>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35" t="s">
        <v>377</v>
      </c>
      <c r="B4" s="236"/>
      <c r="C4" s="236"/>
      <c r="D4" s="236"/>
      <c r="E4" s="236"/>
      <c r="F4" s="236"/>
      <c r="G4" s="236"/>
      <c r="H4" s="236"/>
      <c r="I4" s="236"/>
      <c r="J4" s="236"/>
      <c r="K4" s="236"/>
      <c r="L4" s="237"/>
      <c r="N4" s="234"/>
      <c r="O4" s="234"/>
      <c r="P4" s="234"/>
      <c r="Q4" s="234"/>
      <c r="R4" s="234"/>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25" t="s">
        <v>346</v>
      </c>
      <c r="B6" s="226"/>
      <c r="C6" s="226"/>
      <c r="D6" s="226"/>
      <c r="E6" s="226"/>
      <c r="F6" s="226"/>
      <c r="G6" s="226"/>
      <c r="H6" s="226"/>
      <c r="I6" s="226"/>
      <c r="J6" s="226"/>
      <c r="K6" s="226"/>
      <c r="L6" s="227"/>
    </row>
    <row r="7" spans="1:18" s="94" customFormat="1" ht="14.5" customHeight="1" x14ac:dyDescent="0.35">
      <c r="A7" s="248" t="s">
        <v>378</v>
      </c>
      <c r="B7" s="249"/>
      <c r="C7" s="249"/>
      <c r="D7" s="249"/>
      <c r="E7" s="249"/>
      <c r="F7" s="249"/>
      <c r="G7" s="249"/>
      <c r="H7" s="249"/>
      <c r="I7" s="249"/>
      <c r="J7" s="249"/>
      <c r="K7" s="249"/>
      <c r="L7" s="250"/>
    </row>
    <row r="8" spans="1:18" s="94" customFormat="1" ht="14.5" customHeight="1" x14ac:dyDescent="0.35">
      <c r="A8" s="228" t="s">
        <v>347</v>
      </c>
      <c r="B8" s="229"/>
      <c r="C8" s="229"/>
      <c r="D8" s="229"/>
      <c r="E8" s="229"/>
      <c r="F8" s="229"/>
      <c r="G8" s="229"/>
      <c r="H8" s="229"/>
      <c r="I8" s="229"/>
      <c r="J8" s="229"/>
      <c r="K8" s="229"/>
      <c r="L8" s="230"/>
    </row>
    <row r="9" spans="1:18" s="94" customFormat="1" ht="14.5" customHeight="1" x14ac:dyDescent="0.35">
      <c r="A9" s="228" t="s">
        <v>348</v>
      </c>
      <c r="B9" s="229"/>
      <c r="C9" s="229"/>
      <c r="D9" s="229"/>
      <c r="E9" s="229"/>
      <c r="F9" s="229"/>
      <c r="G9" s="229"/>
      <c r="H9" s="229"/>
      <c r="I9" s="229"/>
      <c r="J9" s="229"/>
      <c r="K9" s="229"/>
      <c r="L9" s="230"/>
    </row>
    <row r="10" spans="1:18" s="94" customFormat="1" ht="14.5" customHeight="1" x14ac:dyDescent="0.35">
      <c r="A10" s="231" t="s">
        <v>349</v>
      </c>
      <c r="B10" s="232"/>
      <c r="C10" s="232"/>
      <c r="D10" s="232"/>
      <c r="E10" s="232"/>
      <c r="F10" s="232"/>
      <c r="G10" s="232"/>
      <c r="H10" s="232"/>
      <c r="I10" s="232"/>
      <c r="J10" s="232"/>
      <c r="K10" s="232"/>
      <c r="L10" s="233"/>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43" t="s">
        <v>350</v>
      </c>
      <c r="B12" s="244"/>
      <c r="C12" s="244"/>
      <c r="D12" s="244"/>
      <c r="E12" s="244"/>
      <c r="F12" s="244"/>
      <c r="G12" s="244"/>
      <c r="H12" s="244"/>
      <c r="I12" s="244"/>
      <c r="J12" s="244"/>
      <c r="K12" s="244"/>
      <c r="L12" s="245"/>
      <c r="N12" s="1"/>
    </row>
    <row r="13" spans="1:18" s="94" customFormat="1" ht="16.5" customHeight="1" x14ac:dyDescent="0.35">
      <c r="A13" s="222" t="s">
        <v>365</v>
      </c>
      <c r="B13" s="223"/>
      <c r="C13" s="223"/>
      <c r="D13" s="223"/>
      <c r="E13" s="223"/>
      <c r="F13" s="223"/>
      <c r="G13" s="223"/>
      <c r="H13" s="223"/>
      <c r="I13" s="223"/>
      <c r="J13" s="223"/>
      <c r="K13" s="223"/>
      <c r="L13" s="224"/>
      <c r="N13" s="1"/>
    </row>
    <row r="14" spans="1:18" s="94" customFormat="1" ht="15" customHeight="1" x14ac:dyDescent="0.35">
      <c r="A14" s="183">
        <v>1</v>
      </c>
      <c r="B14" s="213" t="s">
        <v>364</v>
      </c>
      <c r="C14" s="213"/>
      <c r="D14" s="213"/>
      <c r="E14" s="213"/>
      <c r="F14" s="213"/>
      <c r="G14" s="213"/>
      <c r="H14" s="213"/>
      <c r="I14" s="213"/>
      <c r="J14" s="213"/>
      <c r="K14" s="213"/>
      <c r="L14" s="214"/>
    </row>
    <row r="15" spans="1:18" s="94" customFormat="1" ht="15" customHeight="1" x14ac:dyDescent="0.35">
      <c r="A15" s="183">
        <v>2</v>
      </c>
      <c r="B15" s="213" t="s">
        <v>356</v>
      </c>
      <c r="C15" s="213"/>
      <c r="D15" s="213"/>
      <c r="E15" s="213"/>
      <c r="F15" s="213"/>
      <c r="G15" s="213"/>
      <c r="H15" s="213"/>
      <c r="I15" s="213"/>
      <c r="J15" s="213"/>
      <c r="K15" s="213"/>
      <c r="L15" s="214"/>
      <c r="N15" s="117"/>
    </row>
    <row r="16" spans="1:18" s="94" customFormat="1" ht="15" customHeight="1" x14ac:dyDescent="0.35">
      <c r="A16" s="183">
        <v>3</v>
      </c>
      <c r="B16" s="213" t="s">
        <v>351</v>
      </c>
      <c r="C16" s="213"/>
      <c r="D16" s="213"/>
      <c r="E16" s="213"/>
      <c r="F16" s="213"/>
      <c r="G16" s="213"/>
      <c r="H16" s="213"/>
      <c r="I16" s="213"/>
      <c r="J16" s="213"/>
      <c r="K16" s="213"/>
      <c r="L16" s="214"/>
      <c r="N16" s="117"/>
    </row>
    <row r="17" spans="1:14" s="94" customFormat="1" ht="15" customHeight="1" x14ac:dyDescent="0.35">
      <c r="A17" s="183">
        <v>4</v>
      </c>
      <c r="B17" s="213" t="s">
        <v>352</v>
      </c>
      <c r="C17" s="213"/>
      <c r="D17" s="213"/>
      <c r="E17" s="213"/>
      <c r="F17" s="213"/>
      <c r="G17" s="213"/>
      <c r="H17" s="213"/>
      <c r="I17" s="213"/>
      <c r="J17" s="213"/>
      <c r="K17" s="213"/>
      <c r="L17" s="214"/>
      <c r="N17" s="117"/>
    </row>
    <row r="18" spans="1:14" s="94" customFormat="1" ht="15" customHeight="1" x14ac:dyDescent="0.35">
      <c r="A18" s="183">
        <v>5</v>
      </c>
      <c r="B18" s="213" t="s">
        <v>353</v>
      </c>
      <c r="C18" s="213"/>
      <c r="D18" s="213"/>
      <c r="E18" s="213"/>
      <c r="F18" s="213"/>
      <c r="G18" s="213"/>
      <c r="H18" s="213"/>
      <c r="I18" s="213"/>
      <c r="J18" s="213"/>
      <c r="K18" s="213"/>
      <c r="L18" s="214"/>
      <c r="N18" s="117"/>
    </row>
    <row r="19" spans="1:14" s="94" customFormat="1" ht="15" customHeight="1" x14ac:dyDescent="0.35">
      <c r="A19" s="183"/>
      <c r="B19" s="213" t="s">
        <v>354</v>
      </c>
      <c r="C19" s="213"/>
      <c r="D19" s="213"/>
      <c r="E19" s="213"/>
      <c r="F19" s="213"/>
      <c r="G19" s="213"/>
      <c r="H19" s="213"/>
      <c r="I19" s="213"/>
      <c r="J19" s="213"/>
      <c r="K19" s="213"/>
      <c r="L19" s="214"/>
      <c r="N19" s="117"/>
    </row>
    <row r="20" spans="1:14" s="94" customFormat="1" ht="15" customHeight="1" x14ac:dyDescent="0.35">
      <c r="A20" s="183"/>
      <c r="B20" s="213" t="s">
        <v>355</v>
      </c>
      <c r="C20" s="213"/>
      <c r="D20" s="213"/>
      <c r="E20" s="213"/>
      <c r="F20" s="213"/>
      <c r="G20" s="213"/>
      <c r="H20" s="213"/>
      <c r="I20" s="213"/>
      <c r="J20" s="213"/>
      <c r="K20" s="213"/>
      <c r="L20" s="214"/>
      <c r="N20" s="117"/>
    </row>
    <row r="21" spans="1:14" s="94" customFormat="1" ht="15" customHeight="1" x14ac:dyDescent="0.35">
      <c r="A21" s="219" t="s">
        <v>366</v>
      </c>
      <c r="B21" s="220"/>
      <c r="C21" s="220"/>
      <c r="D21" s="220"/>
      <c r="E21" s="220"/>
      <c r="F21" s="220"/>
      <c r="G21" s="220"/>
      <c r="H21" s="220"/>
      <c r="I21" s="220"/>
      <c r="J21" s="220"/>
      <c r="K21" s="220"/>
      <c r="L21" s="221"/>
      <c r="N21" s="117"/>
    </row>
    <row r="22" spans="1:14" s="94" customFormat="1" ht="15" customHeight="1" x14ac:dyDescent="0.35">
      <c r="A22" s="183">
        <v>1</v>
      </c>
      <c r="B22" s="213" t="s">
        <v>357</v>
      </c>
      <c r="C22" s="213"/>
      <c r="D22" s="213"/>
      <c r="E22" s="213"/>
      <c r="F22" s="213"/>
      <c r="G22" s="213"/>
      <c r="H22" s="213"/>
      <c r="I22" s="213"/>
      <c r="J22" s="213"/>
      <c r="K22" s="213"/>
      <c r="L22" s="214"/>
      <c r="N22" s="117"/>
    </row>
    <row r="23" spans="1:14" s="94" customFormat="1" ht="30.75" customHeight="1" x14ac:dyDescent="0.35">
      <c r="A23" s="183"/>
      <c r="B23" s="217" t="s">
        <v>358</v>
      </c>
      <c r="C23" s="217"/>
      <c r="D23" s="217"/>
      <c r="E23" s="217"/>
      <c r="F23" s="217"/>
      <c r="G23" s="217"/>
      <c r="H23" s="217"/>
      <c r="I23" s="217"/>
      <c r="J23" s="217"/>
      <c r="K23" s="217"/>
      <c r="L23" s="218"/>
      <c r="N23" s="117"/>
    </row>
    <row r="24" spans="1:14" s="94" customFormat="1" ht="15" customHeight="1" x14ac:dyDescent="0.35">
      <c r="A24" s="183"/>
      <c r="B24" s="217" t="s">
        <v>359</v>
      </c>
      <c r="C24" s="217"/>
      <c r="D24" s="217"/>
      <c r="E24" s="217"/>
      <c r="F24" s="217"/>
      <c r="G24" s="217"/>
      <c r="H24" s="217"/>
      <c r="I24" s="217"/>
      <c r="J24" s="217"/>
      <c r="K24" s="217"/>
      <c r="L24" s="218"/>
      <c r="N24" s="117"/>
    </row>
    <row r="25" spans="1:14" s="94" customFormat="1" ht="15" customHeight="1" x14ac:dyDescent="0.35">
      <c r="A25" s="183"/>
      <c r="B25" s="217" t="s">
        <v>360</v>
      </c>
      <c r="C25" s="217"/>
      <c r="D25" s="217"/>
      <c r="E25" s="217"/>
      <c r="F25" s="217"/>
      <c r="G25" s="217"/>
      <c r="H25" s="217"/>
      <c r="I25" s="217"/>
      <c r="J25" s="217"/>
      <c r="K25" s="217"/>
      <c r="L25" s="218"/>
      <c r="N25" s="117"/>
    </row>
    <row r="26" spans="1:14" s="94" customFormat="1" ht="16.5" customHeight="1" x14ac:dyDescent="0.35">
      <c r="A26" s="183"/>
      <c r="B26" s="213" t="s">
        <v>361</v>
      </c>
      <c r="C26" s="213"/>
      <c r="D26" s="213"/>
      <c r="E26" s="213"/>
      <c r="F26" s="213"/>
      <c r="G26" s="213"/>
      <c r="H26" s="213"/>
      <c r="I26" s="213"/>
      <c r="J26" s="213"/>
      <c r="K26" s="213"/>
      <c r="L26" s="214"/>
    </row>
    <row r="27" spans="1:14" s="65" customFormat="1" ht="15" customHeight="1" x14ac:dyDescent="0.35">
      <c r="A27" s="184">
        <v>2</v>
      </c>
      <c r="B27" s="213" t="s">
        <v>362</v>
      </c>
      <c r="C27" s="213"/>
      <c r="D27" s="213"/>
      <c r="E27" s="213"/>
      <c r="F27" s="213"/>
      <c r="G27" s="213"/>
      <c r="H27" s="213"/>
      <c r="I27" s="213"/>
      <c r="J27" s="213"/>
      <c r="K27" s="213"/>
      <c r="L27" s="214"/>
    </row>
    <row r="28" spans="1:14" s="94" customFormat="1" ht="30.75" customHeight="1" x14ac:dyDescent="0.35">
      <c r="A28" s="185">
        <v>3</v>
      </c>
      <c r="B28" s="246" t="s">
        <v>371</v>
      </c>
      <c r="C28" s="246"/>
      <c r="D28" s="246"/>
      <c r="E28" s="246"/>
      <c r="F28" s="246"/>
      <c r="G28" s="246"/>
      <c r="H28" s="246"/>
      <c r="I28" s="246"/>
      <c r="J28" s="246"/>
      <c r="K28" s="246"/>
      <c r="L28" s="247"/>
    </row>
    <row r="29" spans="1:14" s="188" customFormat="1" ht="18" customHeight="1" x14ac:dyDescent="0.35">
      <c r="A29" s="186"/>
      <c r="B29" s="187"/>
      <c r="C29" s="187"/>
      <c r="D29" s="187"/>
      <c r="E29" s="187"/>
      <c r="F29" s="187"/>
      <c r="G29" s="187"/>
      <c r="H29" s="187"/>
      <c r="I29" s="187"/>
      <c r="J29" s="187"/>
      <c r="K29" s="187"/>
      <c r="L29" s="187"/>
    </row>
    <row r="30" spans="1:14" s="1" customFormat="1" ht="16.5" customHeight="1" x14ac:dyDescent="0.35">
      <c r="A30" s="240" t="s">
        <v>408</v>
      </c>
      <c r="B30" s="241"/>
      <c r="C30" s="241"/>
      <c r="D30" s="241"/>
      <c r="E30" s="241"/>
      <c r="F30" s="241"/>
      <c r="G30" s="241"/>
      <c r="H30" s="241"/>
      <c r="I30" s="241"/>
      <c r="J30" s="241"/>
      <c r="K30" s="241"/>
      <c r="L30" s="242"/>
    </row>
    <row r="31" spans="1:14" s="1" customFormat="1" ht="16.5" customHeight="1" x14ac:dyDescent="0.35">
      <c r="A31" s="189" t="s">
        <v>363</v>
      </c>
      <c r="B31" s="190"/>
      <c r="C31" s="190"/>
      <c r="D31" s="190"/>
      <c r="E31" s="190"/>
      <c r="F31" s="190"/>
      <c r="G31" s="190"/>
      <c r="H31" s="190"/>
      <c r="I31" s="190"/>
      <c r="J31" s="190"/>
      <c r="K31" s="190"/>
      <c r="L31" s="191"/>
    </row>
    <row r="32" spans="1:14" ht="14.25" customHeight="1" x14ac:dyDescent="0.35">
      <c r="B32" s="180"/>
      <c r="C32" s="180"/>
      <c r="D32" s="180"/>
      <c r="E32" s="180"/>
      <c r="F32" s="180"/>
      <c r="G32" s="180"/>
      <c r="H32" s="180"/>
      <c r="I32" s="180"/>
      <c r="J32" s="180"/>
      <c r="K32" s="180"/>
      <c r="L32" s="180"/>
    </row>
    <row r="33" spans="1:12" ht="16.5" customHeight="1" x14ac:dyDescent="0.35">
      <c r="A33" s="192" t="s">
        <v>254</v>
      </c>
      <c r="B33" s="193"/>
      <c r="C33" s="193"/>
      <c r="D33" s="194"/>
      <c r="E33" s="193"/>
      <c r="F33" s="193"/>
      <c r="G33" s="193"/>
      <c r="H33" s="193"/>
      <c r="I33" s="193"/>
      <c r="J33" s="193"/>
      <c r="K33" s="193"/>
      <c r="L33" s="195"/>
    </row>
    <row r="34" spans="1:12" ht="15" customHeight="1" x14ac:dyDescent="0.35">
      <c r="A34" s="196"/>
      <c r="B34" s="197" t="s">
        <v>74</v>
      </c>
      <c r="C34" s="198" t="s">
        <v>96</v>
      </c>
      <c r="D34" s="198"/>
      <c r="E34" s="198"/>
      <c r="F34" s="198"/>
      <c r="G34" s="198"/>
      <c r="H34" s="198"/>
      <c r="I34" s="198"/>
      <c r="J34" s="198"/>
      <c r="K34" s="198"/>
      <c r="L34" s="199"/>
    </row>
    <row r="35" spans="1:12" ht="14.25" customHeight="1" x14ac:dyDescent="0.35">
      <c r="A35" s="196"/>
      <c r="B35" s="197" t="s">
        <v>98</v>
      </c>
      <c r="C35" s="198" t="s">
        <v>123</v>
      </c>
      <c r="D35" s="198"/>
      <c r="E35" s="198"/>
      <c r="F35" s="198"/>
      <c r="G35" s="198"/>
      <c r="H35" s="198"/>
      <c r="I35" s="198"/>
      <c r="J35" s="198"/>
      <c r="K35" s="198"/>
      <c r="L35" s="199"/>
    </row>
    <row r="36" spans="1:12" s="64" customFormat="1" ht="33.75" customHeight="1" x14ac:dyDescent="0.35">
      <c r="A36" s="196"/>
      <c r="B36" s="197" t="s">
        <v>74</v>
      </c>
      <c r="C36" s="215" t="s">
        <v>209</v>
      </c>
      <c r="D36" s="215"/>
      <c r="E36" s="215"/>
      <c r="F36" s="215"/>
      <c r="G36" s="215"/>
      <c r="H36" s="215"/>
      <c r="I36" s="215"/>
      <c r="J36" s="215"/>
      <c r="K36" s="215"/>
      <c r="L36" s="216"/>
    </row>
    <row r="37" spans="1:12" s="65" customFormat="1" ht="30.75" customHeight="1" x14ac:dyDescent="0.35">
      <c r="A37" s="196"/>
      <c r="B37" s="197" t="s">
        <v>207</v>
      </c>
      <c r="C37" s="215" t="s">
        <v>210</v>
      </c>
      <c r="D37" s="215"/>
      <c r="E37" s="215"/>
      <c r="F37" s="215"/>
      <c r="G37" s="215"/>
      <c r="H37" s="215"/>
      <c r="I37" s="215"/>
      <c r="J37" s="215"/>
      <c r="K37" s="215"/>
      <c r="L37" s="216"/>
    </row>
    <row r="38" spans="1:12" ht="30.75" customHeight="1" x14ac:dyDescent="0.35">
      <c r="A38" s="196"/>
      <c r="B38" s="197" t="s">
        <v>208</v>
      </c>
      <c r="C38" s="215" t="s">
        <v>211</v>
      </c>
      <c r="D38" s="215"/>
      <c r="E38" s="215"/>
      <c r="F38" s="215"/>
      <c r="G38" s="215"/>
      <c r="H38" s="215"/>
      <c r="I38" s="215"/>
      <c r="J38" s="215"/>
      <c r="K38" s="215"/>
      <c r="L38" s="216"/>
    </row>
    <row r="39" spans="1:12" ht="30.75" customHeight="1" x14ac:dyDescent="0.35">
      <c r="A39" s="196"/>
      <c r="B39" s="197" t="s">
        <v>402</v>
      </c>
      <c r="C39" s="215" t="s">
        <v>403</v>
      </c>
      <c r="D39" s="215"/>
      <c r="E39" s="215"/>
      <c r="F39" s="215"/>
      <c r="G39" s="215"/>
      <c r="H39" s="215"/>
      <c r="I39" s="215"/>
      <c r="J39" s="215"/>
      <c r="K39" s="215"/>
      <c r="L39" s="216"/>
    </row>
    <row r="40" spans="1:12" ht="15.5" customHeight="1" x14ac:dyDescent="0.35">
      <c r="A40" s="196"/>
      <c r="B40" s="197" t="s">
        <v>402</v>
      </c>
      <c r="C40" s="215" t="s">
        <v>404</v>
      </c>
      <c r="D40" s="215"/>
      <c r="E40" s="215"/>
      <c r="F40" s="215"/>
      <c r="G40" s="215"/>
      <c r="H40" s="215"/>
      <c r="I40" s="215"/>
      <c r="J40" s="215"/>
      <c r="K40" s="215"/>
      <c r="L40" s="216"/>
    </row>
    <row r="41" spans="1:12" x14ac:dyDescent="0.35">
      <c r="A41" s="196"/>
      <c r="B41" s="197" t="s">
        <v>339</v>
      </c>
      <c r="C41" s="198" t="s">
        <v>154</v>
      </c>
      <c r="D41" s="198"/>
      <c r="E41" s="198"/>
      <c r="F41" s="198"/>
      <c r="G41" s="198"/>
      <c r="H41" s="198"/>
      <c r="I41" s="198"/>
      <c r="J41" s="198"/>
      <c r="K41" s="198"/>
      <c r="L41" s="199"/>
    </row>
    <row r="42" spans="1:12" ht="29.25" customHeight="1" x14ac:dyDescent="0.35">
      <c r="A42" s="196"/>
      <c r="B42" s="197" t="s">
        <v>75</v>
      </c>
      <c r="C42" s="215" t="s">
        <v>76</v>
      </c>
      <c r="D42" s="215"/>
      <c r="E42" s="215"/>
      <c r="F42" s="215"/>
      <c r="G42" s="215"/>
      <c r="H42" s="215"/>
      <c r="I42" s="215"/>
      <c r="J42" s="215"/>
      <c r="K42" s="215"/>
      <c r="L42" s="216"/>
    </row>
    <row r="43" spans="1:12" x14ac:dyDescent="0.35">
      <c r="A43" s="196"/>
      <c r="B43" s="197" t="s">
        <v>77</v>
      </c>
      <c r="C43" s="198" t="s">
        <v>78</v>
      </c>
      <c r="D43" s="198"/>
      <c r="E43" s="198"/>
      <c r="F43" s="198"/>
      <c r="G43" s="198"/>
      <c r="H43" s="198"/>
      <c r="I43" s="198"/>
      <c r="J43" s="198"/>
      <c r="K43" s="198"/>
      <c r="L43" s="199"/>
    </row>
    <row r="44" spans="1:12" x14ac:dyDescent="0.35">
      <c r="A44" s="196"/>
      <c r="B44" s="197" t="s">
        <v>91</v>
      </c>
      <c r="C44" s="198" t="s">
        <v>92</v>
      </c>
      <c r="D44" s="198"/>
      <c r="E44" s="198"/>
      <c r="F44" s="198"/>
      <c r="G44" s="198"/>
      <c r="H44" s="198"/>
      <c r="I44" s="198"/>
      <c r="J44" s="198"/>
      <c r="K44" s="198"/>
      <c r="L44" s="199"/>
    </row>
    <row r="45" spans="1:12" x14ac:dyDescent="0.35">
      <c r="A45" s="200"/>
      <c r="B45" s="201" t="s">
        <v>245</v>
      </c>
      <c r="C45" s="202" t="s">
        <v>246</v>
      </c>
      <c r="D45" s="202"/>
      <c r="E45" s="202"/>
      <c r="F45" s="202"/>
      <c r="G45" s="202"/>
      <c r="H45" s="202"/>
      <c r="I45" s="202"/>
      <c r="J45" s="202"/>
      <c r="K45" s="202"/>
      <c r="L45" s="203"/>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39" t="s">
        <v>380</v>
      </c>
      <c r="B57" s="239"/>
      <c r="C57" s="239"/>
      <c r="D57" s="239"/>
      <c r="E57" s="239"/>
      <c r="F57" s="239"/>
      <c r="G57" s="239"/>
      <c r="H57" s="239"/>
      <c r="I57" s="239"/>
      <c r="J57" s="239"/>
      <c r="K57" s="239"/>
      <c r="L57" s="239"/>
    </row>
    <row r="62" spans="1:12" ht="16" customHeight="1" x14ac:dyDescent="0.35"/>
    <row r="63" spans="1:12" ht="29.25" customHeight="1" x14ac:dyDescent="0.35"/>
  </sheetData>
  <mergeCells count="33">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2:L42"/>
    <mergeCell ref="B22:L22"/>
    <mergeCell ref="B23:L23"/>
    <mergeCell ref="B24:L24"/>
    <mergeCell ref="B25:L25"/>
    <mergeCell ref="A21:L21"/>
    <mergeCell ref="C39:L39"/>
    <mergeCell ref="C40:L40"/>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78" t="s">
        <v>242</v>
      </c>
      <c r="B3" s="278"/>
      <c r="C3" s="278"/>
      <c r="D3" s="142" t="s">
        <v>241</v>
      </c>
    </row>
    <row r="4" spans="1:4" ht="30" customHeight="1" x14ac:dyDescent="0.35">
      <c r="A4" s="279" t="s">
        <v>238</v>
      </c>
      <c r="B4" s="279"/>
      <c r="C4" s="279"/>
      <c r="D4" s="205" t="s">
        <v>381</v>
      </c>
    </row>
    <row r="5" spans="1:4" ht="43.5" x14ac:dyDescent="0.35">
      <c r="A5" s="283" t="s">
        <v>382</v>
      </c>
      <c r="B5" s="280"/>
      <c r="C5" s="280"/>
      <c r="D5" s="206" t="s">
        <v>383</v>
      </c>
    </row>
    <row r="6" spans="1:4" ht="57.5" customHeight="1" x14ac:dyDescent="0.35">
      <c r="A6" s="281" t="s">
        <v>384</v>
      </c>
      <c r="B6" s="281"/>
      <c r="C6" s="281"/>
      <c r="D6" s="207" t="s">
        <v>385</v>
      </c>
    </row>
    <row r="7" spans="1:4" ht="29" x14ac:dyDescent="0.35">
      <c r="A7" s="282" t="s">
        <v>33</v>
      </c>
      <c r="B7" s="282"/>
      <c r="C7" s="282"/>
      <c r="D7" s="208" t="s">
        <v>386</v>
      </c>
    </row>
    <row r="11" spans="1:4" x14ac:dyDescent="0.35">
      <c r="A11" s="279" t="s">
        <v>238</v>
      </c>
      <c r="B11" s="279"/>
      <c r="C11" s="279"/>
    </row>
    <row r="12" spans="1:4" x14ac:dyDescent="0.35">
      <c r="A12" s="280" t="s">
        <v>239</v>
      </c>
      <c r="B12" s="280"/>
      <c r="C12" s="280"/>
    </row>
    <row r="13" spans="1:4" x14ac:dyDescent="0.35">
      <c r="A13" s="281" t="s">
        <v>240</v>
      </c>
      <c r="B13" s="281"/>
      <c r="C13" s="281"/>
    </row>
    <row r="14" spans="1:4" x14ac:dyDescent="0.35">
      <c r="A14" s="282" t="s">
        <v>33</v>
      </c>
      <c r="B14" s="282"/>
      <c r="C14" s="28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7"/>
  <sheetViews>
    <sheetView topLeftCell="A5" zoomScale="150" zoomScaleNormal="150" workbookViewId="0">
      <selection activeCell="C2" sqref="C2"/>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145" x14ac:dyDescent="0.35">
      <c r="A3" s="62">
        <v>44699</v>
      </c>
      <c r="B3" s="167" t="s">
        <v>406</v>
      </c>
      <c r="C3" s="61" t="s">
        <v>407</v>
      </c>
      <c r="D3" s="60" t="s">
        <v>95</v>
      </c>
      <c r="E3" s="60" t="s">
        <v>95</v>
      </c>
      <c r="F3" s="62"/>
      <c r="H3" s="41"/>
      <c r="I3" s="41"/>
      <c r="J3" s="42"/>
    </row>
    <row r="4" spans="1:10" ht="29" x14ac:dyDescent="0.35">
      <c r="A4" s="62">
        <v>44698</v>
      </c>
      <c r="B4" s="167" t="s">
        <v>400</v>
      </c>
      <c r="C4" s="61" t="s">
        <v>401</v>
      </c>
      <c r="D4" s="60" t="s">
        <v>95</v>
      </c>
      <c r="E4" s="60" t="s">
        <v>95</v>
      </c>
      <c r="F4" s="62"/>
      <c r="H4" s="41"/>
      <c r="I4" s="41"/>
      <c r="J4" s="43"/>
    </row>
    <row r="5" spans="1:10" ht="40.5" customHeight="1" x14ac:dyDescent="0.35">
      <c r="A5" s="62">
        <v>44676</v>
      </c>
      <c r="B5" s="167" t="s">
        <v>372</v>
      </c>
      <c r="C5" s="61" t="s">
        <v>373</v>
      </c>
      <c r="D5" s="60" t="s">
        <v>95</v>
      </c>
      <c r="E5" s="60" t="s">
        <v>95</v>
      </c>
      <c r="F5" s="62"/>
      <c r="H5" s="41"/>
      <c r="I5" s="41"/>
      <c r="J5" s="43"/>
    </row>
    <row r="6" spans="1:10" ht="38.5" customHeight="1" x14ac:dyDescent="0.35">
      <c r="A6" s="62">
        <v>44656</v>
      </c>
      <c r="B6" s="167" t="s">
        <v>375</v>
      </c>
      <c r="C6" s="61" t="s">
        <v>376</v>
      </c>
      <c r="D6" s="60" t="s">
        <v>95</v>
      </c>
      <c r="E6" s="60" t="s">
        <v>95</v>
      </c>
      <c r="F6" s="62"/>
      <c r="H6" s="41" t="s">
        <v>136</v>
      </c>
      <c r="I6" s="41" t="s">
        <v>95</v>
      </c>
      <c r="J6" s="42"/>
    </row>
    <row r="7" spans="1:10" ht="58" x14ac:dyDescent="0.35">
      <c r="A7" s="62">
        <v>44588</v>
      </c>
      <c r="B7" s="167" t="s">
        <v>343</v>
      </c>
      <c r="C7" s="61" t="s">
        <v>344</v>
      </c>
      <c r="D7" s="60" t="s">
        <v>95</v>
      </c>
      <c r="E7" s="60" t="s">
        <v>95</v>
      </c>
      <c r="F7" s="62"/>
      <c r="H7" s="41" t="s">
        <v>306</v>
      </c>
      <c r="I7" s="120" t="s">
        <v>155</v>
      </c>
      <c r="J7" s="43">
        <v>44482</v>
      </c>
    </row>
    <row r="8" spans="1:10" ht="43.5" x14ac:dyDescent="0.35">
      <c r="A8" s="62">
        <v>44581</v>
      </c>
      <c r="B8" s="167" t="s">
        <v>341</v>
      </c>
      <c r="C8" s="61" t="s">
        <v>342</v>
      </c>
      <c r="D8" s="60" t="s">
        <v>95</v>
      </c>
      <c r="E8" s="60" t="s">
        <v>95</v>
      </c>
      <c r="F8" s="62"/>
      <c r="H8" s="41"/>
      <c r="I8" s="120"/>
      <c r="J8" s="43"/>
    </row>
    <row r="9" spans="1:10" ht="101.5" x14ac:dyDescent="0.35">
      <c r="A9" s="62">
        <v>44581</v>
      </c>
      <c r="B9" s="167" t="s">
        <v>335</v>
      </c>
      <c r="C9" s="61" t="s">
        <v>336</v>
      </c>
      <c r="D9" s="60" t="s">
        <v>95</v>
      </c>
      <c r="E9" s="60" t="s">
        <v>337</v>
      </c>
      <c r="F9" s="62" t="s">
        <v>338</v>
      </c>
      <c r="H9" s="41" t="s">
        <v>159</v>
      </c>
      <c r="I9" s="41" t="s">
        <v>155</v>
      </c>
      <c r="J9" s="43">
        <v>44385</v>
      </c>
    </row>
    <row r="10" spans="1:10" ht="87" x14ac:dyDescent="0.35">
      <c r="A10" s="62">
        <v>44532</v>
      </c>
      <c r="B10" s="167" t="s">
        <v>321</v>
      </c>
      <c r="C10" s="61" t="s">
        <v>324</v>
      </c>
      <c r="D10" s="60" t="s">
        <v>95</v>
      </c>
      <c r="E10" s="60" t="s">
        <v>95</v>
      </c>
      <c r="F10" s="62"/>
      <c r="H10" s="41" t="s">
        <v>204</v>
      </c>
      <c r="I10" s="120" t="s">
        <v>199</v>
      </c>
      <c r="J10" s="43">
        <v>44391</v>
      </c>
    </row>
    <row r="11" spans="1:10" ht="72.5" x14ac:dyDescent="0.35">
      <c r="A11" s="62">
        <v>44501</v>
      </c>
      <c r="B11" s="167" t="s">
        <v>319</v>
      </c>
      <c r="C11" s="61" t="s">
        <v>320</v>
      </c>
      <c r="D11" s="60" t="s">
        <v>95</v>
      </c>
      <c r="E11" s="60" t="s">
        <v>95</v>
      </c>
      <c r="F11" s="62"/>
      <c r="H11" s="41" t="s">
        <v>157</v>
      </c>
      <c r="I11" s="120" t="s">
        <v>199</v>
      </c>
      <c r="J11" s="43">
        <v>44391</v>
      </c>
    </row>
    <row r="12" spans="1:10" ht="72.5" x14ac:dyDescent="0.35">
      <c r="A12" s="62">
        <v>44500</v>
      </c>
      <c r="B12" s="167" t="s">
        <v>317</v>
      </c>
      <c r="C12" s="61" t="s">
        <v>318</v>
      </c>
      <c r="D12" s="60" t="s">
        <v>95</v>
      </c>
      <c r="E12" s="60" t="s">
        <v>95</v>
      </c>
      <c r="F12" s="62"/>
      <c r="H12" s="41" t="s">
        <v>158</v>
      </c>
      <c r="I12" s="120" t="s">
        <v>199</v>
      </c>
      <c r="J12" s="43">
        <v>44391</v>
      </c>
    </row>
    <row r="13" spans="1:10" ht="43.5" x14ac:dyDescent="0.35">
      <c r="A13" s="62">
        <v>44496</v>
      </c>
      <c r="B13" s="167" t="s">
        <v>312</v>
      </c>
      <c r="C13" s="61" t="s">
        <v>313</v>
      </c>
      <c r="D13" s="60" t="s">
        <v>95</v>
      </c>
      <c r="E13" s="60" t="s">
        <v>305</v>
      </c>
      <c r="F13" s="62"/>
      <c r="H13" s="41"/>
      <c r="I13" s="41"/>
      <c r="J13" s="42"/>
    </row>
    <row r="14" spans="1:10" ht="72.5" x14ac:dyDescent="0.35">
      <c r="A14" s="62">
        <v>44496</v>
      </c>
      <c r="B14" s="167" t="s">
        <v>310</v>
      </c>
      <c r="C14" s="61" t="s">
        <v>311</v>
      </c>
      <c r="D14" s="60" t="s">
        <v>95</v>
      </c>
      <c r="E14" s="60" t="s">
        <v>325</v>
      </c>
      <c r="F14" s="62">
        <v>44495</v>
      </c>
      <c r="H14" s="41"/>
      <c r="I14" s="41"/>
      <c r="J14" s="42"/>
    </row>
    <row r="15" spans="1:10" ht="29" x14ac:dyDescent="0.35">
      <c r="A15" s="62">
        <v>44480</v>
      </c>
      <c r="B15" s="167" t="s">
        <v>304</v>
      </c>
      <c r="C15" s="61" t="s">
        <v>301</v>
      </c>
      <c r="D15" s="60" t="s">
        <v>95</v>
      </c>
      <c r="E15" s="60"/>
      <c r="F15" s="62"/>
      <c r="H15" s="41"/>
      <c r="I15" s="41"/>
      <c r="J15" s="42"/>
    </row>
    <row r="16" spans="1:10" ht="29" x14ac:dyDescent="0.35">
      <c r="A16" s="62">
        <v>44480</v>
      </c>
      <c r="B16" s="167" t="s">
        <v>303</v>
      </c>
      <c r="C16" s="61" t="s">
        <v>300</v>
      </c>
      <c r="D16" s="60" t="s">
        <v>95</v>
      </c>
      <c r="E16" s="60" t="s">
        <v>95</v>
      </c>
      <c r="F16" s="62"/>
      <c r="H16" s="41"/>
      <c r="I16" s="41"/>
      <c r="J16" s="42"/>
    </row>
    <row r="17" spans="1:6" ht="29" x14ac:dyDescent="0.35">
      <c r="A17" s="62">
        <v>44480</v>
      </c>
      <c r="B17" s="167" t="s">
        <v>302</v>
      </c>
      <c r="C17" s="61" t="s">
        <v>299</v>
      </c>
      <c r="D17" s="60" t="s">
        <v>95</v>
      </c>
      <c r="E17" s="60" t="s">
        <v>255</v>
      </c>
      <c r="F17" s="62" t="s">
        <v>256</v>
      </c>
    </row>
    <row r="18" spans="1:6" ht="43.5" x14ac:dyDescent="0.35">
      <c r="A18" s="62">
        <v>44474</v>
      </c>
      <c r="B18" s="60">
        <v>3.7</v>
      </c>
      <c r="C18" s="61" t="s">
        <v>247</v>
      </c>
      <c r="D18" s="60" t="s">
        <v>95</v>
      </c>
      <c r="E18" s="60" t="s">
        <v>95</v>
      </c>
      <c r="F18" s="62"/>
    </row>
    <row r="19" spans="1:6" ht="43.5" x14ac:dyDescent="0.35">
      <c r="A19" s="62">
        <v>44463</v>
      </c>
      <c r="B19" s="60" t="s">
        <v>316</v>
      </c>
      <c r="C19" s="61" t="s">
        <v>232</v>
      </c>
      <c r="D19" s="60" t="s">
        <v>95</v>
      </c>
      <c r="E19" s="60" t="s">
        <v>326</v>
      </c>
      <c r="F19" s="62">
        <v>44432</v>
      </c>
    </row>
    <row r="20" spans="1:6" ht="58" x14ac:dyDescent="0.35">
      <c r="A20" s="62">
        <v>44459</v>
      </c>
      <c r="B20" s="60" t="s">
        <v>214</v>
      </c>
      <c r="C20" s="61" t="s">
        <v>215</v>
      </c>
      <c r="D20" s="60" t="s">
        <v>95</v>
      </c>
      <c r="E20" s="60" t="s">
        <v>95</v>
      </c>
      <c r="F20" s="62"/>
    </row>
    <row r="21" spans="1:6" ht="43.5" x14ac:dyDescent="0.35">
      <c r="A21" s="62">
        <v>44459</v>
      </c>
      <c r="B21" s="60">
        <v>3.6</v>
      </c>
      <c r="C21" s="61" t="s">
        <v>216</v>
      </c>
      <c r="D21" s="60" t="s">
        <v>95</v>
      </c>
      <c r="E21" s="60" t="s">
        <v>95</v>
      </c>
      <c r="F21" s="62"/>
    </row>
    <row r="22" spans="1:6" ht="58" x14ac:dyDescent="0.35">
      <c r="A22" s="62">
        <v>44432</v>
      </c>
      <c r="B22" s="60">
        <v>3.5</v>
      </c>
      <c r="C22" s="61" t="s">
        <v>206</v>
      </c>
      <c r="D22" s="60" t="s">
        <v>95</v>
      </c>
      <c r="E22" s="60" t="s">
        <v>95</v>
      </c>
      <c r="F22" s="62">
        <v>44424</v>
      </c>
    </row>
    <row r="23" spans="1:6" ht="101.5" x14ac:dyDescent="0.35">
      <c r="A23" s="62">
        <v>44432</v>
      </c>
      <c r="B23" s="60">
        <v>3.5</v>
      </c>
      <c r="C23" s="61" t="s">
        <v>212</v>
      </c>
      <c r="D23" s="60" t="s">
        <v>95</v>
      </c>
      <c r="E23" s="60" t="s">
        <v>327</v>
      </c>
      <c r="F23" s="62">
        <v>44424</v>
      </c>
    </row>
    <row r="24" spans="1:6" ht="87" x14ac:dyDescent="0.35">
      <c r="A24" s="62">
        <v>44432</v>
      </c>
      <c r="B24" s="60">
        <v>3.5</v>
      </c>
      <c r="C24" s="61" t="s">
        <v>205</v>
      </c>
      <c r="D24" s="60" t="s">
        <v>95</v>
      </c>
      <c r="E24" s="60"/>
      <c r="F24" s="62"/>
    </row>
    <row r="25" spans="1:6" ht="43.5" x14ac:dyDescent="0.35">
      <c r="A25" s="62">
        <v>44423</v>
      </c>
      <c r="B25" s="60" t="s">
        <v>201</v>
      </c>
      <c r="C25" s="61" t="s">
        <v>202</v>
      </c>
      <c r="D25" s="60" t="s">
        <v>95</v>
      </c>
      <c r="E25" s="60" t="s">
        <v>95</v>
      </c>
      <c r="F25" s="62"/>
    </row>
    <row r="26" spans="1:6" ht="43.5" x14ac:dyDescent="0.35">
      <c r="A26" s="62">
        <v>44405</v>
      </c>
      <c r="B26" s="60" t="s">
        <v>198</v>
      </c>
      <c r="C26" s="41" t="s">
        <v>200</v>
      </c>
      <c r="D26" s="60" t="s">
        <v>95</v>
      </c>
      <c r="E26" s="60" t="s">
        <v>328</v>
      </c>
      <c r="F26" s="62">
        <v>44405</v>
      </c>
    </row>
    <row r="27" spans="1:6" ht="29" x14ac:dyDescent="0.35">
      <c r="A27" s="62">
        <v>44405</v>
      </c>
      <c r="B27" s="60" t="s">
        <v>196</v>
      </c>
      <c r="C27" s="61" t="s">
        <v>197</v>
      </c>
      <c r="D27" s="60" t="s">
        <v>95</v>
      </c>
      <c r="E27" s="60" t="s">
        <v>95</v>
      </c>
      <c r="F27" s="62">
        <v>44405</v>
      </c>
    </row>
    <row r="28" spans="1:6" ht="72.5" x14ac:dyDescent="0.35">
      <c r="A28" s="62">
        <v>44405</v>
      </c>
      <c r="B28" s="60" t="s">
        <v>183</v>
      </c>
      <c r="C28" s="61" t="s">
        <v>195</v>
      </c>
      <c r="D28" s="60" t="s">
        <v>95</v>
      </c>
      <c r="E28" s="60" t="s">
        <v>328</v>
      </c>
      <c r="F28" s="62">
        <v>44391</v>
      </c>
    </row>
    <row r="29" spans="1:6" ht="43.5" x14ac:dyDescent="0.35">
      <c r="A29" s="60" t="s">
        <v>180</v>
      </c>
      <c r="B29" s="60" t="s">
        <v>179</v>
      </c>
      <c r="C29" s="41" t="s">
        <v>181</v>
      </c>
      <c r="D29" s="60" t="s">
        <v>95</v>
      </c>
      <c r="E29" s="60" t="s">
        <v>328</v>
      </c>
      <c r="F29" s="62">
        <v>44391</v>
      </c>
    </row>
    <row r="30" spans="1:6" ht="29" x14ac:dyDescent="0.35">
      <c r="A30" s="60" t="s">
        <v>180</v>
      </c>
      <c r="B30" s="60" t="s">
        <v>179</v>
      </c>
      <c r="C30" s="41" t="s">
        <v>156</v>
      </c>
      <c r="D30" s="60" t="s">
        <v>95</v>
      </c>
      <c r="E30" s="60" t="s">
        <v>328</v>
      </c>
      <c r="F30" s="62">
        <v>44391</v>
      </c>
    </row>
    <row r="31" spans="1:6" ht="101.5" x14ac:dyDescent="0.35">
      <c r="A31" s="62">
        <v>44403</v>
      </c>
      <c r="B31" s="60" t="s">
        <v>160</v>
      </c>
      <c r="C31" s="61" t="s">
        <v>161</v>
      </c>
      <c r="D31" s="60" t="s">
        <v>95</v>
      </c>
      <c r="E31" s="60" t="s">
        <v>328</v>
      </c>
      <c r="F31" s="62">
        <v>44391</v>
      </c>
    </row>
    <row r="32" spans="1:6" ht="58" x14ac:dyDescent="0.35">
      <c r="A32" s="43">
        <v>44389</v>
      </c>
      <c r="B32" s="42" t="s">
        <v>152</v>
      </c>
      <c r="C32" s="41" t="s">
        <v>153</v>
      </c>
      <c r="D32" s="44" t="s">
        <v>95</v>
      </c>
      <c r="E32" s="44" t="s">
        <v>95</v>
      </c>
      <c r="F32" s="43">
        <v>44389</v>
      </c>
    </row>
    <row r="33" spans="1:6" ht="29" x14ac:dyDescent="0.35">
      <c r="A33" s="43">
        <v>44389</v>
      </c>
      <c r="B33" s="42" t="s">
        <v>150</v>
      </c>
      <c r="C33" s="41" t="s">
        <v>151</v>
      </c>
      <c r="D33" s="44" t="s">
        <v>95</v>
      </c>
      <c r="E33" s="44" t="s">
        <v>155</v>
      </c>
      <c r="F33" s="43">
        <v>44385</v>
      </c>
    </row>
    <row r="34" spans="1:6" ht="58" x14ac:dyDescent="0.35">
      <c r="A34" s="43">
        <v>44385</v>
      </c>
      <c r="B34" s="42" t="s">
        <v>131</v>
      </c>
      <c r="C34" s="41" t="s">
        <v>132</v>
      </c>
      <c r="D34" s="44" t="s">
        <v>95</v>
      </c>
      <c r="E34" s="44" t="s">
        <v>95</v>
      </c>
      <c r="F34" s="43">
        <f>A34</f>
        <v>44385</v>
      </c>
    </row>
    <row r="35" spans="1:6" ht="29" x14ac:dyDescent="0.35">
      <c r="A35" s="43">
        <v>44384</v>
      </c>
      <c r="B35" s="42" t="s">
        <v>124</v>
      </c>
      <c r="C35" s="41" t="s">
        <v>133</v>
      </c>
      <c r="D35" s="44" t="s">
        <v>95</v>
      </c>
      <c r="E35" s="44" t="s">
        <v>95</v>
      </c>
      <c r="F35" s="43">
        <v>44384</v>
      </c>
    </row>
    <row r="36" spans="1:6" ht="43.5" x14ac:dyDescent="0.35">
      <c r="A36" s="43">
        <v>44384</v>
      </c>
      <c r="B36" s="42" t="s">
        <v>122</v>
      </c>
      <c r="C36" s="41" t="s">
        <v>134</v>
      </c>
      <c r="D36" s="44" t="s">
        <v>95</v>
      </c>
      <c r="E36" s="44" t="s">
        <v>95</v>
      </c>
      <c r="F36" s="43">
        <v>44384</v>
      </c>
    </row>
    <row r="37" spans="1:6" ht="43.5" x14ac:dyDescent="0.35">
      <c r="A37" s="43">
        <v>44378</v>
      </c>
      <c r="B37" s="42" t="s">
        <v>119</v>
      </c>
      <c r="C37" s="41" t="s">
        <v>120</v>
      </c>
      <c r="D37" s="44" t="s">
        <v>95</v>
      </c>
      <c r="E37" s="44" t="s">
        <v>95</v>
      </c>
      <c r="F37" s="43">
        <v>44378</v>
      </c>
    </row>
    <row r="38" spans="1:6" x14ac:dyDescent="0.35">
      <c r="A38" s="43">
        <v>44377</v>
      </c>
      <c r="B38" s="42" t="s">
        <v>117</v>
      </c>
      <c r="C38" s="41" t="s">
        <v>121</v>
      </c>
      <c r="D38" s="44" t="s">
        <v>95</v>
      </c>
      <c r="E38" s="44" t="s">
        <v>95</v>
      </c>
      <c r="F38" s="43">
        <v>44377</v>
      </c>
    </row>
    <row r="39" spans="1:6" ht="72.5" x14ac:dyDescent="0.35">
      <c r="A39" s="43">
        <v>44377</v>
      </c>
      <c r="B39" s="42" t="s">
        <v>115</v>
      </c>
      <c r="C39" s="41" t="s">
        <v>116</v>
      </c>
      <c r="D39" s="44" t="s">
        <v>95</v>
      </c>
      <c r="E39" s="44" t="s">
        <v>329</v>
      </c>
      <c r="F39" s="43">
        <v>44372</v>
      </c>
    </row>
    <row r="40" spans="1:6" ht="43.5" x14ac:dyDescent="0.35">
      <c r="A40" s="43">
        <v>44377</v>
      </c>
      <c r="B40" s="42">
        <v>3.3</v>
      </c>
      <c r="C40" s="41" t="s">
        <v>113</v>
      </c>
      <c r="D40" s="44" t="s">
        <v>95</v>
      </c>
      <c r="E40" s="44" t="s">
        <v>329</v>
      </c>
      <c r="F40" s="43">
        <v>44372</v>
      </c>
    </row>
    <row r="41" spans="1:6" ht="29" x14ac:dyDescent="0.35">
      <c r="A41" s="43">
        <v>44377</v>
      </c>
      <c r="B41" s="42" t="s">
        <v>112</v>
      </c>
      <c r="C41" s="41" t="s">
        <v>104</v>
      </c>
      <c r="D41" s="44" t="s">
        <v>95</v>
      </c>
      <c r="E41" s="44" t="s">
        <v>95</v>
      </c>
      <c r="F41" s="43">
        <v>44377</v>
      </c>
    </row>
    <row r="42" spans="1:6" ht="116" x14ac:dyDescent="0.35">
      <c r="A42" s="43">
        <v>44367</v>
      </c>
      <c r="B42" s="42">
        <v>3.2</v>
      </c>
      <c r="C42" s="41" t="s">
        <v>109</v>
      </c>
      <c r="D42" s="44" t="s">
        <v>95</v>
      </c>
      <c r="E42" s="44" t="s">
        <v>95</v>
      </c>
      <c r="F42" s="43">
        <v>44367</v>
      </c>
    </row>
    <row r="43" spans="1:6" ht="29" x14ac:dyDescent="0.35">
      <c r="A43" s="43">
        <v>44331</v>
      </c>
      <c r="B43" s="42">
        <v>3.1</v>
      </c>
      <c r="C43" s="41" t="s">
        <v>108</v>
      </c>
      <c r="D43" s="44" t="s">
        <v>95</v>
      </c>
      <c r="E43" s="44" t="s">
        <v>95</v>
      </c>
      <c r="F43" s="43">
        <v>44331</v>
      </c>
    </row>
    <row r="44" spans="1:6" ht="72.5" x14ac:dyDescent="0.35">
      <c r="A44" s="43">
        <v>44319</v>
      </c>
      <c r="B44" s="42">
        <v>3</v>
      </c>
      <c r="C44" s="41" t="s">
        <v>107</v>
      </c>
      <c r="D44" s="44" t="s">
        <v>95</v>
      </c>
      <c r="E44" s="44" t="s">
        <v>330</v>
      </c>
      <c r="F44" s="43">
        <v>44315</v>
      </c>
    </row>
    <row r="45" spans="1:6" ht="29" x14ac:dyDescent="0.35">
      <c r="A45" s="43">
        <v>44307</v>
      </c>
      <c r="B45" s="42">
        <v>2</v>
      </c>
      <c r="C45" s="41" t="s">
        <v>105</v>
      </c>
      <c r="D45" s="44" t="s">
        <v>95</v>
      </c>
      <c r="E45" s="44" t="s">
        <v>155</v>
      </c>
      <c r="F45" s="43">
        <v>44294</v>
      </c>
    </row>
    <row r="46" spans="1:6" ht="29" x14ac:dyDescent="0.35">
      <c r="A46" s="43">
        <v>44293</v>
      </c>
      <c r="B46" s="45">
        <v>1</v>
      </c>
      <c r="C46" s="41" t="s">
        <v>106</v>
      </c>
      <c r="D46" s="44" t="s">
        <v>95</v>
      </c>
      <c r="E46" s="44" t="s">
        <v>330</v>
      </c>
      <c r="F46" s="43">
        <v>44291</v>
      </c>
    </row>
    <row r="47" spans="1:6" x14ac:dyDescent="0.35">
      <c r="A47" s="43">
        <v>44291</v>
      </c>
      <c r="B47" s="45">
        <v>0.5</v>
      </c>
      <c r="C47" s="41" t="s">
        <v>315</v>
      </c>
      <c r="D47" s="44" t="s">
        <v>95</v>
      </c>
      <c r="E47" s="44" t="s">
        <v>95</v>
      </c>
      <c r="F47"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368</v>
      </c>
      <c r="B2" s="1"/>
    </row>
    <row r="3" spans="1:14" ht="32.15" customHeight="1" x14ac:dyDescent="0.35">
      <c r="A3" s="261" t="s">
        <v>391</v>
      </c>
      <c r="B3" s="261"/>
      <c r="C3" s="261"/>
      <c r="D3" s="261"/>
      <c r="E3" s="261"/>
      <c r="F3" s="261"/>
      <c r="G3" s="261"/>
      <c r="H3" s="91"/>
      <c r="I3" s="91"/>
      <c r="J3" s="91"/>
      <c r="K3" s="91"/>
      <c r="N3" s="153" t="s">
        <v>296</v>
      </c>
    </row>
    <row r="4" spans="1:14" x14ac:dyDescent="0.35">
      <c r="A4" s="141" t="s">
        <v>235</v>
      </c>
      <c r="B4" s="141" t="s">
        <v>31</v>
      </c>
      <c r="C4" s="262" t="s">
        <v>32</v>
      </c>
      <c r="D4" s="263"/>
      <c r="E4" s="263"/>
      <c r="F4" s="263"/>
      <c r="G4" s="264"/>
      <c r="N4" s="178" t="s">
        <v>260</v>
      </c>
    </row>
    <row r="5" spans="1:14" x14ac:dyDescent="0.35">
      <c r="A5" s="101" t="s">
        <v>28</v>
      </c>
      <c r="B5" s="181"/>
      <c r="C5" s="265"/>
      <c r="D5" s="260"/>
      <c r="E5" s="260"/>
      <c r="F5" s="260"/>
      <c r="G5" s="260"/>
      <c r="N5" s="159"/>
    </row>
    <row r="6" spans="1:14" x14ac:dyDescent="0.35">
      <c r="A6" s="101" t="s">
        <v>29</v>
      </c>
      <c r="B6" s="181"/>
      <c r="C6" s="265"/>
      <c r="D6" s="260"/>
      <c r="E6" s="260"/>
      <c r="F6" s="260"/>
      <c r="G6" s="260"/>
      <c r="N6" s="159"/>
    </row>
    <row r="7" spans="1:14" x14ac:dyDescent="0.35">
      <c r="A7" s="101" t="s">
        <v>30</v>
      </c>
      <c r="B7" s="181"/>
      <c r="C7" s="265"/>
      <c r="D7" s="260"/>
      <c r="E7" s="260"/>
      <c r="F7" s="260"/>
      <c r="G7" s="260"/>
      <c r="N7" s="159"/>
    </row>
    <row r="8" spans="1:14" x14ac:dyDescent="0.35">
      <c r="A8" s="127" t="s">
        <v>94</v>
      </c>
      <c r="B8" s="126"/>
      <c r="C8" s="260"/>
      <c r="D8" s="260"/>
      <c r="E8" s="260"/>
      <c r="F8" s="260"/>
      <c r="G8" s="260"/>
      <c r="N8" s="159"/>
    </row>
    <row r="9" spans="1:14" x14ac:dyDescent="0.35">
      <c r="A9" s="152" t="s">
        <v>334</v>
      </c>
      <c r="B9" s="101"/>
      <c r="C9" s="266"/>
      <c r="D9" s="266"/>
      <c r="E9" s="266"/>
      <c r="F9" s="266"/>
      <c r="G9" s="266"/>
      <c r="N9" s="159"/>
    </row>
    <row r="10" spans="1:14" x14ac:dyDescent="0.35">
      <c r="A10" s="128" t="s">
        <v>97</v>
      </c>
      <c r="B10" s="128"/>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389</v>
      </c>
      <c r="C13" s="272"/>
      <c r="D13" s="273"/>
      <c r="N13" s="159"/>
    </row>
    <row r="14" spans="1:14" x14ac:dyDescent="0.35">
      <c r="B14" s="252" t="s">
        <v>384</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405</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399</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387</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5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5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5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5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5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388</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13" t="str">
        <f>IF(C$28&lt;&gt;"",SUM(C110:C115),"")</f>
        <v/>
      </c>
      <c r="D116" s="13" t="str">
        <f t="shared" ref="D116:L116" si="84">IF(D$28&lt;&gt;"",SUM(D110:D115),"")</f>
        <v/>
      </c>
      <c r="E116" s="13" t="str">
        <f t="shared" si="84"/>
        <v/>
      </c>
      <c r="F116" s="13" t="str">
        <f t="shared" si="84"/>
        <v/>
      </c>
      <c r="G116" s="13"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58" t="s">
        <v>258</v>
      </c>
      <c r="B132" s="259"/>
      <c r="C132" s="140">
        <v>0.5</v>
      </c>
      <c r="D132" s="140">
        <v>0.5</v>
      </c>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99" priority="85" operator="greaterThan">
      <formula>$H$64</formula>
    </cfRule>
  </conditionalFormatting>
  <conditionalFormatting sqref="I65">
    <cfRule type="cellIs" dxfId="98" priority="84" operator="greaterThan">
      <formula>$I$64</formula>
    </cfRule>
  </conditionalFormatting>
  <conditionalFormatting sqref="J65">
    <cfRule type="cellIs" dxfId="97" priority="83" operator="greaterThan">
      <formula>$J$64</formula>
    </cfRule>
  </conditionalFormatting>
  <conditionalFormatting sqref="K65">
    <cfRule type="cellIs" dxfId="96" priority="82" operator="greaterThan">
      <formula>$K$64</formula>
    </cfRule>
  </conditionalFormatting>
  <conditionalFormatting sqref="L65">
    <cfRule type="cellIs" dxfId="95" priority="81" operator="greaterThan">
      <formula>$L$64</formula>
    </cfRule>
  </conditionalFormatting>
  <conditionalFormatting sqref="H73">
    <cfRule type="cellIs" dxfId="94" priority="68" operator="greaterThan">
      <formula>$H$72</formula>
    </cfRule>
  </conditionalFormatting>
  <conditionalFormatting sqref="I73">
    <cfRule type="cellIs" dxfId="93" priority="67" operator="greaterThan">
      <formula>$I$72</formula>
    </cfRule>
  </conditionalFormatting>
  <conditionalFormatting sqref="J73">
    <cfRule type="cellIs" dxfId="92" priority="66" operator="greaterThan">
      <formula>$J$72</formula>
    </cfRule>
  </conditionalFormatting>
  <conditionalFormatting sqref="K73">
    <cfRule type="cellIs" dxfId="91" priority="65" operator="greaterThan">
      <formula>$K$72</formula>
    </cfRule>
  </conditionalFormatting>
  <conditionalFormatting sqref="L73">
    <cfRule type="cellIs" dxfId="90" priority="64" operator="greaterThan">
      <formula>$L$72</formula>
    </cfRule>
  </conditionalFormatting>
  <conditionalFormatting sqref="H81">
    <cfRule type="cellIs" dxfId="89" priority="58" operator="greaterThan">
      <formula>$H$80</formula>
    </cfRule>
  </conditionalFormatting>
  <conditionalFormatting sqref="I81">
    <cfRule type="cellIs" dxfId="88" priority="57" operator="greaterThan">
      <formula>$I$80</formula>
    </cfRule>
  </conditionalFormatting>
  <conditionalFormatting sqref="J81">
    <cfRule type="cellIs" dxfId="87" priority="56" operator="greaterThan">
      <formula>$J$80</formula>
    </cfRule>
  </conditionalFormatting>
  <conditionalFormatting sqref="K81">
    <cfRule type="cellIs" dxfId="86" priority="55" operator="greaterThan">
      <formula>$K$80</formula>
    </cfRule>
  </conditionalFormatting>
  <conditionalFormatting sqref="L81">
    <cfRule type="cellIs" dxfId="85" priority="54" operator="greaterThan">
      <formula>$L$80</formula>
    </cfRule>
  </conditionalFormatting>
  <conditionalFormatting sqref="C89:L89">
    <cfRule type="cellIs" dxfId="84" priority="53" operator="greaterThan">
      <formula>$C$88</formula>
    </cfRule>
  </conditionalFormatting>
  <conditionalFormatting sqref="C97">
    <cfRule type="cellIs" dxfId="83" priority="52" operator="greaterThan">
      <formula>$C$96</formula>
    </cfRule>
  </conditionalFormatting>
  <conditionalFormatting sqref="D97">
    <cfRule type="cellIs" dxfId="82" priority="51" operator="greaterThan">
      <formula>$D$96</formula>
    </cfRule>
  </conditionalFormatting>
  <conditionalFormatting sqref="E97">
    <cfRule type="cellIs" dxfId="81" priority="50" operator="greaterThan">
      <formula>$E$96</formula>
    </cfRule>
  </conditionalFormatting>
  <conditionalFormatting sqref="F97">
    <cfRule type="cellIs" dxfId="80" priority="49" operator="greaterThan">
      <formula>$F$96</formula>
    </cfRule>
  </conditionalFormatting>
  <conditionalFormatting sqref="G97">
    <cfRule type="cellIs" dxfId="79" priority="48" operator="greaterThan">
      <formula>$G$96</formula>
    </cfRule>
  </conditionalFormatting>
  <conditionalFormatting sqref="H97">
    <cfRule type="cellIs" dxfId="78" priority="47" operator="greaterThan">
      <formula>$H$96</formula>
    </cfRule>
  </conditionalFormatting>
  <conditionalFormatting sqref="I97">
    <cfRule type="cellIs" dxfId="77" priority="46" operator="greaterThan">
      <formula>$I$96</formula>
    </cfRule>
  </conditionalFormatting>
  <conditionalFormatting sqref="J97">
    <cfRule type="cellIs" dxfId="76" priority="45" operator="greaterThan">
      <formula>$J$96</formula>
    </cfRule>
  </conditionalFormatting>
  <conditionalFormatting sqref="K97">
    <cfRule type="cellIs" dxfId="75" priority="44" operator="greaterThan">
      <formula>$K$96</formula>
    </cfRule>
  </conditionalFormatting>
  <conditionalFormatting sqref="L97">
    <cfRule type="cellIs" dxfId="74" priority="43" operator="greaterThan">
      <formula>$L$96</formula>
    </cfRule>
  </conditionalFormatting>
  <conditionalFormatting sqref="C105">
    <cfRule type="cellIs" dxfId="73" priority="42" operator="greaterThan">
      <formula>$C$104</formula>
    </cfRule>
  </conditionalFormatting>
  <conditionalFormatting sqref="D105">
    <cfRule type="cellIs" dxfId="72" priority="41" operator="greaterThan">
      <formula>$D$104</formula>
    </cfRule>
  </conditionalFormatting>
  <conditionalFormatting sqref="E105">
    <cfRule type="cellIs" dxfId="71" priority="40" operator="greaterThan">
      <formula>$E$104</formula>
    </cfRule>
  </conditionalFormatting>
  <conditionalFormatting sqref="F105">
    <cfRule type="cellIs" dxfId="70" priority="39" operator="greaterThan">
      <formula>$F$104</formula>
    </cfRule>
  </conditionalFormatting>
  <conditionalFormatting sqref="G105">
    <cfRule type="cellIs" dxfId="69" priority="38" operator="greaterThan">
      <formula>$G$104</formula>
    </cfRule>
  </conditionalFormatting>
  <conditionalFormatting sqref="H105">
    <cfRule type="cellIs" dxfId="68" priority="37" operator="greaterThan">
      <formula>$H$104</formula>
    </cfRule>
  </conditionalFormatting>
  <conditionalFormatting sqref="I105">
    <cfRule type="cellIs" dxfId="67" priority="36" operator="greaterThan">
      <formula>$I$104</formula>
    </cfRule>
  </conditionalFormatting>
  <conditionalFormatting sqref="J105">
    <cfRule type="cellIs" dxfId="66" priority="35" operator="greaterThan">
      <formula>$J$104</formula>
    </cfRule>
  </conditionalFormatting>
  <conditionalFormatting sqref="K105">
    <cfRule type="cellIs" dxfId="65" priority="34" operator="greaterThan">
      <formula>$K$104</formula>
    </cfRule>
  </conditionalFormatting>
  <conditionalFormatting sqref="L105">
    <cfRule type="cellIs" dxfId="64" priority="33" operator="greaterThan">
      <formula>$L$104</formula>
    </cfRule>
  </conditionalFormatting>
  <conditionalFormatting sqref="D65">
    <cfRule type="cellIs" dxfId="63" priority="20" operator="greaterThan">
      <formula>$D$64</formula>
    </cfRule>
  </conditionalFormatting>
  <conditionalFormatting sqref="C65">
    <cfRule type="cellIs" dxfId="62" priority="18" operator="greaterThan">
      <formula>$C$64</formula>
    </cfRule>
  </conditionalFormatting>
  <conditionalFormatting sqref="E65">
    <cfRule type="cellIs" dxfId="61" priority="16" operator="greaterThan">
      <formula>$E$64</formula>
    </cfRule>
  </conditionalFormatting>
  <conditionalFormatting sqref="F65">
    <cfRule type="cellIs" dxfId="60" priority="15" operator="greaterThan">
      <formula>$F$64</formula>
    </cfRule>
  </conditionalFormatting>
  <conditionalFormatting sqref="G65">
    <cfRule type="cellIs" dxfId="59" priority="14" operator="greaterThan">
      <formula>$G$64</formula>
    </cfRule>
  </conditionalFormatting>
  <conditionalFormatting sqref="C73">
    <cfRule type="cellIs" dxfId="58" priority="10" operator="greaterThan">
      <formula>$C$72</formula>
    </cfRule>
  </conditionalFormatting>
  <conditionalFormatting sqref="D73">
    <cfRule type="cellIs" dxfId="57" priority="9" operator="greaterThan">
      <formula>$D$72</formula>
    </cfRule>
  </conditionalFormatting>
  <conditionalFormatting sqref="E73">
    <cfRule type="cellIs" dxfId="56" priority="8" operator="greaterThan">
      <formula>$E$72</formula>
    </cfRule>
  </conditionalFormatting>
  <conditionalFormatting sqref="F73">
    <cfRule type="cellIs" dxfId="55" priority="7" operator="greaterThan">
      <formula>$F$72</formula>
    </cfRule>
  </conditionalFormatting>
  <conditionalFormatting sqref="G73">
    <cfRule type="cellIs" dxfId="54" priority="6" operator="greaterThan">
      <formula>$G$72</formula>
    </cfRule>
  </conditionalFormatting>
  <conditionalFormatting sqref="C81">
    <cfRule type="cellIs" dxfId="53" priority="5" operator="greaterThan">
      <formula>$C$80</formula>
    </cfRule>
  </conditionalFormatting>
  <conditionalFormatting sqref="D81">
    <cfRule type="cellIs" dxfId="52" priority="4" operator="greaterThan">
      <formula>$D$80</formula>
    </cfRule>
  </conditionalFormatting>
  <conditionalFormatting sqref="E81">
    <cfRule type="cellIs" dxfId="51" priority="3" operator="greaterThan">
      <formula>$E$80</formula>
    </cfRule>
  </conditionalFormatting>
  <conditionalFormatting sqref="F81">
    <cfRule type="cellIs" dxfId="50" priority="2" operator="greaterThan">
      <formula>$F$80</formula>
    </cfRule>
  </conditionalFormatting>
  <conditionalFormatting sqref="G81">
    <cfRule type="cellIs" dxfId="49" priority="1" operator="greaterThan">
      <formula>$G$80</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233</v>
      </c>
      <c r="B2" s="1"/>
    </row>
    <row r="3" spans="1:14" ht="32.15" customHeight="1" x14ac:dyDescent="0.35">
      <c r="A3" s="261" t="s">
        <v>391</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179" t="str">
        <f>IF(Master!A5="","",Master!A5)</f>
        <v>Upper Basin</v>
      </c>
      <c r="B5" s="181" t="s">
        <v>331</v>
      </c>
      <c r="C5" s="265" t="s">
        <v>332</v>
      </c>
      <c r="D5" s="260"/>
      <c r="E5" s="260"/>
      <c r="F5" s="260"/>
      <c r="G5" s="260"/>
      <c r="N5" s="159"/>
    </row>
    <row r="6" spans="1:14" x14ac:dyDescent="0.35">
      <c r="A6" s="179" t="str">
        <f>IF(Master!A6="","",Master!A6)</f>
        <v>Lower Basin</v>
      </c>
      <c r="B6" s="181" t="s">
        <v>331</v>
      </c>
      <c r="C6" s="265" t="s">
        <v>332</v>
      </c>
      <c r="D6" s="260"/>
      <c r="E6" s="260"/>
      <c r="F6" s="260"/>
      <c r="G6" s="260"/>
      <c r="N6" s="159"/>
    </row>
    <row r="7" spans="1:14" x14ac:dyDescent="0.35">
      <c r="A7" s="179" t="str">
        <f>IF(Master!A7="","",Master!A7)</f>
        <v>Mexico</v>
      </c>
      <c r="B7" s="181" t="s">
        <v>331</v>
      </c>
      <c r="C7" s="265" t="s">
        <v>332</v>
      </c>
      <c r="D7" s="260"/>
      <c r="E7" s="260"/>
      <c r="F7" s="260"/>
      <c r="G7" s="260"/>
      <c r="N7" s="159"/>
    </row>
    <row r="8" spans="1:14" x14ac:dyDescent="0.35">
      <c r="A8" s="179" t="str">
        <f>IF(Master!A8="","",Master!A8)</f>
        <v>Colorado River Delta</v>
      </c>
      <c r="B8" s="181" t="s">
        <v>331</v>
      </c>
      <c r="C8" s="265" t="s">
        <v>332</v>
      </c>
      <c r="D8" s="260"/>
      <c r="E8" s="260"/>
      <c r="F8" s="260"/>
      <c r="G8" s="260"/>
      <c r="N8" s="159"/>
    </row>
    <row r="9" spans="1:14" x14ac:dyDescent="0.35">
      <c r="A9" s="179"/>
      <c r="B9" s="181" t="str">
        <f>IF($A9&lt;&gt;"",B8,"")</f>
        <v/>
      </c>
      <c r="C9" s="274" t="s">
        <v>340</v>
      </c>
      <c r="D9" s="275"/>
      <c r="E9" s="275"/>
      <c r="F9" s="275"/>
      <c r="G9" s="276"/>
      <c r="N9" s="159"/>
    </row>
    <row r="10" spans="1:14" x14ac:dyDescent="0.35">
      <c r="A10" s="182" t="s">
        <v>97</v>
      </c>
      <c r="B10" s="182"/>
      <c r="C10" s="267" t="s">
        <v>333</v>
      </c>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389</v>
      </c>
      <c r="C13" s="272"/>
      <c r="D13" s="273"/>
      <c r="N13" s="159"/>
    </row>
    <row r="14" spans="1:14" x14ac:dyDescent="0.35">
      <c r="B14" s="252" t="s">
        <v>390</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f>Master!B18</f>
        <v>5.73</v>
      </c>
      <c r="C18" s="122">
        <f>Master!C18</f>
        <v>6</v>
      </c>
      <c r="D18" s="17"/>
      <c r="N18" s="158" t="s">
        <v>264</v>
      </c>
    </row>
    <row r="19" spans="1:14" x14ac:dyDescent="0.35">
      <c r="A19" t="s">
        <v>257</v>
      </c>
      <c r="B19" s="122">
        <f>Master!B19</f>
        <v>5.94</v>
      </c>
      <c r="C19" s="122">
        <f>Master!C19</f>
        <v>7.76</v>
      </c>
      <c r="D19" s="11" t="str">
        <f>Master!D19</f>
        <v>May 17, 2022 values</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Master!B22</f>
        <v>78.099999999999994</v>
      </c>
      <c r="C22"/>
      <c r="D22" s="123"/>
      <c r="E22" s="30"/>
      <c r="N22" s="158" t="s">
        <v>266</v>
      </c>
    </row>
    <row r="23" spans="1:14" x14ac:dyDescent="0.35">
      <c r="A23" t="s">
        <v>250</v>
      </c>
      <c r="B23" s="144">
        <f>Master!B23</f>
        <v>0.17</v>
      </c>
      <c r="C23"/>
      <c r="D23" s="123"/>
      <c r="E23" s="30"/>
      <c r="N23" s="158" t="s">
        <v>268</v>
      </c>
    </row>
    <row r="24" spans="1:14" x14ac:dyDescent="0.35">
      <c r="A24" t="s">
        <v>248</v>
      </c>
      <c r="B24" s="122">
        <f>Master!B24</f>
        <v>4.2300000000000058</v>
      </c>
      <c r="C24"/>
      <c r="D24" s="123"/>
      <c r="E24" s="30"/>
      <c r="N24" s="158" t="s">
        <v>269</v>
      </c>
    </row>
    <row r="25" spans="1:14" x14ac:dyDescent="0.35">
      <c r="A25" t="s">
        <v>307</v>
      </c>
      <c r="B25" s="122">
        <f>Master!B25</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c>
      <c r="B37" s="89" t="str">
        <f>IF(A37&lt;&gt;"",0,"")</f>
        <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6.9956704980842908</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399</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c>
      <c r="B55" s="106" t="str">
        <f>IF($A$9&lt;&gt;"",2.01-IF(C31="",0.6,C31)*0.95/8.7,"")</f>
        <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4" t="str">
        <f>IF(OR(C$28="",$A61=""),"",IF(C33+C51-C43&lt;4.2,4.2-(C33+C51-C43),0))</f>
        <v/>
      </c>
      <c r="D61" s="104" t="str">
        <f>IF(OR(D$28="",$A61=""),"",IF(D33+D51-D43&lt;4.2,4.2-(D33+D51-D43),0))</f>
        <v/>
      </c>
      <c r="E61" s="104" t="str">
        <f t="shared" ref="E61:L61" si="51">IF(OR(E$28="",$A61=""),"",IF(E33+E51-E43&lt;4.2,4.2-(E33+E51-E43),0))</f>
        <v/>
      </c>
      <c r="F61" s="104" t="str">
        <f t="shared" si="51"/>
        <v/>
      </c>
      <c r="G61" s="104" t="str">
        <f t="shared" si="51"/>
        <v/>
      </c>
      <c r="H61" s="104" t="str">
        <f t="shared" si="51"/>
        <v/>
      </c>
      <c r="I61" s="104" t="str">
        <f t="shared" si="51"/>
        <v/>
      </c>
      <c r="J61" s="104" t="str">
        <f t="shared" si="51"/>
        <v/>
      </c>
      <c r="K61" s="104" t="str">
        <f t="shared" si="51"/>
        <v/>
      </c>
      <c r="L61" s="104" t="str">
        <f t="shared" si="51"/>
        <v/>
      </c>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2">IF(OR(C$28="",$A63=""),"",C$116)</f>
        <v/>
      </c>
      <c r="D63" s="48" t="str">
        <f t="shared" si="52"/>
        <v/>
      </c>
      <c r="E63" s="48" t="str">
        <f t="shared" si="52"/>
        <v/>
      </c>
      <c r="F63" s="48" t="str">
        <f t="shared" si="52"/>
        <v/>
      </c>
      <c r="G63" s="48" t="str">
        <f t="shared" si="52"/>
        <v/>
      </c>
      <c r="H63" s="48" t="str">
        <f t="shared" si="52"/>
        <v/>
      </c>
      <c r="I63" s="48" t="str">
        <f t="shared" si="52"/>
        <v/>
      </c>
      <c r="J63" s="48" t="str">
        <f t="shared" si="52"/>
        <v/>
      </c>
      <c r="K63" s="48" t="str">
        <f t="shared" si="52"/>
        <v/>
      </c>
      <c r="L63" s="48" t="str">
        <f t="shared" si="52"/>
        <v/>
      </c>
      <c r="M63" t="str">
        <f t="shared" si="52"/>
        <v/>
      </c>
      <c r="N63" s="158" t="s">
        <v>281</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58" t="s">
        <v>282</v>
      </c>
    </row>
    <row r="65" spans="1:14" x14ac:dyDescent="0.35">
      <c r="A65" s="138" t="str">
        <f>IF(A64="","","   Enter withdraw [maf] within available water")</f>
        <v xml:space="preserve">   Enter withdraw [maf] within available water</v>
      </c>
      <c r="C65" s="104" t="str">
        <f t="shared" ref="C65:D65" si="54">IF(C$28&lt;&gt;"",IF(C64&gt;4.2,4.2,MAX(C64,0)-0.01),"")</f>
        <v/>
      </c>
      <c r="D65" s="104" t="str">
        <f t="shared" si="54"/>
        <v/>
      </c>
      <c r="E65" s="104" t="str">
        <f t="shared" ref="E65" si="55">IF(E$28&lt;&gt;"",IF(E64&gt;4.2,4.2,MAX(E64,0)-0.01),"")</f>
        <v/>
      </c>
      <c r="F65" s="104" t="str">
        <f t="shared" ref="F65" si="56">IF(F$28&lt;&gt;"",IF(F64&gt;4.2,4.2,MAX(F64,0)-0.01),"")</f>
        <v/>
      </c>
      <c r="G65" s="104" t="str">
        <f t="shared" ref="G65" si="57">IF(G$28&lt;&gt;"",IF(G64&gt;4.2,4.2,MAX(G64,0)-0.01),"")</f>
        <v/>
      </c>
      <c r="H65" s="104" t="str">
        <f t="shared" ref="H65" si="58">IF(H$28&lt;&gt;"",IF(H64&gt;4.2,4.2,MAX(H64,0)-0.01),"")</f>
        <v/>
      </c>
      <c r="I65" s="104" t="str">
        <f t="shared" ref="I65" si="59">IF(I$28&lt;&gt;"",IF(I64&gt;4.2,4.2,MAX(I64,0)-0.01),"")</f>
        <v/>
      </c>
      <c r="J65" s="104" t="str">
        <f t="shared" ref="J65" si="60">IF(J$28&lt;&gt;"",IF(J64&gt;4.2,4.2,MAX(J64,0)-0.01),"")</f>
        <v/>
      </c>
      <c r="K65" s="104" t="str">
        <f t="shared" ref="K65" si="61">IF(K$28&lt;&gt;"",IF(K64&gt;4.2,4.2,MAX(K64,0)-0.01),"")</f>
        <v/>
      </c>
      <c r="L65" s="104" t="str">
        <f t="shared" ref="L65" si="62">IF(L$28&lt;&gt;"",IF(L64&gt;4.2,4.2,MAX(L64,0)-0.01),"")</f>
        <v/>
      </c>
      <c r="N65" s="158" t="s">
        <v>295</v>
      </c>
    </row>
    <row r="66" spans="1:14" x14ac:dyDescent="0.35">
      <c r="A66" s="21" t="str">
        <f>IF(A65="","","   End of Year Balance [maf]")</f>
        <v xml:space="preserve">   End of Year Balance [maf]</v>
      </c>
      <c r="C66" s="47" t="str">
        <f>IF(OR(C$28="",$A66=""),"",C64-C65)</f>
        <v/>
      </c>
      <c r="D66" s="47" t="str">
        <f t="shared" ref="D66:L66" si="63">IF(OR(D$28="",$A66=""),"",D64-D65)</f>
        <v/>
      </c>
      <c r="E66" s="47" t="str">
        <f t="shared" si="63"/>
        <v/>
      </c>
      <c r="F66" s="47" t="str">
        <f t="shared" si="63"/>
        <v/>
      </c>
      <c r="G66" s="47" t="str">
        <f t="shared" si="63"/>
        <v/>
      </c>
      <c r="H66" s="47" t="str">
        <f t="shared" si="63"/>
        <v/>
      </c>
      <c r="I66" s="47" t="str">
        <f t="shared" si="63"/>
        <v/>
      </c>
      <c r="J66" s="47" t="str">
        <f t="shared" si="63"/>
        <v/>
      </c>
      <c r="K66" s="47" t="str">
        <f t="shared" si="63"/>
        <v/>
      </c>
      <c r="L66" s="47" t="str">
        <f t="shared" si="63"/>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4" t="str">
        <f>IF(OR(C$28="",$A69=""),"",IF(C34+C52-C44&lt;C73,C73-(C34+C52-C44),0))</f>
        <v/>
      </c>
      <c r="D69" s="104" t="str">
        <f t="shared" ref="D69:L69" si="64">IF(OR(D$28="",$A69=""),"",IF(D34+D52-D44&lt;D73,D73-(D34+D52-D44),0))</f>
        <v/>
      </c>
      <c r="E69" s="104" t="str">
        <f t="shared" si="64"/>
        <v/>
      </c>
      <c r="F69" s="104" t="str">
        <f t="shared" si="64"/>
        <v/>
      </c>
      <c r="G69" s="104" t="str">
        <f t="shared" si="64"/>
        <v/>
      </c>
      <c r="H69" s="104" t="str">
        <f t="shared" si="64"/>
        <v/>
      </c>
      <c r="I69" s="104" t="str">
        <f t="shared" si="64"/>
        <v/>
      </c>
      <c r="J69" s="104" t="str">
        <f t="shared" si="64"/>
        <v/>
      </c>
      <c r="K69" s="104" t="str">
        <f t="shared" si="64"/>
        <v/>
      </c>
      <c r="L69" s="104" t="str">
        <f t="shared" si="64"/>
        <v/>
      </c>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5">IF(OR(C$28="",$A71=""),"",C$116)</f>
        <v/>
      </c>
      <c r="D71" s="48" t="str">
        <f t="shared" si="65"/>
        <v/>
      </c>
      <c r="E71" s="48" t="str">
        <f t="shared" si="65"/>
        <v/>
      </c>
      <c r="F71" s="48" t="str">
        <f t="shared" si="65"/>
        <v/>
      </c>
      <c r="G71" s="48" t="str">
        <f t="shared" si="65"/>
        <v/>
      </c>
      <c r="H71" s="48" t="str">
        <f t="shared" si="65"/>
        <v/>
      </c>
      <c r="I71" s="48" t="str">
        <f t="shared" si="65"/>
        <v/>
      </c>
      <c r="J71" s="48" t="str">
        <f t="shared" si="65"/>
        <v/>
      </c>
      <c r="K71" s="48" t="str">
        <f t="shared" si="65"/>
        <v/>
      </c>
      <c r="L71" s="48" t="str">
        <f t="shared" si="65"/>
        <v/>
      </c>
      <c r="M71" t="str">
        <f t="shared" si="65"/>
        <v/>
      </c>
      <c r="N71" s="158" t="s">
        <v>281</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58" t="s">
        <v>282</v>
      </c>
    </row>
    <row r="73" spans="1:14" x14ac:dyDescent="0.35">
      <c r="A73" s="138" t="str">
        <f>IF(A72="","",$A$65)</f>
        <v xml:space="preserve">   Enter withdraw [maf] within available water</v>
      </c>
      <c r="C73" s="104" t="str">
        <f>IF(C28&lt;&gt;"",7.5-VLOOKUP(C41,MandatoryConservation!$C$5:$P$13,14)-0.001,"")</f>
        <v/>
      </c>
      <c r="D73" s="104" t="str">
        <f>IF(D28&lt;&gt;"",7.5-VLOOKUP(D41,MandatoryConservation!$C$5:$P$13,14)-0.001,"")</f>
        <v/>
      </c>
      <c r="E73" s="104" t="str">
        <f>IF(E28&lt;&gt;"",7.5-VLOOKUP(E41,MandatoryConservation!$C$5:$P$13,14)-0.001,"")</f>
        <v/>
      </c>
      <c r="F73" s="104" t="str">
        <f>IF(F28&lt;&gt;"",7.5-VLOOKUP(F41,MandatoryConservation!$C$5:$P$13,14)-0.001,"")</f>
        <v/>
      </c>
      <c r="G73" s="104" t="str">
        <f>IF(G28&lt;&gt;"",7.5-VLOOKUP(G41,MandatoryConservation!$C$5:$P$13,14)-0.001,"")</f>
        <v/>
      </c>
      <c r="H73" s="104" t="str">
        <f>IF(H28&lt;&gt;"",7.5-VLOOKUP(H41,MandatoryConservation!$C$5:$P$13,14)-0.001,"")</f>
        <v/>
      </c>
      <c r="I73" s="104" t="str">
        <f>IF(I28&lt;&gt;"",7.5-VLOOKUP(I41,MandatoryConservation!$C$5:$P$13,14)-0.001,"")</f>
        <v/>
      </c>
      <c r="J73" s="104" t="str">
        <f>IF(J28&lt;&gt;"",7.5-VLOOKUP(J41,MandatoryConservation!$C$5:$P$13,14)-0.001,"")</f>
        <v/>
      </c>
      <c r="K73" s="104" t="str">
        <f>IF(K28&lt;&gt;"",7.5-VLOOKUP(K41,MandatoryConservation!$C$5:$P$13,14)-0.001,"")</f>
        <v/>
      </c>
      <c r="L73" s="104" t="str">
        <f>IF(L28&lt;&gt;"",7.5-VLOOKUP(L41,MandatoryConservation!$C$5:$P$13,14)-0.001,"")</f>
        <v/>
      </c>
      <c r="N73" s="158" t="s">
        <v>295</v>
      </c>
    </row>
    <row r="74" spans="1:14" x14ac:dyDescent="0.35">
      <c r="A74" s="21" t="str">
        <f>IF(A73="","","   End of Year Balance [maf]")</f>
        <v xml:space="preserve">   End of Year Balance [maf]</v>
      </c>
      <c r="C74" s="47" t="str">
        <f>IF(OR(C$28="",$A74=""),"",C72-C73)</f>
        <v/>
      </c>
      <c r="D74" s="47" t="str">
        <f t="shared" ref="D74:L74" si="67">IF(OR(D$28="",$A74=""),"",D72-D73)</f>
        <v/>
      </c>
      <c r="E74" s="47" t="str">
        <f t="shared" si="67"/>
        <v/>
      </c>
      <c r="F74" s="47" t="str">
        <f t="shared" si="67"/>
        <v/>
      </c>
      <c r="G74" s="47" t="str">
        <f t="shared" si="67"/>
        <v/>
      </c>
      <c r="H74" s="47" t="str">
        <f t="shared" si="67"/>
        <v/>
      </c>
      <c r="I74" s="47" t="str">
        <f t="shared" si="67"/>
        <v/>
      </c>
      <c r="J74" s="47" t="str">
        <f t="shared" si="67"/>
        <v/>
      </c>
      <c r="K74" s="47" t="str">
        <f t="shared" si="67"/>
        <v/>
      </c>
      <c r="L74" s="47" t="str">
        <f t="shared" si="6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8">IF(OR(C$28="",$A79=""),"",C$116)</f>
        <v/>
      </c>
      <c r="D79" s="48" t="str">
        <f t="shared" si="68"/>
        <v/>
      </c>
      <c r="E79" s="48" t="str">
        <f t="shared" si="68"/>
        <v/>
      </c>
      <c r="F79" s="48" t="str">
        <f t="shared" si="68"/>
        <v/>
      </c>
      <c r="G79" s="48" t="str">
        <f t="shared" si="68"/>
        <v/>
      </c>
      <c r="H79" s="48" t="str">
        <f t="shared" si="68"/>
        <v/>
      </c>
      <c r="I79" s="48" t="str">
        <f t="shared" si="68"/>
        <v/>
      </c>
      <c r="J79" s="48" t="str">
        <f t="shared" si="68"/>
        <v/>
      </c>
      <c r="K79" s="48" t="str">
        <f t="shared" si="68"/>
        <v/>
      </c>
      <c r="L79" s="48" t="str">
        <f t="shared" si="68"/>
        <v/>
      </c>
      <c r="M79" t="str">
        <f t="shared" si="68"/>
        <v/>
      </c>
      <c r="N79" s="158" t="s">
        <v>281</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58" t="s">
        <v>282</v>
      </c>
    </row>
    <row r="81" spans="1:14" x14ac:dyDescent="0.35">
      <c r="A81" s="138" t="str">
        <f>IF(A80="","",$A$65)</f>
        <v xml:space="preserve">   Enter withdraw [maf] within available water</v>
      </c>
      <c r="C81" s="104" t="str">
        <f>IF(C28&lt;&gt;"",MIN(C49,C80-0.001),"")</f>
        <v/>
      </c>
      <c r="D81" s="104" t="str">
        <f t="shared" ref="D81:G81" si="70">IF(D28&lt;&gt;"",MIN(D49,D80-0.001),"")</f>
        <v/>
      </c>
      <c r="E81" s="104" t="str">
        <f t="shared" si="70"/>
        <v/>
      </c>
      <c r="F81" s="104" t="str">
        <f t="shared" si="70"/>
        <v/>
      </c>
      <c r="G81" s="104" t="str">
        <f t="shared" si="7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71">IF(OR(D$28="",$A82=""),"",D80-D81)</f>
        <v/>
      </c>
      <c r="E82" s="47" t="str">
        <f t="shared" si="71"/>
        <v/>
      </c>
      <c r="F82" s="47" t="str">
        <f t="shared" si="71"/>
        <v/>
      </c>
      <c r="G82" s="47" t="str">
        <f t="shared" si="71"/>
        <v/>
      </c>
      <c r="H82" s="47" t="str">
        <f t="shared" si="71"/>
        <v/>
      </c>
      <c r="I82" s="47" t="str">
        <f t="shared" si="71"/>
        <v/>
      </c>
      <c r="J82" s="47" t="str">
        <f t="shared" si="71"/>
        <v/>
      </c>
      <c r="K82" s="47" t="str">
        <f t="shared" si="71"/>
        <v/>
      </c>
      <c r="L82" s="47" t="str">
        <f t="shared" si="7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72">IF(OR(C$28="",$A87=""),"",C$116)</f>
        <v/>
      </c>
      <c r="D87" s="48" t="str">
        <f t="shared" si="72"/>
        <v/>
      </c>
      <c r="E87" s="48" t="str">
        <f t="shared" si="72"/>
        <v/>
      </c>
      <c r="F87" s="48" t="str">
        <f t="shared" si="72"/>
        <v/>
      </c>
      <c r="G87" s="48" t="str">
        <f t="shared" si="72"/>
        <v/>
      </c>
      <c r="H87" s="48" t="str">
        <f t="shared" si="72"/>
        <v/>
      </c>
      <c r="I87" s="48" t="str">
        <f t="shared" si="72"/>
        <v/>
      </c>
      <c r="J87" s="48" t="str">
        <f t="shared" si="72"/>
        <v/>
      </c>
      <c r="K87" s="48" t="str">
        <f t="shared" si="72"/>
        <v/>
      </c>
      <c r="L87" s="48" t="str">
        <f t="shared" si="72"/>
        <v/>
      </c>
      <c r="M87" t="str">
        <f t="shared" si="72"/>
        <v/>
      </c>
      <c r="N87" s="158" t="s">
        <v>281</v>
      </c>
    </row>
    <row r="88" spans="1:14" x14ac:dyDescent="0.35">
      <c r="A88" s="1" t="str">
        <f>IF(A86="","","   Available Water [maf]")</f>
        <v xml:space="preserve">   Available Water [maf]</v>
      </c>
      <c r="C88" s="130" t="str">
        <f>IF(OR(C$28="",$A88=""),"",C36+C54-C46+C85)</f>
        <v/>
      </c>
      <c r="D88" s="130" t="str">
        <f t="shared" ref="D88:L88" si="73">IF(OR(D$28="",$A88=""),"",D36+D54-D46+D85)</f>
        <v/>
      </c>
      <c r="E88" s="130" t="str">
        <f t="shared" si="73"/>
        <v/>
      </c>
      <c r="F88" s="130" t="str">
        <f t="shared" si="73"/>
        <v/>
      </c>
      <c r="G88" s="130" t="str">
        <f t="shared" si="73"/>
        <v/>
      </c>
      <c r="H88" s="130" t="str">
        <f t="shared" si="73"/>
        <v/>
      </c>
      <c r="I88" s="130" t="str">
        <f t="shared" si="73"/>
        <v/>
      </c>
      <c r="J88" s="130" t="str">
        <f t="shared" si="73"/>
        <v/>
      </c>
      <c r="K88" s="130" t="str">
        <f t="shared" si="73"/>
        <v/>
      </c>
      <c r="L88" s="130" t="str">
        <f t="shared" si="7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74">IF(OR(D$28="",$A90=""),"",D88-D89)</f>
        <v/>
      </c>
      <c r="E90" s="47" t="str">
        <f t="shared" si="74"/>
        <v/>
      </c>
      <c r="F90" s="47" t="str">
        <f t="shared" si="74"/>
        <v/>
      </c>
      <c r="G90" s="47" t="str">
        <f t="shared" si="74"/>
        <v/>
      </c>
      <c r="H90" s="47" t="str">
        <f t="shared" si="74"/>
        <v/>
      </c>
      <c r="I90" s="47" t="str">
        <f t="shared" si="74"/>
        <v/>
      </c>
      <c r="J90" s="47" t="str">
        <f t="shared" si="74"/>
        <v/>
      </c>
      <c r="K90" s="47" t="str">
        <f t="shared" si="74"/>
        <v/>
      </c>
      <c r="L90" s="47" t="str">
        <f t="shared" si="74"/>
        <v/>
      </c>
      <c r="N90" s="158" t="s">
        <v>283</v>
      </c>
    </row>
    <row r="91" spans="1:14" x14ac:dyDescent="0.35">
      <c r="C91"/>
      <c r="N91" s="159"/>
    </row>
    <row r="92" spans="1:14" x14ac:dyDescent="0.35">
      <c r="A92" s="132" t="str">
        <f>IF(A$9="","[Unused]",A9)</f>
        <v>[Unused]</v>
      </c>
      <c r="B92" s="110"/>
      <c r="C92" s="110"/>
      <c r="D92" s="110"/>
      <c r="E92" s="110"/>
      <c r="F92" s="110"/>
      <c r="G92" s="110"/>
      <c r="H92" s="110"/>
      <c r="I92" s="110"/>
      <c r="J92" s="110"/>
      <c r="K92" s="110"/>
      <c r="L92" s="110"/>
      <c r="M92" s="111" t="s">
        <v>79</v>
      </c>
      <c r="N92" s="155" t="s">
        <v>278</v>
      </c>
    </row>
    <row r="93" spans="1:14" x14ac:dyDescent="0.35">
      <c r="A93" s="21" t="str">
        <f>IF(A92="[Unused]","",$A$61)</f>
        <v/>
      </c>
      <c r="C93" s="102"/>
      <c r="D93" s="102"/>
      <c r="E93" s="102"/>
      <c r="F93" s="102"/>
      <c r="G93" s="102"/>
      <c r="H93" s="102"/>
      <c r="I93" s="102"/>
      <c r="J93" s="102"/>
      <c r="K93" s="102"/>
      <c r="L93" s="102"/>
      <c r="M93" s="48">
        <f>SUM(C93:L93)</f>
        <v>0</v>
      </c>
      <c r="N93" s="161" t="s">
        <v>279</v>
      </c>
    </row>
    <row r="94" spans="1:14" x14ac:dyDescent="0.35">
      <c r="A94" s="21" t="str">
        <f>IF(A93="","",$A$62)</f>
        <v/>
      </c>
      <c r="C94" s="103"/>
      <c r="D94" s="103"/>
      <c r="E94" s="103"/>
      <c r="F94" s="103"/>
      <c r="G94" s="103"/>
      <c r="H94" s="103"/>
      <c r="I94" s="103"/>
      <c r="J94" s="103"/>
      <c r="K94" s="103"/>
      <c r="L94" s="103"/>
      <c r="M94" s="46">
        <f>SUM(C94:L94)</f>
        <v>0</v>
      </c>
      <c r="N94" s="162" t="s">
        <v>280</v>
      </c>
    </row>
    <row r="95" spans="1:14" x14ac:dyDescent="0.35">
      <c r="A95" s="145" t="str">
        <f>IF(A94="","",$A$63)</f>
        <v/>
      </c>
      <c r="C95" s="48" t="str">
        <f t="shared" ref="C95:M95" si="75">IF(OR(C$28="",$A95=""),"",C$116)</f>
        <v/>
      </c>
      <c r="D95" s="48" t="str">
        <f t="shared" si="75"/>
        <v/>
      </c>
      <c r="E95" s="48" t="str">
        <f t="shared" si="75"/>
        <v/>
      </c>
      <c r="F95" s="48" t="str">
        <f t="shared" si="75"/>
        <v/>
      </c>
      <c r="G95" s="48" t="str">
        <f t="shared" si="75"/>
        <v/>
      </c>
      <c r="H95" s="48" t="str">
        <f t="shared" si="75"/>
        <v/>
      </c>
      <c r="I95" s="48" t="str">
        <f t="shared" si="75"/>
        <v/>
      </c>
      <c r="J95" s="48" t="str">
        <f t="shared" si="75"/>
        <v/>
      </c>
      <c r="K95" s="48" t="str">
        <f t="shared" si="75"/>
        <v/>
      </c>
      <c r="L95" s="48" t="str">
        <f t="shared" si="75"/>
        <v/>
      </c>
      <c r="M95" t="str">
        <f t="shared" si="75"/>
        <v/>
      </c>
      <c r="N95" s="15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58" t="s">
        <v>282</v>
      </c>
    </row>
    <row r="97" spans="1:14" x14ac:dyDescent="0.35">
      <c r="A97" s="138" t="str">
        <f>IF(A96="","",$A$65)</f>
        <v/>
      </c>
      <c r="C97" s="104" t="str">
        <f>IF(OR(C$28="",$A97=""),"",C96-0.001)</f>
        <v/>
      </c>
      <c r="D97" s="104" t="str">
        <f t="shared" ref="D97:G97" si="77">IF(OR(D$28="",$A97=""),"",D96-0.001)</f>
        <v/>
      </c>
      <c r="E97" s="104" t="str">
        <f t="shared" si="77"/>
        <v/>
      </c>
      <c r="F97" s="104" t="str">
        <f t="shared" si="77"/>
        <v/>
      </c>
      <c r="G97" s="104" t="str">
        <f t="shared" si="77"/>
        <v/>
      </c>
      <c r="H97" s="104"/>
      <c r="I97" s="104"/>
      <c r="J97" s="104"/>
      <c r="K97" s="104"/>
      <c r="L97" s="104"/>
      <c r="N97" s="158" t="s">
        <v>295</v>
      </c>
    </row>
    <row r="98" spans="1:14" x14ac:dyDescent="0.35">
      <c r="A98" s="21" t="str">
        <f>IF(A97="","","   End of Year Balance [maf]")</f>
        <v/>
      </c>
      <c r="C98" s="47" t="str">
        <f>IF(OR(C$28="",$A98=""),"",C96-C97)</f>
        <v/>
      </c>
      <c r="D98" s="47" t="str">
        <f t="shared" ref="D98:L98" si="78">IF(OR(D$28="",$A98=""),"",D96-D97)</f>
        <v/>
      </c>
      <c r="E98" s="47" t="str">
        <f t="shared" si="78"/>
        <v/>
      </c>
      <c r="F98" s="47" t="str">
        <f t="shared" si="78"/>
        <v/>
      </c>
      <c r="G98" s="47" t="str">
        <f t="shared" si="78"/>
        <v/>
      </c>
      <c r="H98" s="47" t="str">
        <f t="shared" si="78"/>
        <v/>
      </c>
      <c r="I98" s="47" t="str">
        <f t="shared" si="78"/>
        <v/>
      </c>
      <c r="J98" s="47" t="str">
        <f t="shared" si="78"/>
        <v/>
      </c>
      <c r="K98" s="47" t="str">
        <f t="shared" si="78"/>
        <v/>
      </c>
      <c r="L98" s="47" t="str">
        <f t="shared" si="7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29" t="str">
        <f>IF(OR(C$28="",$A101=""),"",-C61-C69)</f>
        <v/>
      </c>
      <c r="D101" s="29" t="str">
        <f t="shared" ref="D101:L101" si="79">IF(OR(D$28="",$A101=""),"",-D61-D69)</f>
        <v/>
      </c>
      <c r="E101" s="29" t="str">
        <f t="shared" si="79"/>
        <v/>
      </c>
      <c r="F101" s="29" t="str">
        <f t="shared" si="79"/>
        <v/>
      </c>
      <c r="G101" s="29" t="str">
        <f t="shared" si="79"/>
        <v/>
      </c>
      <c r="H101" s="29" t="str">
        <f t="shared" si="79"/>
        <v/>
      </c>
      <c r="I101" s="29" t="str">
        <f t="shared" si="79"/>
        <v/>
      </c>
      <c r="J101" s="29" t="str">
        <f t="shared" si="79"/>
        <v/>
      </c>
      <c r="K101" s="29" t="str">
        <f t="shared" si="79"/>
        <v/>
      </c>
      <c r="L101" s="29" t="str">
        <f t="shared" si="79"/>
        <v/>
      </c>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80">IF(OR(C$28="",$A103=""),"",C$116)</f>
        <v/>
      </c>
      <c r="D103" s="48" t="str">
        <f t="shared" si="80"/>
        <v/>
      </c>
      <c r="E103" s="48" t="str">
        <f t="shared" si="80"/>
        <v/>
      </c>
      <c r="F103" s="48" t="str">
        <f t="shared" si="80"/>
        <v/>
      </c>
      <c r="G103" s="48" t="str">
        <f t="shared" si="80"/>
        <v/>
      </c>
      <c r="H103" s="48" t="str">
        <f t="shared" si="80"/>
        <v/>
      </c>
      <c r="I103" s="48" t="str">
        <f t="shared" si="80"/>
        <v/>
      </c>
      <c r="J103" s="48" t="str">
        <f t="shared" si="80"/>
        <v/>
      </c>
      <c r="K103" s="48" t="str">
        <f t="shared" si="80"/>
        <v/>
      </c>
      <c r="L103" s="48" t="str">
        <f t="shared" si="80"/>
        <v/>
      </c>
      <c r="M103" t="str">
        <f t="shared" si="80"/>
        <v/>
      </c>
      <c r="N103" s="15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82">IF(OR(D$28="",$A106=""),"",D104-D105)</f>
        <v/>
      </c>
      <c r="E106" s="47" t="str">
        <f t="shared" si="82"/>
        <v/>
      </c>
      <c r="F106" s="47" t="str">
        <f t="shared" si="82"/>
        <v/>
      </c>
      <c r="G106" s="47" t="str">
        <f t="shared" si="82"/>
        <v/>
      </c>
      <c r="H106" s="47" t="str">
        <f t="shared" si="82"/>
        <v/>
      </c>
      <c r="I106" s="47" t="str">
        <f t="shared" si="82"/>
        <v/>
      </c>
      <c r="J106" s="47" t="str">
        <f t="shared" si="82"/>
        <v/>
      </c>
      <c r="K106" s="47" t="str">
        <f t="shared" si="82"/>
        <v/>
      </c>
      <c r="L106" s="47" t="str">
        <f t="shared" si="82"/>
        <v/>
      </c>
      <c r="N106" s="159"/>
    </row>
    <row r="107" spans="1:14" x14ac:dyDescent="0.35">
      <c r="C107"/>
      <c r="N107" s="159"/>
    </row>
    <row r="108" spans="1:14" x14ac:dyDescent="0.35">
      <c r="A108" s="112" t="s">
        <v>388</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83">IF(A5="","","    "&amp;A5)</f>
        <v xml:space="preserve">    Upper Basin</v>
      </c>
      <c r="B110" s="1"/>
      <c r="C110" s="48" t="str">
        <f t="shared" ref="C110:L115" ca="1" si="84">IF(OR(C$28="",$A110=""),"",OFFSET(C$61,8*(ROW(B110)-ROW(B$110)),0))</f>
        <v/>
      </c>
      <c r="D110" s="48" t="str">
        <f t="shared" ca="1" si="84"/>
        <v/>
      </c>
      <c r="E110" s="48" t="str">
        <f t="shared" ca="1" si="84"/>
        <v/>
      </c>
      <c r="F110" s="48" t="str">
        <f t="shared" ca="1" si="84"/>
        <v/>
      </c>
      <c r="G110" s="48" t="str">
        <f t="shared" ca="1" si="84"/>
        <v/>
      </c>
      <c r="H110" s="48" t="str">
        <f t="shared" ca="1" si="84"/>
        <v/>
      </c>
      <c r="I110" s="48" t="str">
        <f t="shared" ca="1" si="84"/>
        <v/>
      </c>
      <c r="J110" s="48" t="str">
        <f t="shared" ca="1" si="84"/>
        <v/>
      </c>
      <c r="K110" s="48" t="str">
        <f t="shared" ca="1" si="84"/>
        <v/>
      </c>
      <c r="L110" s="149" t="str">
        <f t="shared" ca="1" si="84"/>
        <v/>
      </c>
      <c r="M110" s="150">
        <f ca="1">IF(OR($A110=""),"",SUM(C110:L110))</f>
        <v>0</v>
      </c>
      <c r="N110" s="163"/>
    </row>
    <row r="111" spans="1:14" x14ac:dyDescent="0.35">
      <c r="A111" t="str">
        <f t="shared" si="83"/>
        <v xml:space="preserve">    Lower Basin</v>
      </c>
      <c r="B111" s="1"/>
      <c r="C111" s="48" t="str">
        <f t="shared" ca="1" si="84"/>
        <v/>
      </c>
      <c r="D111" s="48" t="str">
        <f t="shared" ca="1" si="84"/>
        <v/>
      </c>
      <c r="E111" s="48" t="str">
        <f t="shared" ca="1" si="84"/>
        <v/>
      </c>
      <c r="F111" s="48" t="str">
        <f t="shared" ca="1" si="84"/>
        <v/>
      </c>
      <c r="G111" s="48" t="str">
        <f t="shared" ca="1" si="84"/>
        <v/>
      </c>
      <c r="H111" s="48" t="str">
        <f t="shared" ca="1" si="84"/>
        <v/>
      </c>
      <c r="I111" s="48" t="str">
        <f t="shared" ca="1" si="84"/>
        <v/>
      </c>
      <c r="J111" s="48" t="str">
        <f t="shared" ca="1" si="84"/>
        <v/>
      </c>
      <c r="K111" s="48" t="str">
        <f t="shared" ca="1" si="84"/>
        <v/>
      </c>
      <c r="L111" s="149" t="str">
        <f t="shared" ca="1" si="84"/>
        <v/>
      </c>
      <c r="M111" s="150">
        <f t="shared" ref="M111:M115" ca="1" si="85">IF(OR($A111=""),"",SUM(C111:L111))</f>
        <v>0</v>
      </c>
      <c r="N111" s="163"/>
    </row>
    <row r="112" spans="1:14" x14ac:dyDescent="0.35">
      <c r="A112" t="str">
        <f t="shared" si="83"/>
        <v xml:space="preserve">    Mexico</v>
      </c>
      <c r="B112" s="1"/>
      <c r="C112" s="48" t="str">
        <f t="shared" ca="1" si="84"/>
        <v/>
      </c>
      <c r="D112" s="48" t="str">
        <f t="shared" ca="1" si="84"/>
        <v/>
      </c>
      <c r="E112" s="48" t="str">
        <f t="shared" ca="1" si="84"/>
        <v/>
      </c>
      <c r="F112" s="48" t="str">
        <f t="shared" ca="1" si="84"/>
        <v/>
      </c>
      <c r="G112" s="48" t="str">
        <f t="shared" ca="1" si="84"/>
        <v/>
      </c>
      <c r="H112" s="48" t="str">
        <f t="shared" ca="1" si="84"/>
        <v/>
      </c>
      <c r="I112" s="48" t="str">
        <f t="shared" ca="1" si="84"/>
        <v/>
      </c>
      <c r="J112" s="48" t="str">
        <f t="shared" ca="1" si="84"/>
        <v/>
      </c>
      <c r="K112" s="48" t="str">
        <f t="shared" ca="1" si="84"/>
        <v/>
      </c>
      <c r="L112" s="149" t="str">
        <f t="shared" ca="1" si="84"/>
        <v/>
      </c>
      <c r="M112" s="150">
        <f t="shared" ca="1" si="85"/>
        <v>0</v>
      </c>
      <c r="N112" s="163"/>
    </row>
    <row r="113" spans="1:14" x14ac:dyDescent="0.35">
      <c r="A113" t="str">
        <f t="shared" si="83"/>
        <v xml:space="preserve">    Colorado River Delta</v>
      </c>
      <c r="B113" s="1"/>
      <c r="C113" s="48" t="str">
        <f t="shared" ca="1" si="84"/>
        <v/>
      </c>
      <c r="D113" s="48" t="str">
        <f t="shared" ca="1" si="84"/>
        <v/>
      </c>
      <c r="E113" s="48" t="str">
        <f t="shared" ca="1" si="84"/>
        <v/>
      </c>
      <c r="F113" s="48" t="str">
        <f t="shared" ca="1" si="84"/>
        <v/>
      </c>
      <c r="G113" s="48" t="str">
        <f t="shared" ca="1" si="84"/>
        <v/>
      </c>
      <c r="H113" s="48" t="str">
        <f t="shared" ca="1" si="84"/>
        <v/>
      </c>
      <c r="I113" s="48" t="str">
        <f t="shared" ca="1" si="84"/>
        <v/>
      </c>
      <c r="J113" s="48" t="str">
        <f t="shared" ca="1" si="84"/>
        <v/>
      </c>
      <c r="K113" s="48" t="str">
        <f t="shared" ca="1" si="84"/>
        <v/>
      </c>
      <c r="L113" s="149" t="str">
        <f t="shared" ca="1" si="84"/>
        <v/>
      </c>
      <c r="M113" s="150">
        <f t="shared" ca="1" si="85"/>
        <v>0</v>
      </c>
      <c r="N113" s="163"/>
    </row>
    <row r="114" spans="1:14" x14ac:dyDescent="0.35">
      <c r="A114" t="str">
        <f t="shared" si="83"/>
        <v/>
      </c>
      <c r="B114" s="1"/>
      <c r="C114" s="48" t="str">
        <f t="shared" ca="1" si="84"/>
        <v/>
      </c>
      <c r="D114" s="48" t="str">
        <f t="shared" ca="1" si="84"/>
        <v/>
      </c>
      <c r="E114" s="48" t="str">
        <f t="shared" ca="1" si="84"/>
        <v/>
      </c>
      <c r="F114" s="48" t="str">
        <f t="shared" ca="1" si="84"/>
        <v/>
      </c>
      <c r="G114" s="48" t="str">
        <f t="shared" ca="1" si="84"/>
        <v/>
      </c>
      <c r="H114" s="48" t="str">
        <f t="shared" ca="1" si="84"/>
        <v/>
      </c>
      <c r="I114" s="48" t="str">
        <f t="shared" ca="1" si="84"/>
        <v/>
      </c>
      <c r="J114" s="48" t="str">
        <f t="shared" ca="1" si="84"/>
        <v/>
      </c>
      <c r="K114" s="48" t="str">
        <f t="shared" ca="1" si="84"/>
        <v/>
      </c>
      <c r="L114" s="149" t="str">
        <f t="shared" ca="1" si="84"/>
        <v/>
      </c>
      <c r="M114" s="150" t="str">
        <f t="shared" si="85"/>
        <v/>
      </c>
      <c r="N114" s="163"/>
    </row>
    <row r="115" spans="1:14" x14ac:dyDescent="0.35">
      <c r="A115" t="str">
        <f t="shared" si="83"/>
        <v xml:space="preserve">    Shared, Reserve</v>
      </c>
      <c r="B115" s="1"/>
      <c r="C115" s="48" t="str">
        <f t="shared" ca="1" si="84"/>
        <v/>
      </c>
      <c r="D115" s="48" t="str">
        <f t="shared" ca="1" si="84"/>
        <v/>
      </c>
      <c r="E115" s="48" t="str">
        <f t="shared" ca="1" si="84"/>
        <v/>
      </c>
      <c r="F115" s="48" t="str">
        <f t="shared" ca="1" si="84"/>
        <v/>
      </c>
      <c r="G115" s="48" t="str">
        <f t="shared" ca="1" si="84"/>
        <v/>
      </c>
      <c r="H115" s="48" t="str">
        <f t="shared" ca="1" si="84"/>
        <v/>
      </c>
      <c r="I115" s="48" t="str">
        <f t="shared" ca="1" si="84"/>
        <v/>
      </c>
      <c r="J115" s="48" t="str">
        <f t="shared" ca="1" si="84"/>
        <v/>
      </c>
      <c r="K115" s="48" t="str">
        <f t="shared" ca="1" si="84"/>
        <v/>
      </c>
      <c r="L115" s="149" t="str">
        <f t="shared" ca="1" si="84"/>
        <v/>
      </c>
      <c r="M115" s="150">
        <f t="shared" ca="1" si="85"/>
        <v>0</v>
      </c>
      <c r="N115" s="163"/>
    </row>
    <row r="116" spans="1:14" x14ac:dyDescent="0.35">
      <c r="A116" t="s">
        <v>93</v>
      </c>
      <c r="B116" s="1"/>
      <c r="C116" s="35" t="str">
        <f>IF(C$28&lt;&gt;"",SUM(C110:C115),"")</f>
        <v/>
      </c>
      <c r="D116" s="35" t="str">
        <f t="shared" ref="D116:L116" si="86">IF(D$28&lt;&gt;"",SUM(D110:D115),"")</f>
        <v/>
      </c>
      <c r="E116" s="92" t="str">
        <f t="shared" si="86"/>
        <v/>
      </c>
      <c r="F116" s="35" t="str">
        <f t="shared" si="86"/>
        <v/>
      </c>
      <c r="G116" s="35" t="str">
        <f t="shared" si="86"/>
        <v/>
      </c>
      <c r="H116" s="35" t="str">
        <f t="shared" si="86"/>
        <v/>
      </c>
      <c r="I116" s="35" t="str">
        <f t="shared" si="86"/>
        <v/>
      </c>
      <c r="J116" s="35" t="str">
        <f t="shared" si="86"/>
        <v/>
      </c>
      <c r="K116" s="35" t="str">
        <f t="shared" si="86"/>
        <v/>
      </c>
      <c r="L116" s="35" t="str">
        <f t="shared" si="86"/>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87">IF(OR(C$28="",$A118=""),"",OFFSET(C$65,8*(ROW(B118)-ROW(B$118)),0))</f>
        <v/>
      </c>
      <c r="D118" s="48" t="str">
        <f t="shared" ca="1" si="87"/>
        <v/>
      </c>
      <c r="E118" s="48" t="str">
        <f t="shared" ca="1" si="87"/>
        <v/>
      </c>
      <c r="F118" s="48" t="str">
        <f t="shared" ca="1" si="87"/>
        <v/>
      </c>
      <c r="G118" s="48" t="str">
        <f t="shared" ca="1" si="87"/>
        <v/>
      </c>
      <c r="H118" s="48" t="str">
        <f t="shared" ca="1" si="87"/>
        <v/>
      </c>
      <c r="I118" s="48" t="str">
        <f t="shared" ca="1" si="87"/>
        <v/>
      </c>
      <c r="J118" s="48" t="str">
        <f t="shared" ca="1" si="87"/>
        <v/>
      </c>
      <c r="K118" s="48" t="str">
        <f t="shared" ca="1" si="87"/>
        <v/>
      </c>
      <c r="L118" s="48" t="str">
        <f t="shared" ca="1" si="87"/>
        <v/>
      </c>
      <c r="N118" s="159"/>
    </row>
    <row r="119" spans="1:14" x14ac:dyDescent="0.35">
      <c r="A119" t="str">
        <f>IF(A6="","","    "&amp;A6&amp;" - Release from Mead")</f>
        <v xml:space="preserve">    Lower Basin - Release from Mead</v>
      </c>
      <c r="C119" s="48" t="str">
        <f t="shared" ca="1" si="87"/>
        <v/>
      </c>
      <c r="D119" s="48" t="str">
        <f t="shared" ca="1" si="87"/>
        <v/>
      </c>
      <c r="E119" s="48" t="str">
        <f t="shared" ca="1" si="87"/>
        <v/>
      </c>
      <c r="F119" s="48" t="str">
        <f t="shared" ca="1" si="87"/>
        <v/>
      </c>
      <c r="G119" s="48" t="str">
        <f t="shared" ca="1" si="87"/>
        <v/>
      </c>
      <c r="H119" s="48" t="str">
        <f t="shared" ca="1" si="87"/>
        <v/>
      </c>
      <c r="I119" s="48" t="str">
        <f t="shared" ca="1" si="87"/>
        <v/>
      </c>
      <c r="J119" s="48" t="str">
        <f t="shared" ca="1" si="87"/>
        <v/>
      </c>
      <c r="K119" s="48" t="str">
        <f t="shared" ca="1" si="87"/>
        <v/>
      </c>
      <c r="L119" s="48" t="str">
        <f t="shared" ca="1" si="87"/>
        <v/>
      </c>
      <c r="N119" s="159"/>
    </row>
    <row r="120" spans="1:14" x14ac:dyDescent="0.35">
      <c r="A120" t="str">
        <f>IF(A7="","","    "&amp;A7&amp;" - Release from Mead")</f>
        <v xml:space="preserve">    Mexico - Release from Mead</v>
      </c>
      <c r="C120" s="48" t="str">
        <f t="shared" ca="1" si="87"/>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ca="1" si="87"/>
        <v/>
      </c>
      <c r="D121" s="48" t="str">
        <f t="shared" ca="1" si="87"/>
        <v/>
      </c>
      <c r="E121" s="48" t="str">
        <f t="shared" ca="1" si="87"/>
        <v/>
      </c>
      <c r="F121" s="48" t="str">
        <f t="shared" ca="1" si="87"/>
        <v/>
      </c>
      <c r="G121" s="48" t="str">
        <f t="shared" ca="1" si="87"/>
        <v/>
      </c>
      <c r="H121" s="48" t="str">
        <f t="shared" ca="1" si="87"/>
        <v/>
      </c>
      <c r="I121" s="48" t="str">
        <f t="shared" ca="1" si="87"/>
        <v/>
      </c>
      <c r="J121" s="48" t="str">
        <f t="shared" ca="1" si="87"/>
        <v/>
      </c>
      <c r="K121" s="48" t="str">
        <f t="shared" ca="1" si="87"/>
        <v/>
      </c>
      <c r="L121" s="48" t="str">
        <f t="shared" ca="1" si="87"/>
        <v/>
      </c>
      <c r="N121" s="159"/>
    </row>
    <row r="122" spans="1:14" x14ac:dyDescent="0.35">
      <c r="A122" t="str">
        <f>IF(A9="","","    "&amp;A9&amp;" - Release from Mead")</f>
        <v/>
      </c>
      <c r="C122" s="48" t="str">
        <f t="shared" ca="1" si="87"/>
        <v/>
      </c>
      <c r="D122" s="48" t="str">
        <f t="shared" ca="1" si="87"/>
        <v/>
      </c>
      <c r="E122" s="48" t="str">
        <f t="shared" ca="1" si="87"/>
        <v/>
      </c>
      <c r="F122" s="48" t="str">
        <f t="shared" ca="1" si="87"/>
        <v/>
      </c>
      <c r="G122" s="48" t="str">
        <f t="shared" ca="1" si="87"/>
        <v/>
      </c>
      <c r="H122" s="48" t="str">
        <f t="shared" ca="1" si="87"/>
        <v/>
      </c>
      <c r="I122" s="48" t="str">
        <f t="shared" ca="1" si="87"/>
        <v/>
      </c>
      <c r="J122" s="48" t="str">
        <f t="shared" ca="1" si="87"/>
        <v/>
      </c>
      <c r="K122" s="48" t="str">
        <f t="shared" ca="1" si="87"/>
        <v/>
      </c>
      <c r="L122" s="48" t="str">
        <f t="shared" ca="1" si="87"/>
        <v/>
      </c>
      <c r="N122" s="159"/>
    </row>
    <row r="123" spans="1:14" x14ac:dyDescent="0.35">
      <c r="A123" t="str">
        <f>IF(A10="","","    "&amp;A10&amp;" - Release from Mead")</f>
        <v xml:space="preserve">    Shared, Reserve - Release from Mead</v>
      </c>
      <c r="C123" s="48" t="str">
        <f t="shared" ca="1" si="87"/>
        <v/>
      </c>
      <c r="D123" s="48" t="str">
        <f t="shared" ca="1" si="87"/>
        <v/>
      </c>
      <c r="E123" s="48" t="str">
        <f t="shared" ca="1" si="87"/>
        <v/>
      </c>
      <c r="F123" s="48" t="str">
        <f t="shared" ca="1" si="87"/>
        <v/>
      </c>
      <c r="G123" s="48" t="str">
        <f t="shared" ca="1" si="87"/>
        <v/>
      </c>
      <c r="H123" s="48" t="str">
        <f t="shared" ca="1" si="87"/>
        <v/>
      </c>
      <c r="I123" s="48" t="str">
        <f t="shared" ca="1" si="87"/>
        <v/>
      </c>
      <c r="J123" s="48" t="str">
        <f t="shared" ca="1" si="87"/>
        <v/>
      </c>
      <c r="K123" s="48" t="str">
        <f t="shared" ca="1" si="87"/>
        <v/>
      </c>
      <c r="L123" s="48" t="str">
        <f t="shared" ca="1" si="87"/>
        <v/>
      </c>
      <c r="N123" s="159"/>
    </row>
    <row r="124" spans="1:14" x14ac:dyDescent="0.35">
      <c r="A124" s="1" t="s">
        <v>90</v>
      </c>
      <c r="B124" s="1"/>
      <c r="D124" s="2"/>
      <c r="E124" s="2"/>
      <c r="F124" s="2"/>
      <c r="G124" s="2"/>
      <c r="H124" s="2"/>
      <c r="I124" s="2"/>
      <c r="J124" s="2"/>
      <c r="K124" s="2"/>
      <c r="L124" s="2"/>
      <c r="N124" s="159"/>
    </row>
    <row r="125" spans="1:14" x14ac:dyDescent="0.35">
      <c r="A125" t="str">
        <f t="shared" ref="A125:A130" si="88">IF(A5="","","    "&amp;A5)</f>
        <v xml:space="preserve">    Upper Basin</v>
      </c>
      <c r="C125" s="48" t="str">
        <f t="shared" ref="C125:L130" ca="1" si="89">IF(OR(C$28="",$A125=""),"",OFFSET(C$66,8*(ROW(B125)-ROW(B$125)),0))</f>
        <v/>
      </c>
      <c r="D125" s="48" t="str">
        <f t="shared" ca="1" si="89"/>
        <v/>
      </c>
      <c r="E125" s="48" t="str">
        <f t="shared" ca="1" si="89"/>
        <v/>
      </c>
      <c r="F125" s="48" t="str">
        <f t="shared" ca="1" si="89"/>
        <v/>
      </c>
      <c r="G125" s="48" t="str">
        <f t="shared" ca="1" si="89"/>
        <v/>
      </c>
      <c r="H125" s="48" t="str">
        <f t="shared" ca="1" si="89"/>
        <v/>
      </c>
      <c r="I125" s="48" t="str">
        <f t="shared" ca="1" si="89"/>
        <v/>
      </c>
      <c r="J125" s="48" t="str">
        <f t="shared" ca="1" si="89"/>
        <v/>
      </c>
      <c r="K125" s="48" t="str">
        <f t="shared" ca="1" si="89"/>
        <v/>
      </c>
      <c r="L125" s="48" t="str">
        <f t="shared" ca="1" si="89"/>
        <v/>
      </c>
      <c r="N125" s="159"/>
    </row>
    <row r="126" spans="1:14" x14ac:dyDescent="0.35">
      <c r="A126" t="str">
        <f t="shared" si="88"/>
        <v xml:space="preserve">    Lower Basin</v>
      </c>
      <c r="C126" s="48" t="str">
        <f t="shared" ca="1" si="89"/>
        <v/>
      </c>
      <c r="D126" s="48" t="str">
        <f t="shared" ca="1" si="89"/>
        <v/>
      </c>
      <c r="E126" s="48" t="str">
        <f t="shared" ca="1" si="89"/>
        <v/>
      </c>
      <c r="F126" s="48" t="str">
        <f t="shared" ca="1" si="89"/>
        <v/>
      </c>
      <c r="G126" s="48" t="str">
        <f t="shared" ca="1" si="89"/>
        <v/>
      </c>
      <c r="H126" s="48" t="str">
        <f t="shared" ca="1" si="89"/>
        <v/>
      </c>
      <c r="I126" s="48" t="str">
        <f t="shared" ca="1" si="89"/>
        <v/>
      </c>
      <c r="J126" s="48" t="str">
        <f t="shared" ca="1" si="89"/>
        <v/>
      </c>
      <c r="K126" s="48" t="str">
        <f t="shared" ca="1" si="89"/>
        <v/>
      </c>
      <c r="L126" s="48" t="str">
        <f t="shared" ca="1" si="89"/>
        <v/>
      </c>
      <c r="N126" s="159"/>
    </row>
    <row r="127" spans="1:14" x14ac:dyDescent="0.35">
      <c r="A127" t="str">
        <f t="shared" si="88"/>
        <v xml:space="preserve">    Mexico</v>
      </c>
      <c r="C127" s="48" t="str">
        <f t="shared" ca="1" si="89"/>
        <v/>
      </c>
      <c r="D127" s="48" t="str">
        <f t="shared" ca="1" si="89"/>
        <v/>
      </c>
      <c r="E127" s="48" t="str">
        <f t="shared" ca="1" si="89"/>
        <v/>
      </c>
      <c r="F127" s="48" t="str">
        <f t="shared" ca="1" si="89"/>
        <v/>
      </c>
      <c r="G127" s="48" t="str">
        <f t="shared" ca="1" si="89"/>
        <v/>
      </c>
      <c r="H127" s="48" t="str">
        <f t="shared" ca="1" si="89"/>
        <v/>
      </c>
      <c r="I127" s="48" t="str">
        <f t="shared" ca="1" si="89"/>
        <v/>
      </c>
      <c r="J127" s="48" t="str">
        <f t="shared" ca="1" si="89"/>
        <v/>
      </c>
      <c r="K127" s="48" t="str">
        <f t="shared" ca="1" si="89"/>
        <v/>
      </c>
      <c r="L127" s="48" t="str">
        <f t="shared" ca="1" si="89"/>
        <v/>
      </c>
      <c r="N127" s="159"/>
    </row>
    <row r="128" spans="1:14" x14ac:dyDescent="0.35">
      <c r="A128" t="str">
        <f t="shared" si="88"/>
        <v xml:space="preserve">    Colorado River Delta</v>
      </c>
      <c r="C128" s="48" t="str">
        <f t="shared" ca="1" si="89"/>
        <v/>
      </c>
      <c r="D128" s="48" t="str">
        <f t="shared" ca="1" si="89"/>
        <v/>
      </c>
      <c r="E128" s="48" t="str">
        <f t="shared" ca="1" si="89"/>
        <v/>
      </c>
      <c r="F128" s="48" t="str">
        <f t="shared" ca="1" si="89"/>
        <v/>
      </c>
      <c r="G128" s="48" t="str">
        <f t="shared" ca="1" si="89"/>
        <v/>
      </c>
      <c r="H128" s="48" t="str">
        <f t="shared" ca="1" si="89"/>
        <v/>
      </c>
      <c r="I128" s="48" t="str">
        <f t="shared" ca="1" si="89"/>
        <v/>
      </c>
      <c r="J128" s="48" t="str">
        <f t="shared" ca="1" si="89"/>
        <v/>
      </c>
      <c r="K128" s="48" t="str">
        <f t="shared" ca="1" si="89"/>
        <v/>
      </c>
      <c r="L128" s="48" t="str">
        <f t="shared" ca="1" si="89"/>
        <v/>
      </c>
      <c r="N128" s="159"/>
    </row>
    <row r="129" spans="1:14" x14ac:dyDescent="0.35">
      <c r="A129" t="str">
        <f t="shared" si="88"/>
        <v/>
      </c>
      <c r="C129" s="48" t="str">
        <f t="shared" ca="1" si="89"/>
        <v/>
      </c>
      <c r="D129" s="48" t="str">
        <f t="shared" ca="1" si="89"/>
        <v/>
      </c>
      <c r="E129" s="48" t="str">
        <f t="shared" ca="1" si="89"/>
        <v/>
      </c>
      <c r="F129" s="48" t="str">
        <f t="shared" ca="1" si="89"/>
        <v/>
      </c>
      <c r="G129" s="48" t="str">
        <f t="shared" ca="1" si="89"/>
        <v/>
      </c>
      <c r="H129" s="48" t="str">
        <f t="shared" ca="1" si="89"/>
        <v/>
      </c>
      <c r="I129" s="48" t="str">
        <f t="shared" ca="1" si="89"/>
        <v/>
      </c>
      <c r="J129" s="48" t="str">
        <f t="shared" ca="1" si="89"/>
        <v/>
      </c>
      <c r="K129" s="48" t="str">
        <f t="shared" ca="1" si="89"/>
        <v/>
      </c>
      <c r="L129" s="48" t="str">
        <f t="shared" ca="1" si="89"/>
        <v/>
      </c>
      <c r="N129" s="159"/>
    </row>
    <row r="130" spans="1:14" x14ac:dyDescent="0.35">
      <c r="A130" t="str">
        <f t="shared" si="88"/>
        <v xml:space="preserve">    Shared, Reserve</v>
      </c>
      <c r="C130" s="48" t="str">
        <f t="shared" ca="1" si="89"/>
        <v/>
      </c>
      <c r="D130" s="48" t="str">
        <f t="shared" ca="1" si="89"/>
        <v/>
      </c>
      <c r="E130" s="48" t="str">
        <f t="shared" ca="1" si="89"/>
        <v/>
      </c>
      <c r="F130" s="48" t="str">
        <f t="shared" ca="1" si="89"/>
        <v/>
      </c>
      <c r="G130" s="48" t="str">
        <f t="shared" ca="1" si="89"/>
        <v/>
      </c>
      <c r="H130" s="48" t="str">
        <f t="shared" ca="1" si="89"/>
        <v/>
      </c>
      <c r="I130" s="48" t="str">
        <f t="shared" ca="1" si="89"/>
        <v/>
      </c>
      <c r="J130" s="48" t="str">
        <f t="shared" ca="1" si="89"/>
        <v/>
      </c>
      <c r="K130" s="48" t="str">
        <f t="shared" ca="1" si="89"/>
        <v/>
      </c>
      <c r="L130" s="48" t="str">
        <f t="shared" ca="1" si="89"/>
        <v/>
      </c>
      <c r="N130" s="159"/>
    </row>
    <row r="131" spans="1:14" x14ac:dyDescent="0.35">
      <c r="A131" s="1" t="s">
        <v>220</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58" t="s">
        <v>285</v>
      </c>
    </row>
    <row r="132" spans="1:14" ht="29.5" customHeight="1" x14ac:dyDescent="0.35">
      <c r="A132" s="258" t="s">
        <v>258</v>
      </c>
      <c r="B132" s="259"/>
      <c r="C132" s="140">
        <v>0.5</v>
      </c>
      <c r="D132" s="140">
        <v>0.5</v>
      </c>
      <c r="E132" s="140">
        <v>0.5</v>
      </c>
      <c r="F132" s="140"/>
      <c r="G132" s="140"/>
      <c r="H132" s="140"/>
      <c r="I132" s="140"/>
      <c r="J132" s="140"/>
      <c r="K132" s="140"/>
      <c r="L132" s="140"/>
      <c r="N132" s="155" t="s">
        <v>286</v>
      </c>
    </row>
    <row r="133" spans="1:14" x14ac:dyDescent="0.35">
      <c r="A133" s="1" t="s">
        <v>228</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58" t="s">
        <v>297</v>
      </c>
    </row>
    <row r="134" spans="1:14" x14ac:dyDescent="0.35">
      <c r="A134" s="1" t="s">
        <v>229</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81">
    <cfRule type="cellIs" dxfId="37" priority="60" operator="greaterThan">
      <formula>$H$80</formula>
    </cfRule>
  </conditionalFormatting>
  <conditionalFormatting sqref="I81">
    <cfRule type="cellIs" dxfId="36" priority="59" operator="greaterThan">
      <formula>$I$80</formula>
    </cfRule>
  </conditionalFormatting>
  <conditionalFormatting sqref="J81">
    <cfRule type="cellIs" dxfId="35" priority="58" operator="greaterThan">
      <formula>$J$80</formula>
    </cfRule>
  </conditionalFormatting>
  <conditionalFormatting sqref="K81">
    <cfRule type="cellIs" dxfId="34" priority="57" operator="greaterThan">
      <formula>$K$80</formula>
    </cfRule>
  </conditionalFormatting>
  <conditionalFormatting sqref="L81">
    <cfRule type="cellIs" dxfId="33" priority="56" operator="greaterThan">
      <formula>$L$80</formula>
    </cfRule>
  </conditionalFormatting>
  <conditionalFormatting sqref="C89:L89">
    <cfRule type="cellIs" dxfId="32" priority="55" operator="greaterThan">
      <formula>$C$88</formula>
    </cfRule>
  </conditionalFormatting>
  <conditionalFormatting sqref="H97">
    <cfRule type="cellIs" dxfId="31" priority="49" operator="greaterThan">
      <formula>$H$96</formula>
    </cfRule>
  </conditionalFormatting>
  <conditionalFormatting sqref="I97">
    <cfRule type="cellIs" dxfId="30" priority="48" operator="greaterThan">
      <formula>$I$96</formula>
    </cfRule>
  </conditionalFormatting>
  <conditionalFormatting sqref="J97">
    <cfRule type="cellIs" dxfId="29" priority="47" operator="greaterThan">
      <formula>$J$96</formula>
    </cfRule>
  </conditionalFormatting>
  <conditionalFormatting sqref="K97">
    <cfRule type="cellIs" dxfId="28" priority="46" operator="greaterThan">
      <formula>$K$96</formula>
    </cfRule>
  </conditionalFormatting>
  <conditionalFormatting sqref="L97">
    <cfRule type="cellIs" dxfId="27" priority="45" operator="greaterThan">
      <formula>$L$96</formula>
    </cfRule>
  </conditionalFormatting>
  <conditionalFormatting sqref="C105:D105">
    <cfRule type="cellIs" dxfId="26" priority="44" operator="greaterThan">
      <formula>$C$104</formula>
    </cfRule>
  </conditionalFormatting>
  <conditionalFormatting sqref="E105">
    <cfRule type="cellIs" dxfId="25" priority="42" operator="greaterThan">
      <formula>$E$104</formula>
    </cfRule>
  </conditionalFormatting>
  <conditionalFormatting sqref="F105">
    <cfRule type="cellIs" dxfId="24" priority="41" operator="greaterThan">
      <formula>$F$104</formula>
    </cfRule>
  </conditionalFormatting>
  <conditionalFormatting sqref="G105">
    <cfRule type="cellIs" dxfId="23" priority="40" operator="greaterThan">
      <formula>$G$104</formula>
    </cfRule>
  </conditionalFormatting>
  <conditionalFormatting sqref="H105">
    <cfRule type="cellIs" dxfId="22" priority="39" operator="greaterThan">
      <formula>$H$104</formula>
    </cfRule>
  </conditionalFormatting>
  <conditionalFormatting sqref="I105">
    <cfRule type="cellIs" dxfId="21" priority="38" operator="greaterThan">
      <formula>$I$104</formula>
    </cfRule>
  </conditionalFormatting>
  <conditionalFormatting sqref="J105">
    <cfRule type="cellIs" dxfId="20" priority="37" operator="greaterThan">
      <formula>$J$104</formula>
    </cfRule>
  </conditionalFormatting>
  <conditionalFormatting sqref="K105">
    <cfRule type="cellIs" dxfId="19" priority="36" operator="greaterThan">
      <formula>$K$104</formula>
    </cfRule>
  </conditionalFormatting>
  <conditionalFormatting sqref="L105">
    <cfRule type="cellIs" dxfId="18" priority="35" operator="greaterThan">
      <formula>$L$104</formula>
    </cfRule>
  </conditionalFormatting>
  <conditionalFormatting sqref="C73:L73">
    <cfRule type="cellIs" dxfId="17" priority="12" operator="greaterThan">
      <formula>$C$72</formula>
    </cfRule>
  </conditionalFormatting>
  <conditionalFormatting sqref="C81:G81">
    <cfRule type="cellIs" dxfId="16" priority="7" operator="greaterThan">
      <formula>$C$80</formula>
    </cfRule>
  </conditionalFormatting>
  <conditionalFormatting sqref="B65:L65">
    <cfRule type="cellIs" dxfId="15" priority="2" operator="greaterThan">
      <formula>$C$64</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374</v>
      </c>
      <c r="B2" s="1"/>
    </row>
    <row r="3" spans="1:14" ht="32.15" customHeight="1" x14ac:dyDescent="0.35">
      <c r="A3" s="261" t="s">
        <v>367</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204" t="s">
        <v>28</v>
      </c>
      <c r="B5" s="181"/>
      <c r="C5" s="265"/>
      <c r="D5" s="260"/>
      <c r="E5" s="260"/>
      <c r="F5" s="260"/>
      <c r="G5" s="260"/>
      <c r="N5" s="159"/>
    </row>
    <row r="6" spans="1:14" x14ac:dyDescent="0.35">
      <c r="A6" s="204" t="s">
        <v>29</v>
      </c>
      <c r="B6" s="181"/>
      <c r="C6" s="265"/>
      <c r="D6" s="260"/>
      <c r="E6" s="260"/>
      <c r="F6" s="260"/>
      <c r="G6" s="260"/>
      <c r="N6" s="159"/>
    </row>
    <row r="7" spans="1:14" x14ac:dyDescent="0.35">
      <c r="A7" s="204" t="s">
        <v>30</v>
      </c>
      <c r="B7" s="181"/>
      <c r="C7" s="265"/>
      <c r="D7" s="260"/>
      <c r="E7" s="260"/>
      <c r="F7" s="260"/>
      <c r="G7" s="260"/>
      <c r="N7" s="159"/>
    </row>
    <row r="8" spans="1:14" x14ac:dyDescent="0.35">
      <c r="A8" s="181" t="s">
        <v>94</v>
      </c>
      <c r="B8" s="204"/>
      <c r="C8" s="260"/>
      <c r="D8" s="260"/>
      <c r="E8" s="260"/>
      <c r="F8" s="260"/>
      <c r="G8" s="260"/>
      <c r="N8" s="159"/>
    </row>
    <row r="9" spans="1:14" x14ac:dyDescent="0.35">
      <c r="A9" s="181" t="s">
        <v>334</v>
      </c>
      <c r="B9" s="204"/>
      <c r="C9" s="266"/>
      <c r="D9" s="266"/>
      <c r="E9" s="266"/>
      <c r="F9" s="266"/>
      <c r="G9" s="266"/>
      <c r="N9" s="159"/>
    </row>
    <row r="10" spans="1:14" x14ac:dyDescent="0.35">
      <c r="A10" s="182" t="s">
        <v>97</v>
      </c>
      <c r="B10" s="182"/>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239</v>
      </c>
      <c r="C13" s="272"/>
      <c r="D13" s="273"/>
      <c r="N13" s="159"/>
    </row>
    <row r="14" spans="1:14" x14ac:dyDescent="0.35">
      <c r="B14" s="252" t="s">
        <v>240</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369</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370</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IF(C$28&lt;&gt;"",1.5-0.21/9/2-VLOOKUP(C34,MandatoryConservation!$C$5:$P$13,13)-C31*(1.5/8.7),"")</f>
        <v>1.3048850574712643</v>
      </c>
      <c r="D38" s="33">
        <f>IF(D$28&lt;&gt;"",1.5-0.21/9/2-VLOOKUP(D34,MandatoryConservation!$C$5:$P$13,13)-D31*(1.5/8.7),"")</f>
        <v>1.3048850574712643</v>
      </c>
      <c r="E38" s="33">
        <f>IF(E$28&lt;&gt;"",1.5-0.21/9/2-VLOOKUP(E34,MandatoryConservation!$C$5:$P$13,13)-E31*(1.5/8.7),"")</f>
        <v>1.3048850574712643</v>
      </c>
      <c r="F38" s="33">
        <f>IF(F$28&lt;&gt;"",1.5-0.21/9/2-VLOOKUP(F34,MandatoryConservation!$C$5:$P$13,13)-F31*(1.5/8.7),"")</f>
        <v>1.3048850574712643</v>
      </c>
      <c r="G38" s="33">
        <f>IF(G$28&lt;&gt;"",1.5-0.21/9/2-VLOOKUP(G34,MandatoryConservation!$C$5:$P$13,13)-G31*(1.5/8.7),"")</f>
        <v>1.3048850574712643</v>
      </c>
      <c r="H38" s="33">
        <f>IF(H$28&lt;&gt;"",1.5-0.21/9/2-VLOOKUP(H34,MandatoryConservation!$C$5:$P$13,13)-H31*(1.5/8.7),"")</f>
        <v>1.3048850574712643</v>
      </c>
      <c r="I38" s="33">
        <f>IF(I$28&lt;&gt;"",1.5-0.21/9/2-VLOOKUP(I34,MandatoryConservation!$C$5:$P$13,13)-I31*(1.5/8.7),"")</f>
        <v>1.3048850574712643</v>
      </c>
      <c r="J38" s="33">
        <f>IF(J$28&lt;&gt;"",1.5-0.21/9/2-VLOOKUP(J34,MandatoryConservation!$C$5:$P$13,13)-J31*(1.5/8.7),"")</f>
        <v>1.3048850574712643</v>
      </c>
      <c r="K38" s="33">
        <f>IF(K$28&lt;&gt;"",1.5-0.21/9/2-VLOOKUP(K34,MandatoryConservation!$C$5:$P$13,13)-K31*(1.5/8.7),"")</f>
        <v>1.3048850574712643</v>
      </c>
      <c r="L38" s="33">
        <f>IF(L$28&lt;&gt;"",1.5-0.21/9/2-VLOOKUP(L34,MandatoryConservation!$C$5:$P$13,13)-L31*(1.5/8.7),"")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398</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09"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10">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11">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392</v>
      </c>
      <c r="C48" s="209">
        <f>SUM(C40:C46)</f>
        <v>0</v>
      </c>
      <c r="D48" s="209">
        <f>SUM(D40:D46)</f>
        <v>0.6</v>
      </c>
      <c r="E48" s="209">
        <f t="shared" ref="E48:L48" si="15">SUM(E40:E46)</f>
        <v>1.2</v>
      </c>
      <c r="F48" s="209">
        <f t="shared" si="15"/>
        <v>3.1000000000000005</v>
      </c>
      <c r="G48" s="209">
        <f t="shared" si="15"/>
        <v>4.5</v>
      </c>
      <c r="H48" s="209">
        <f t="shared" si="15"/>
        <v>7</v>
      </c>
      <c r="I48" s="209">
        <f t="shared" si="15"/>
        <v>8.9999999999999982</v>
      </c>
      <c r="J48" s="209">
        <f t="shared" si="15"/>
        <v>12.26</v>
      </c>
      <c r="K48" s="209">
        <f t="shared" si="15"/>
        <v>13.5</v>
      </c>
      <c r="L48" s="209">
        <f t="shared" si="15"/>
        <v>17.000000000000004</v>
      </c>
    </row>
    <row r="49" spans="1:8" x14ac:dyDescent="0.35">
      <c r="D49" s="15"/>
    </row>
    <row r="50" spans="1:8" x14ac:dyDescent="0.35">
      <c r="B50" s="2"/>
      <c r="H50" s="129">
        <f>SUM(I42:I46)</f>
        <v>4.4849790327249481</v>
      </c>
    </row>
    <row r="53" spans="1:8" x14ac:dyDescent="0.35">
      <c r="A53" t="s">
        <v>393</v>
      </c>
      <c r="B53">
        <v>8.1999999999999993</v>
      </c>
    </row>
    <row r="54" spans="1:8" x14ac:dyDescent="0.35">
      <c r="A54" t="s">
        <v>394</v>
      </c>
      <c r="B54">
        <v>1.2</v>
      </c>
    </row>
    <row r="55" spans="1:8" x14ac:dyDescent="0.35">
      <c r="A55" t="s">
        <v>395</v>
      </c>
      <c r="B55">
        <v>0.95</v>
      </c>
    </row>
    <row r="56" spans="1:8" x14ac:dyDescent="0.35">
      <c r="A56" t="s">
        <v>396</v>
      </c>
      <c r="B56">
        <f>1.5/2</f>
        <v>0.75</v>
      </c>
    </row>
    <row r="57" spans="1:8" x14ac:dyDescent="0.35">
      <c r="A57" t="s">
        <v>397</v>
      </c>
      <c r="B57">
        <f>B53-SUM(B54:B56)</f>
        <v>5.2999999999999989</v>
      </c>
    </row>
    <row r="58" spans="1:8" x14ac:dyDescent="0.35">
      <c r="B58" s="21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7" t="s">
        <v>138</v>
      </c>
      <c r="E3" s="277"/>
      <c r="F3" s="277" t="s">
        <v>139</v>
      </c>
      <c r="G3" s="277"/>
      <c r="H3" s="277"/>
      <c r="I3" s="277" t="s">
        <v>140</v>
      </c>
      <c r="J3" s="277"/>
      <c r="K3" s="277"/>
      <c r="L3" s="148"/>
      <c r="M3" s="277" t="s">
        <v>30</v>
      </c>
      <c r="N3" s="277"/>
      <c r="O3" s="277"/>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2022-05-20T22:04:01Z</dcterms:modified>
</cp:coreProperties>
</file>