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593549F3-8612-461F-8EAF-AD550C359DE9}" xr6:coauthVersionLast="36" xr6:coauthVersionMax="36" xr10:uidLastSave="{00000000-0000-0000-0000-000000000000}"/>
  <bookViews>
    <workbookView xWindow="0" yWindow="0" windowWidth="19200" windowHeight="6650" firstSheet="1"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47" l="1"/>
  <c r="I49" i="47"/>
  <c r="J49" i="47"/>
  <c r="K49" i="47"/>
  <c r="L49" i="47"/>
  <c r="H50" i="47"/>
  <c r="I50" i="47"/>
  <c r="J50" i="47"/>
  <c r="K50" i="47"/>
  <c r="L50" i="4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D50" i="47"/>
  <c r="E50" i="47"/>
  <c r="F50" i="47"/>
  <c r="G50" i="47"/>
  <c r="D51" i="47"/>
  <c r="E51" i="47"/>
  <c r="F51" i="47"/>
  <c r="G51" i="47"/>
  <c r="D52" i="47"/>
  <c r="E52" i="47"/>
  <c r="F52" i="47"/>
  <c r="G52" i="47"/>
  <c r="D53" i="47"/>
  <c r="E53" i="47"/>
  <c r="F53" i="47"/>
  <c r="G53" i="47"/>
  <c r="D54" i="47"/>
  <c r="E54" i="47"/>
  <c r="F54" i="47"/>
  <c r="G54" i="47"/>
  <c r="D55" i="47"/>
  <c r="E55" i="47"/>
  <c r="F55" i="47"/>
  <c r="G55" i="47"/>
  <c r="C50" i="47"/>
  <c r="P51" i="47"/>
  <c r="P50" i="47"/>
  <c r="N57" i="47" l="1"/>
  <c r="N26"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9" i="47" s="1"/>
  <c r="A60" i="47" s="1"/>
  <c r="A61" i="47" s="1"/>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M110" i="52" l="1"/>
  <c r="C47" i="52"/>
  <c r="D118" i="52"/>
  <c r="I118" i="52"/>
  <c r="L34" i="52"/>
  <c r="H125" i="52"/>
  <c r="E125" i="52"/>
  <c r="G118" i="52"/>
  <c r="K69" i="52"/>
  <c r="C118" i="52"/>
  <c r="C49" i="47"/>
  <c r="F112" i="47"/>
  <c r="G109" i="47"/>
  <c r="H112" i="47"/>
  <c r="I109" i="47"/>
  <c r="I127" i="47"/>
  <c r="A65" i="52"/>
  <c r="A66" i="52" s="1"/>
  <c r="N57" i="52"/>
  <c r="A81" i="52"/>
  <c r="A82" i="52" s="1"/>
  <c r="D36" i="47"/>
  <c r="B32" i="47"/>
  <c r="C32" i="47" s="1"/>
  <c r="B37" i="47"/>
  <c r="C37" i="47" s="1"/>
  <c r="L36" i="47"/>
  <c r="A75" i="47"/>
  <c r="A76" i="47" s="1"/>
  <c r="A77" i="47" s="1"/>
  <c r="H120" i="47"/>
  <c r="A99" i="47"/>
  <c r="A100" i="47" s="1"/>
  <c r="A101" i="47" s="1"/>
  <c r="C121" i="47"/>
  <c r="L125" i="47"/>
  <c r="A83" i="47"/>
  <c r="A84" i="47" s="1"/>
  <c r="D12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F127" i="47"/>
  <c r="I128" i="47"/>
  <c r="K111" i="52"/>
  <c r="K33" i="47"/>
  <c r="K42" i="47"/>
  <c r="K111" i="47"/>
  <c r="E113" i="47"/>
  <c r="L127" i="47"/>
  <c r="C33" i="47"/>
  <c r="H42" i="47"/>
  <c r="C113" i="47"/>
  <c r="L42" i="47"/>
  <c r="D46" i="47"/>
  <c r="L111" i="47"/>
  <c r="F113" i="47"/>
  <c r="G111" i="52"/>
  <c r="E111" i="52"/>
  <c r="E112" i="52" s="1"/>
  <c r="I34" i="52"/>
  <c r="G46" i="47"/>
  <c r="D108" i="47"/>
  <c r="C111" i="47"/>
  <c r="I113" i="47"/>
  <c r="H34" i="52"/>
  <c r="F34" i="52"/>
  <c r="H111" i="52"/>
  <c r="H46" i="47"/>
  <c r="H47" i="47"/>
  <c r="L108" i="47"/>
  <c r="D111" i="47"/>
  <c r="K113"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C46" i="47" s="1"/>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2"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H113" i="47"/>
  <c r="I116" i="47"/>
  <c r="C118" i="47"/>
  <c r="H119" i="47"/>
  <c r="E120" i="47"/>
  <c r="L124" i="47"/>
  <c r="I125"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C44" i="52" l="1"/>
  <c r="M112" i="47"/>
  <c r="A86" i="47"/>
  <c r="A85"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A62" i="47"/>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4" i="47" l="1"/>
  <c r="A63" i="47"/>
  <c r="A87"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C125" i="52" s="1"/>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F93" i="47"/>
  <c r="I93" i="47"/>
  <c r="M93" i="47"/>
  <c r="E93" i="47"/>
  <c r="L93" i="47"/>
  <c r="D93" i="47"/>
  <c r="K93" i="47"/>
  <c r="C93" i="47"/>
  <c r="J93" i="47"/>
  <c r="L77" i="47"/>
  <c r="D77" i="47"/>
  <c r="K77" i="47"/>
  <c r="C77" i="47"/>
  <c r="M77" i="47"/>
  <c r="J77" i="47"/>
  <c r="E77" i="47"/>
  <c r="I77" i="47"/>
  <c r="H77" i="47"/>
  <c r="G77" i="47"/>
  <c r="F77" i="47"/>
  <c r="H61" i="47"/>
  <c r="G61" i="47"/>
  <c r="I61" i="47"/>
  <c r="F61" i="47"/>
  <c r="M61" i="47"/>
  <c r="E61" i="47"/>
  <c r="L61" i="47"/>
  <c r="D61" i="47"/>
  <c r="K61" i="47"/>
  <c r="C61" i="47"/>
  <c r="J61" i="47"/>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C53" i="47" l="1"/>
  <c r="A103" i="47"/>
  <c r="A104" i="47" s="1"/>
  <c r="A71" i="47"/>
  <c r="A72" i="47" s="1"/>
  <c r="A79" i="47"/>
  <c r="A80"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A88" i="47"/>
  <c r="A96" i="47"/>
  <c r="C52" i="47" l="1"/>
  <c r="C51" i="47"/>
  <c r="C86" i="47"/>
  <c r="C78" i="47"/>
  <c r="C80" i="47" s="1"/>
  <c r="C125" i="47" s="1"/>
  <c r="D34" i="47" s="1"/>
  <c r="C62" i="47"/>
  <c r="C64" i="47" s="1"/>
  <c r="C123"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L72" i="47"/>
  <c r="H72" i="47"/>
  <c r="K72" i="47"/>
  <c r="J72" i="47"/>
  <c r="I72" i="47"/>
  <c r="L64" i="47"/>
  <c r="K64" i="47"/>
  <c r="J64" i="47"/>
  <c r="I64" i="47"/>
  <c r="H64" i="47"/>
  <c r="E96" i="47"/>
  <c r="F96" i="47"/>
  <c r="L96" i="47"/>
  <c r="D96" i="47"/>
  <c r="K96" i="47"/>
  <c r="C96" i="47"/>
  <c r="C127" i="47" s="1"/>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70" i="47" l="1"/>
  <c r="D32" i="47"/>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2"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102" i="47"/>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62" i="47"/>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70" i="47" l="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102" i="47"/>
  <c r="E104" i="47" s="1"/>
  <c r="E128" i="47" s="1"/>
  <c r="F37"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78" i="47"/>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0" i="47"/>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E132" i="52"/>
  <c r="F38" i="52"/>
  <c r="E131" i="52"/>
  <c r="E134" i="52"/>
  <c r="F44" i="47"/>
  <c r="F42" i="47"/>
  <c r="F43" i="47"/>
  <c r="E127" i="48"/>
  <c r="F29" i="48" s="1"/>
  <c r="F41" i="51"/>
  <c r="F40" i="51"/>
  <c r="F42" i="51"/>
  <c r="F43" i="51"/>
  <c r="F40" i="50"/>
  <c r="F43" i="50"/>
  <c r="F51" i="50" s="1"/>
  <c r="F41" i="50"/>
  <c r="F40" i="49"/>
  <c r="F41" i="49"/>
  <c r="F43" i="49"/>
  <c r="F104" i="47" l="1"/>
  <c r="F128" i="47" s="1"/>
  <c r="G37" i="47" s="1"/>
  <c r="F64" i="47"/>
  <c r="F123" i="47" s="1"/>
  <c r="G32" i="47" s="1"/>
  <c r="F39" i="52"/>
  <c r="F46" i="52"/>
  <c r="E137" i="52"/>
  <c r="E136" i="52"/>
  <c r="E135" i="52"/>
  <c r="E129" i="48"/>
  <c r="E131" i="48" s="1"/>
  <c r="E130" i="48"/>
  <c r="E132" i="48" s="1"/>
  <c r="F51" i="51"/>
  <c r="F50" i="51" s="1"/>
  <c r="F50" i="50"/>
  <c r="F48" i="50" s="1"/>
  <c r="F60" i="50" s="1"/>
  <c r="F51" i="49"/>
  <c r="F84" i="50"/>
  <c r="F86" i="50" s="1"/>
  <c r="F124" i="50" s="1"/>
  <c r="G33" i="50" s="1"/>
  <c r="F88" i="47" l="1"/>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72" i="47"/>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43" i="47"/>
  <c r="G44" i="47"/>
  <c r="G45" i="47"/>
  <c r="G64" i="47"/>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0" i="47" l="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2" i="47" l="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<sst xmlns="http://schemas.openxmlformats.org/spreadsheetml/2006/main" count="1206" uniqueCount="465">
  <si>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</si>
  <si>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</si>
  <si>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</si>
  <si>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</si>
  <si>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</si>
  <si>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</si>
  <si>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</si>
  <si>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</si>
  <si>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</si>
  <si>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</si>
  <si>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</si>
  <si>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</si>
  <si>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</si>
  <si>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</si>
  <si>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</si>
  <si>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</si>
  <si>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</si>
  <si>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</si>
  <si>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</si>
  <si>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</si>
  <si>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</si>
  <si>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</si>
  <si>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</si>
  <si>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</si>
  <si>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</si>
  <si>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</si>
  <si>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</si>
  <si>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</si>
  <si>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</si>
  <si>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</si>
  <si>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</si>
  <si>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</si>
  <si>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</si>
  <si>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</si>
  <si>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</si>
  <si>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</si>
  <si>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</si>
  <si>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</si>
  <si>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</si>
  <si>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</si>
  <si>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</si>
  <si>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</si>
  <si>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</si>
  <si>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</si>
  <si>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</si>
  <si>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</si>
  <si>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</si>
  <si>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</si>
  <si>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</si>
  <si>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</si>
  <si>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</si>
  <si>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</si>
  <si>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</si>
  <si>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</si>
  <si>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</si>
  <si>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</si>
  <si>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</si>
  <si>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</si>
  <si>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</si>
  <si>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</si>
  <si>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</si>
  <si>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</si>
  <si>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</si>
  <si>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</si>
  <si>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</si>
  <si>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</si>
  <si>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</si>
  <si>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</si>
  <si>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</si>
  <si>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</si>
  <si>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</si>
  <si>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</si>
  <si>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</si>
  <si>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</si>
  <si>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</si>
  <si>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</si>
  <si>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</si>
  <si>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</si>
  <si>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</si>
  <si>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</si>
  <si>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</si>
  <si>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</si>
  <si>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</si>
  <si>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</si>
  <si>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</si>
  <si>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</si>
  <si>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</si>
  <si>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</si>
  <si>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</si>
  <si>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</si>
  <si>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</si>
  <si>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</si>
  <si>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</si>
  <si>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</si>
  <si>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</si>
  <si>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</si>
  <si>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</si>
  <si>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</si>
  <si>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</si>
  <si>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</si>
  <si>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</si>
  <si>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</si>
  <si>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</si>
  <si>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</si>
  <si>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</si>
  <si>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</si>
  <si>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</si>
  <si>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</si>
  <si>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</si>
  <si>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</si>
  <si>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</si>
  <si>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</si>
  <si>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</si>
  <si>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</si>
  <si>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</si>
  <si>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</si>
  <si>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</si>
  <si>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</si>
  <si>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</si>
  <si>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</si>
  <si>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</si>
  <si>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</si>
  <si>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</si>
  <si>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</si>
  <si>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</si>
  <si>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</si>
  <si>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</si>
  <si>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</si>
  <si>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</si>
  <si>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</si>
  <si>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</si>
  <si>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</si>
  <si>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</si>
  <si>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</si>
  <si>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</si>
  <si>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</si>
  <si>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</si>
  <si>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</si>
  <si>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</si>
  <si>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</si>
  <si>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</si>
  <si>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</si>
  <si>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</si>
  <si>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</si>
  <si>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</si>
  <si>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</si>
  <si>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</si>
  <si>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</si>
  <si>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</si>
  <si>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</si>
  <si>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</si>
  <si>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</si>
  <si>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</si>
  <si>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</si>
  <si>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</si>
  <si>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</si>
  <si>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</si>
  <si>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</si>
  <si>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</si>
  <si>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</si>
  <si>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</si>
  <si>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</si>
  <si>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</si>
  <si>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</si>
  <si>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</si>
  <si>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</si>
  <si>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</si>
  <si>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</si>
  <si>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</si>
  <si>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</si>
  <si>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</si>
  <si>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</si>
  <si>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</si>
  <si>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</si>
  <si>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</si>
  <si>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</si>
  <si>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</si>
  <si>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</si>
  <si>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</si>
  <si>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</si>
  <si>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</si>
  <si>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</si>
  <si>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</si>
  <si>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</si>
  <si>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</si>
  <si>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</si>
  <si>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</si>
  <si>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</si>
  <si>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</si>
  <si>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</si>
  <si>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</si>
  <si>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</si>
  <si>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</si>
  <si>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</si>
  <si>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</si>
  <si>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</si>
  <si>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</si>
  <si>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</si>
  <si>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</si>
  <si>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</si>
  <si>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</si>
  <si>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</si>
  <si>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</si>
  <si>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</si>
  <si>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</si>
  <si>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</si>
  <si>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</si>
  <si>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</si>
  <si>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</si>
  <si>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</si>
  <si>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</si>
  <si>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</si>
  <si>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</si>
  <si>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</si>
  <si>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</si>
  <si>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</si>
  <si>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</si>
  <si>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</si>
  <si>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</si>
  <si>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</si>
  <si>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</si>
  <si>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</si>
  <si>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</si>
  <si>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</si>
  <si>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</si>
  <si>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</si>
  <si>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</si>
  <si>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</si>
  <si>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</si>
  <si>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</si>
  <si>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</si>
  <si>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</si>
  <si>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</si>
  <si>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</si>
  <si>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</si>
  <si>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</si>
  <si>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</si>
  <si>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</si>
  <si>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</si>
  <si>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</si>
  <si>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</si>
  <si>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</si>
  <si>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</si>
  <si>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</si>
  <si>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</si>
  <si>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</si>
  <si>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</si>
  <si>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</si>
  <si>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</si>
  <si>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</si>
  <si>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</si>
  <si>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</si>
  <si>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</si>
  <si>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</si>
  <si>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</si>
  <si>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</si>
  <si>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</si>
  <si>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</si>
  <si>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</si>
  <si>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</si>
  <si>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</si>
  <si>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</si>
  <si>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</si>
  <si>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</si>
  <si>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</si>
  <si>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</si>
  <si>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</si>
  <si>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</si>
  <si>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</si>
  <si>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</si>
  <si>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</si>
  <si>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</si>
  <si>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</si>
  <si>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</si>
  <si>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</si>
  <si>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</si>
  <si>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</si>
  <si>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</si>
  <si>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</si>
  <si>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</si>
  <si>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</si>
  <si>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</si>
  <si>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</si>
  <si>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</si>
  <si>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</si>
  <si>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</si>
  <si>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</si>
  <si>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</si>
  <si>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</si>
  <si>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</si>
  <si>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</si>
  <si>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</si>
  <si>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</si>
  <si>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</si>
  <si>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</si>
  <si>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</si>
  <si>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</si>
  <si>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</si>
  <si>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</si>
  <si>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</si>
  <si>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</si>
  <si>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</si>
  <si>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</si>
  <si>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</si>
  <si>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</si>
  <si>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</si>
  <si>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</si>
  <si>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</si>
  <si>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</si>
  <si>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</si>
  <si>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</si>
  <si>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</si>
  <si>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</si>
  <si>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</si>
  <si>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</si>
  <si>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</si>
  <si>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</si>
  <si>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</si>
  <si>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</si>
  <si>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</si>
  <si>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</si>
  <si>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</si>
  <si>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</si>
  <si>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</si>
  <si>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</si>
  <si>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</si>
  <si>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</si>
  <si>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</si>
  <si>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</si>
  <si>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</si>
  <si>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</si>
  <si>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</si>
  <si>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</si>
  <si>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</si>
  <si>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</si>
  <si>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</si>
  <si>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</si>
  <si>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</si>
  <si>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</si>
  <si>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</si>
  <si>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</si>
  <si>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</si>
  <si>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</si>
  <si>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</si>
  <si>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</si>
  <si>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</si>
  <si>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</si>
  <si>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</si>
  <si>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</si>
  <si>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</si>
  <si>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</si>
  <si>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</si>
  <si>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</si>
  <si>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</si>
  <si>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</si>
  <si>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</si>
  <si>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</si>
  <si>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</si>
  <si>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</si>
  <si>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</si>
  <si>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</si>
  <si>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</si>
  <si>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</si>
  <si>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</si>
  <si>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</si>
  <si>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</si>
  <si>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</si>
  <si>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</si>
  <si>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</si>
  <si>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</si>
  <si>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</si>
  <si>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</si>
  <si>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</si>
  <si>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</si>
  <si>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</si>
  <si>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</si>
  <si>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</si>
  <si>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</si>
  <si>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</si>
  <si>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</si>
  <si>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</si>
  <si>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</si>
  <si>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</si>
  <si>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</si>
  <si>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</si>
  <si>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</si>
  <si>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</si>
  <si>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</si>
  <si>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</si>
  <si>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</si>
  <si>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</si>
  <si>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</si>
  <si>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</si>
  <si>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</si>
  <si>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</si>
  <si>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to be more positive for people and endangered fish of the Grand Canyon?</t>
    </r>
  </si>
  <si>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</si>
  <si>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</si>
  <si>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</si>
  <si>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</si>
  <si>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</si>
  <si>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rPr>
        <b/>
        <sz val="11"/>
        <color theme="1"/>
        <rFont val="Calibri"/>
        <family val="2"/>
        <scheme val="minor"/>
      </rPr>
      <t xml:space="preserve">1. Move this Excel workbook into your Google Drive </t>
    </r>
    <r>
      <rPr>
        <sz val="11"/>
        <color theme="1"/>
        <rFont val="Calibri"/>
        <family val="2"/>
        <scheme val="minor"/>
      </rPr>
      <t>so participants can synchronously access and collaboratively make individual year-to-year water consumption and conservation decsions and joint decisions while they track other players' choices and reservoir storage.</t>
    </r>
  </si>
  <si>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</si>
  <si>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</si>
  <si>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</si>
  <si>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</si>
  <si>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</si>
  <si>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</si>
  <si>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</si>
  <si>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</si>
  <si>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</si>
  <si>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</si>
  <si>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</si>
  <si>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</si>
  <si>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</si>
  <si>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</si>
  <si>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</si>
  <si>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</si>
  <si>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</si>
  <si>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</si>
  <si>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</si>
  <si>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</si>
  <si>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</si>
  <si>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</si>
  <si>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</si>
  <si>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</si>
  <si>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</si>
  <si>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</si>
  <si>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</si>
  <si>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</si>
  <si>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</si>
  <si>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</si>
  <si>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</si>
  <si>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</si>
  <si>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</si>
  <si>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</si>
  <si>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</si>
  <si>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</si>
  <si>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</si>
  <si>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</si>
  <si>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</si>
  <si>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</si>
  <si>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</si>
  <si>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</si>
  <si>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</si>
  <si>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</si>
  <si>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</si>
  <si>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</si>
  <si>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</si>
  <si>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</si>
  <si>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</si>
  <si>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</si>
  <si>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</si>
  <si>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</si>
  <si>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</si>
  <si>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</si>
  <si>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</si>
  <si>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</si>
  <si>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</si>
  <si>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</si>
  <si>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Assign share of inflow by buckets -- Lake Powell Natural, Grand Canyon Intervening, to make more transparent</t>
  </si>
  <si>
    <t>Assign Parker/Havasu as a new bucket to Lower Basin, Mexico, and First Nations.</t>
  </si>
  <si>
    <t>Water Manager; David R.</t>
  </si>
  <si>
    <t>Add Headwaters storage</t>
  </si>
  <si>
    <t>Add Parker/Havasu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</si>
</sst>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5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topLeftCell="A16" zoomScale="150" zoomScaleNormal="150" workbookViewId="0">
      <selection activeCell="A22" sqref="A22"/>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03" t="s">
        <v>198</v>
      </c>
      <c r="B1" s="203"/>
      <c r="C1" s="203"/>
      <c r="D1" s="203"/>
      <c r="E1" s="203"/>
      <c r="F1" s="203"/>
      <c r="G1" s="203"/>
      <c r="H1" s="203"/>
      <c r="I1" s="203"/>
      <c r="J1" s="203"/>
      <c r="K1" s="203"/>
      <c r="L1" s="203"/>
    </row>
    <row r="2" spans="1:18" x14ac:dyDescent="0.35">
      <c r="A2" s="1"/>
      <c r="B2" s="1"/>
      <c r="C2" s="2"/>
      <c r="D2"/>
    </row>
    <row r="3" spans="1:18" x14ac:dyDescent="0.35">
      <c r="A3" s="1" t="s">
        <v>399</v>
      </c>
      <c r="B3" s="1"/>
      <c r="C3" s="2"/>
      <c r="D3"/>
      <c r="N3" s="1" t="s">
        <v>306</v>
      </c>
    </row>
    <row r="4" spans="1:18" s="77" customFormat="1" ht="66" customHeight="1" x14ac:dyDescent="0.35">
      <c r="A4" s="202" t="s">
        <v>395</v>
      </c>
      <c r="B4" s="202"/>
      <c r="C4" s="202"/>
      <c r="D4" s="202"/>
      <c r="E4" s="202"/>
      <c r="F4" s="202"/>
      <c r="G4" s="202"/>
      <c r="H4" s="202"/>
      <c r="I4" s="202"/>
      <c r="J4" s="202"/>
      <c r="K4" s="202"/>
      <c r="L4" s="202"/>
      <c r="N4" s="200" t="s">
        <v>307</v>
      </c>
      <c r="O4" s="200"/>
      <c r="P4" s="200"/>
      <c r="Q4" s="200"/>
      <c r="R4" s="200"/>
    </row>
    <row r="5" spans="1:18" s="115" customFormat="1" ht="16" customHeight="1" x14ac:dyDescent="0.35">
      <c r="A5" s="202" t="s">
        <v>340</v>
      </c>
      <c r="B5" s="202"/>
      <c r="C5" s="202"/>
      <c r="D5" s="202"/>
      <c r="E5" s="202"/>
      <c r="F5" s="202"/>
      <c r="G5" s="202"/>
      <c r="H5" s="202"/>
      <c r="I5" s="202"/>
      <c r="J5" s="202"/>
      <c r="K5" s="202"/>
      <c r="L5" s="202"/>
    </row>
    <row r="6" spans="1:18" s="115" customFormat="1" ht="32.5" customHeight="1" x14ac:dyDescent="0.35">
      <c r="A6" s="201" t="s">
        <v>222</v>
      </c>
      <c r="B6" s="201"/>
      <c r="C6" s="201"/>
      <c r="D6" s="201"/>
      <c r="E6" s="201"/>
      <c r="F6" s="201"/>
      <c r="G6" s="201"/>
      <c r="H6" s="201"/>
      <c r="I6" s="201"/>
      <c r="J6" s="201"/>
      <c r="K6" s="201"/>
      <c r="L6" s="201"/>
      <c r="N6" s="141" t="s">
        <v>397</v>
      </c>
    </row>
    <row r="7" spans="1:18" s="115" customFormat="1" ht="20.25" customHeight="1" x14ac:dyDescent="0.35">
      <c r="A7" s="201" t="s">
        <v>341</v>
      </c>
      <c r="B7" s="201"/>
      <c r="C7" s="201"/>
      <c r="D7" s="201"/>
      <c r="E7" s="201"/>
      <c r="F7" s="201"/>
      <c r="G7" s="201"/>
      <c r="H7" s="201"/>
      <c r="I7" s="201"/>
      <c r="J7" s="201"/>
      <c r="K7" s="201"/>
      <c r="L7" s="201"/>
    </row>
    <row r="8" spans="1:18" s="115" customFormat="1" ht="16.5" customHeight="1" x14ac:dyDescent="0.35">
      <c r="A8" s="201" t="s">
        <v>342</v>
      </c>
      <c r="B8" s="201"/>
      <c r="C8" s="201"/>
      <c r="D8" s="201"/>
      <c r="E8" s="201"/>
      <c r="F8" s="201"/>
      <c r="G8" s="201"/>
      <c r="H8" s="201"/>
      <c r="I8" s="201"/>
      <c r="J8" s="201"/>
      <c r="K8" s="201"/>
      <c r="L8" s="201"/>
      <c r="N8" s="141" t="s">
        <v>398</v>
      </c>
    </row>
    <row r="9" spans="1:18" s="115" customFormat="1" ht="15" customHeight="1" x14ac:dyDescent="0.35">
      <c r="A9" s="201" t="s">
        <v>343</v>
      </c>
      <c r="B9" s="201"/>
      <c r="C9" s="201"/>
      <c r="D9" s="201"/>
      <c r="E9" s="201"/>
      <c r="F9" s="201"/>
      <c r="G9" s="201"/>
      <c r="H9" s="201"/>
      <c r="I9" s="201"/>
      <c r="J9" s="201"/>
      <c r="K9" s="201"/>
      <c r="L9" s="201"/>
    </row>
    <row r="10" spans="1:18" s="115" customFormat="1" ht="32.15" customHeight="1" x14ac:dyDescent="0.35">
      <c r="A10" s="201" t="s">
        <v>365</v>
      </c>
      <c r="B10" s="201"/>
      <c r="C10" s="201"/>
      <c r="D10" s="201"/>
      <c r="E10" s="201"/>
      <c r="F10" s="201"/>
      <c r="G10" s="201"/>
      <c r="H10" s="201"/>
      <c r="I10" s="201"/>
      <c r="J10" s="201"/>
      <c r="K10" s="201"/>
      <c r="L10" s="201"/>
      <c r="N10" s="115" t="s">
        <v>344</v>
      </c>
    </row>
    <row r="11" spans="1:18" s="83" customFormat="1" ht="15" customHeight="1" x14ac:dyDescent="0.35">
      <c r="A11" s="201" t="s">
        <v>366</v>
      </c>
      <c r="B11" s="201"/>
      <c r="C11" s="201"/>
      <c r="D11" s="201"/>
      <c r="E11" s="201"/>
      <c r="F11" s="201"/>
      <c r="G11" s="201"/>
      <c r="H11" s="201"/>
      <c r="I11" s="201"/>
      <c r="J11" s="201"/>
      <c r="K11" s="201"/>
      <c r="L11" s="201"/>
    </row>
    <row r="12" spans="1:18" s="83" customFormat="1" ht="17.25" customHeight="1" x14ac:dyDescent="0.35">
      <c r="A12" s="201" t="s">
        <v>367</v>
      </c>
      <c r="B12" s="201"/>
      <c r="C12" s="201"/>
      <c r="D12" s="201"/>
      <c r="E12" s="201"/>
      <c r="F12" s="201"/>
      <c r="G12" s="201"/>
      <c r="H12" s="201"/>
      <c r="I12" s="201"/>
      <c r="J12" s="201"/>
      <c r="K12" s="201"/>
      <c r="L12" s="201"/>
    </row>
    <row r="13" spans="1:18" ht="20.25" customHeight="1" x14ac:dyDescent="0.35">
      <c r="A13" s="152"/>
      <c r="B13" s="152"/>
      <c r="C13" s="152"/>
      <c r="D13" s="152"/>
      <c r="E13" s="152"/>
      <c r="F13" s="152"/>
      <c r="G13" s="152"/>
      <c r="H13" s="152"/>
      <c r="I13" s="152"/>
      <c r="J13" s="152"/>
      <c r="K13" s="152"/>
      <c r="L13" s="152"/>
    </row>
    <row r="14" spans="1:18" ht="20.25" customHeight="1" x14ac:dyDescent="0.35">
      <c r="A14" s="214" t="s">
        <v>400</v>
      </c>
      <c r="B14" s="215"/>
      <c r="C14" s="215"/>
      <c r="D14" s="215"/>
      <c r="E14" s="215"/>
      <c r="F14" s="215"/>
      <c r="G14" s="215"/>
      <c r="H14" s="215"/>
      <c r="I14" s="215"/>
      <c r="J14" s="215"/>
      <c r="K14" s="215"/>
      <c r="L14" s="216"/>
      <c r="N14" s="1" t="s">
        <v>405</v>
      </c>
    </row>
    <row r="15" spans="1:18" ht="50.5" customHeight="1" x14ac:dyDescent="0.35">
      <c r="A15" s="211" t="s">
        <v>401</v>
      </c>
      <c r="B15" s="212"/>
      <c r="C15" s="212"/>
      <c r="D15" s="212"/>
      <c r="E15" s="212"/>
      <c r="F15" s="212"/>
      <c r="G15" s="212"/>
      <c r="H15" s="212"/>
      <c r="I15" s="212"/>
      <c r="J15" s="212"/>
      <c r="K15" s="212"/>
      <c r="L15" s="213"/>
      <c r="N15" s="141" t="s">
        <v>406</v>
      </c>
    </row>
    <row r="16" spans="1:18" ht="15" customHeight="1" x14ac:dyDescent="0.35">
      <c r="A16" s="211" t="s">
        <v>402</v>
      </c>
      <c r="B16" s="212"/>
      <c r="C16" s="212"/>
      <c r="D16" s="212"/>
      <c r="E16" s="212"/>
      <c r="F16" s="212"/>
      <c r="G16" s="212"/>
      <c r="H16" s="212"/>
      <c r="I16" s="212"/>
      <c r="J16" s="212"/>
      <c r="K16" s="212"/>
      <c r="L16" s="213"/>
    </row>
    <row r="17" spans="1:12" ht="36.75" customHeight="1" x14ac:dyDescent="0.35">
      <c r="A17" s="217" t="s">
        <v>396</v>
      </c>
      <c r="B17" s="212"/>
      <c r="C17" s="212"/>
      <c r="D17" s="212"/>
      <c r="E17" s="212"/>
      <c r="F17" s="212"/>
      <c r="G17" s="212"/>
      <c r="H17" s="212"/>
      <c r="I17" s="212"/>
      <c r="J17" s="212"/>
      <c r="K17" s="212"/>
      <c r="L17" s="213"/>
    </row>
    <row r="18" spans="1:12" s="82" customFormat="1" ht="20.25" customHeight="1" x14ac:dyDescent="0.35">
      <c r="A18" s="205" t="s">
        <v>403</v>
      </c>
      <c r="B18" s="206"/>
      <c r="C18" s="206"/>
      <c r="D18" s="206"/>
      <c r="E18" s="206"/>
      <c r="F18" s="206"/>
      <c r="G18" s="206"/>
      <c r="H18" s="206"/>
      <c r="I18" s="206"/>
      <c r="J18" s="206"/>
      <c r="K18" s="206"/>
      <c r="L18" s="207"/>
    </row>
    <row r="19" spans="1:12" s="83" customFormat="1" x14ac:dyDescent="0.35">
      <c r="A19" s="208" t="s">
        <v>404</v>
      </c>
      <c r="B19" s="209"/>
      <c r="C19" s="209"/>
      <c r="D19" s="209"/>
      <c r="E19" s="209"/>
      <c r="F19" s="209"/>
      <c r="G19" s="209"/>
      <c r="H19" s="209"/>
      <c r="I19" s="209"/>
      <c r="J19" s="209"/>
      <c r="K19" s="209"/>
      <c r="L19" s="210"/>
    </row>
    <row r="20" spans="1:12" x14ac:dyDescent="0.35">
      <c r="B20" s="176"/>
      <c r="C20" s="176"/>
      <c r="D20" s="176"/>
      <c r="E20" s="176"/>
      <c r="F20" s="176"/>
      <c r="G20" s="176"/>
      <c r="H20" s="176"/>
      <c r="I20" s="176"/>
      <c r="J20" s="176"/>
      <c r="K20" s="176"/>
      <c r="L20" s="176"/>
    </row>
    <row r="21" spans="1:12" x14ac:dyDescent="0.35">
      <c r="A21" s="1" t="s">
        <v>407</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04" t="s">
        <v>223</v>
      </c>
      <c r="B50" s="204"/>
      <c r="C50" s="204"/>
      <c r="D50" s="204"/>
      <c r="E50" s="204"/>
      <c r="F50" s="204"/>
      <c r="G50" s="204"/>
      <c r="H50" s="204"/>
      <c r="I50" s="204"/>
      <c r="J50" s="204"/>
      <c r="K50" s="204"/>
      <c r="L50" s="204"/>
    </row>
  </sheetData>
  <mergeCells count="18">
    <mergeCell ref="A1:L1"/>
    <mergeCell ref="A12:L12"/>
    <mergeCell ref="A7:L7"/>
    <mergeCell ref="A50:L50"/>
    <mergeCell ref="A18:L18"/>
    <mergeCell ref="A19:L19"/>
    <mergeCell ref="A11:L11"/>
    <mergeCell ref="A15:L15"/>
    <mergeCell ref="A14:L14"/>
    <mergeCell ref="A16:L16"/>
    <mergeCell ref="A17:L17"/>
    <mergeCell ref="N4:R4"/>
    <mergeCell ref="A10:L10"/>
    <mergeCell ref="A9:L9"/>
    <mergeCell ref="A4:L4"/>
    <mergeCell ref="A5:L5"/>
    <mergeCell ref="A6:L6"/>
    <mergeCell ref="A8:L8"/>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207</v>
      </c>
      <c r="D5" s="226"/>
      <c r="E5" s="226"/>
      <c r="F5" s="226"/>
      <c r="G5" s="226"/>
      <c r="M5" t="s">
        <v>295</v>
      </c>
    </row>
    <row r="6" spans="1:13" x14ac:dyDescent="0.35">
      <c r="A6" s="122" t="s">
        <v>40</v>
      </c>
      <c r="B6" s="122"/>
      <c r="C6" s="231" t="s">
        <v>208</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50" t="s">
        <v>40</v>
      </c>
      <c r="Q1" s="250"/>
      <c r="R1" s="250"/>
      <c r="S1" s="250"/>
      <c r="T1" s="250"/>
      <c r="U1" s="250"/>
      <c r="V1" s="250"/>
      <c r="W1" s="250"/>
      <c r="X1" s="250"/>
      <c r="Y1" s="250"/>
      <c r="AA1" s="250" t="s">
        <v>200</v>
      </c>
      <c r="AB1" s="250"/>
      <c r="AC1" s="250"/>
      <c r="AD1" s="250"/>
      <c r="AE1" s="250"/>
      <c r="AF1" s="250"/>
      <c r="AG1" s="250"/>
      <c r="AH1" s="250"/>
      <c r="AI1" s="250"/>
      <c r="AJ1" s="250"/>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207</v>
      </c>
      <c r="D5" s="226"/>
      <c r="E5" s="226"/>
      <c r="F5" s="226"/>
      <c r="G5" s="226"/>
      <c r="M5" t="s">
        <v>295</v>
      </c>
    </row>
    <row r="6" spans="1:13" x14ac:dyDescent="0.35">
      <c r="A6" s="122" t="s">
        <v>40</v>
      </c>
      <c r="B6" s="122"/>
      <c r="C6" s="231" t="s">
        <v>208</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6" t="s">
        <v>145</v>
      </c>
      <c r="B9" s="122"/>
      <c r="C9" s="226" t="s">
        <v>209</v>
      </c>
      <c r="D9" s="226"/>
      <c r="E9" s="226"/>
      <c r="F9" s="226"/>
      <c r="G9" s="226"/>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302</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51" t="s">
        <v>226</v>
      </c>
      <c r="E3" s="251"/>
      <c r="F3" s="251" t="s">
        <v>227</v>
      </c>
      <c r="G3" s="251"/>
      <c r="H3" s="251"/>
      <c r="I3" s="251" t="s">
        <v>228</v>
      </c>
      <c r="J3" s="251"/>
      <c r="K3" s="251"/>
      <c r="L3" s="179"/>
      <c r="M3" s="251" t="s">
        <v>41</v>
      </c>
      <c r="N3" s="251"/>
      <c r="O3" s="251"/>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52"/>
      <c r="D5" s="252"/>
      <c r="E5" s="252"/>
      <c r="F5" s="252"/>
      <c r="G5" s="252"/>
      <c r="H5" s="252"/>
    </row>
    <row r="6" spans="1:11" x14ac:dyDescent="0.35">
      <c r="A6" s="15" t="s">
        <v>39</v>
      </c>
      <c r="B6" s="44"/>
      <c r="C6" s="252"/>
      <c r="D6" s="252"/>
      <c r="E6" s="252"/>
      <c r="F6" s="252"/>
      <c r="G6" s="252"/>
      <c r="H6" s="252"/>
    </row>
    <row r="7" spans="1:11" x14ac:dyDescent="0.35">
      <c r="A7" s="15" t="s">
        <v>40</v>
      </c>
      <c r="B7" s="44"/>
      <c r="C7" s="252"/>
      <c r="D7" s="252"/>
      <c r="E7" s="252"/>
      <c r="F7" s="252"/>
      <c r="G7" s="252"/>
      <c r="H7" s="252"/>
    </row>
    <row r="8" spans="1:11" x14ac:dyDescent="0.35">
      <c r="A8" s="15" t="s">
        <v>41</v>
      </c>
      <c r="B8" s="44"/>
      <c r="C8" s="252"/>
      <c r="D8" s="252"/>
      <c r="E8" s="252"/>
      <c r="F8" s="252"/>
      <c r="G8" s="252"/>
      <c r="H8" s="252"/>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57" t="s">
        <v>380</v>
      </c>
      <c r="B3" s="257"/>
      <c r="C3" s="257"/>
      <c r="D3" s="172" t="s">
        <v>379</v>
      </c>
    </row>
    <row r="4" spans="1:4" ht="29" x14ac:dyDescent="0.35">
      <c r="A4" s="253" t="s">
        <v>373</v>
      </c>
      <c r="B4" s="253"/>
      <c r="C4" s="253"/>
      <c r="D4" s="56" t="s">
        <v>378</v>
      </c>
    </row>
    <row r="5" spans="1:4" ht="43.5" x14ac:dyDescent="0.35">
      <c r="A5" s="254" t="s">
        <v>374</v>
      </c>
      <c r="B5" s="254"/>
      <c r="C5" s="254"/>
      <c r="D5" s="56" t="s">
        <v>394</v>
      </c>
    </row>
    <row r="6" spans="1:4" ht="58" x14ac:dyDescent="0.35">
      <c r="A6" s="255" t="s">
        <v>375</v>
      </c>
      <c r="B6" s="255"/>
      <c r="C6" s="255"/>
      <c r="D6" s="56" t="s">
        <v>377</v>
      </c>
    </row>
    <row r="7" spans="1:4" ht="29" x14ac:dyDescent="0.35">
      <c r="A7" s="256" t="s">
        <v>46</v>
      </c>
      <c r="B7" s="256"/>
      <c r="C7" s="256"/>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4"/>
  <sheetViews>
    <sheetView topLeftCell="B1" zoomScale="150" zoomScaleNormal="150" workbookViewId="0">
      <selection activeCell="J8" sqref="J8"/>
    </sheetView>
  </sheetViews>
  <sheetFormatPr defaultRowHeight="14.5" x14ac:dyDescent="0.35"/>
  <cols>
    <col min="1" max="1" width="8.7265625" style="57"/>
    <col min="2" max="2" width="12.54296875" style="57" customWidth="1"/>
    <col min="3" max="3" width="7.81640625" style="199" customWidth="1"/>
    <col min="4" max="4" width="29.81640625" style="56" customWidth="1"/>
    <col min="5" max="5" width="12.453125" style="59" customWidth="1"/>
    <col min="6" max="6" width="15.1796875" style="59" customWidth="1"/>
    <col min="7" max="7" width="10.54296875" style="57" customWidth="1"/>
    <col min="9" max="9" width="32.453125" style="77" customWidth="1"/>
    <col min="10" max="10" width="12.453125" style="77" customWidth="1"/>
    <col min="11" max="11" width="11" style="147" customWidth="1"/>
  </cols>
  <sheetData>
    <row r="1" spans="1:11" s="53" customFormat="1" ht="30.65" customHeight="1" x14ac:dyDescent="0.35">
      <c r="A1" s="54" t="s">
        <v>175</v>
      </c>
      <c r="B1" s="54" t="s">
        <v>156</v>
      </c>
      <c r="C1" s="197" t="s">
        <v>175</v>
      </c>
      <c r="D1" s="55" t="s">
        <v>157</v>
      </c>
      <c r="E1" s="54" t="s">
        <v>159</v>
      </c>
      <c r="F1" s="54" t="s">
        <v>158</v>
      </c>
      <c r="G1" s="54" t="s">
        <v>160</v>
      </c>
      <c r="I1" s="144" t="s">
        <v>220</v>
      </c>
      <c r="J1" s="144" t="s">
        <v>158</v>
      </c>
      <c r="K1" s="145" t="s">
        <v>160</v>
      </c>
    </row>
    <row r="2" spans="1:11" x14ac:dyDescent="0.35">
      <c r="A2" s="78"/>
      <c r="B2" s="80"/>
      <c r="C2" s="198"/>
      <c r="D2" s="79"/>
      <c r="E2" s="78"/>
      <c r="F2" s="78"/>
      <c r="G2" s="80"/>
      <c r="I2" s="56"/>
      <c r="J2" s="56"/>
      <c r="K2" s="57"/>
    </row>
    <row r="3" spans="1:11" ht="58" x14ac:dyDescent="0.35">
      <c r="A3" s="78" t="s">
        <v>337</v>
      </c>
      <c r="B3" s="80">
        <v>44480</v>
      </c>
      <c r="C3" s="198" t="s">
        <v>459</v>
      </c>
      <c r="D3" s="79" t="s">
        <v>456</v>
      </c>
      <c r="E3" s="78"/>
      <c r="F3" s="78"/>
      <c r="G3" s="80"/>
      <c r="I3" s="56" t="s">
        <v>460</v>
      </c>
      <c r="J3" s="56" t="s">
        <v>150</v>
      </c>
      <c r="K3" s="58">
        <v>44482</v>
      </c>
    </row>
    <row r="4" spans="1:11" ht="57" customHeight="1" x14ac:dyDescent="0.35">
      <c r="A4" s="78">
        <v>3.6</v>
      </c>
      <c r="B4" s="80">
        <v>44480</v>
      </c>
      <c r="C4" s="198" t="s">
        <v>458</v>
      </c>
      <c r="D4" s="79" t="s">
        <v>454</v>
      </c>
      <c r="E4" s="78" t="s">
        <v>150</v>
      </c>
      <c r="F4" s="78" t="s">
        <v>150</v>
      </c>
      <c r="G4" s="80"/>
      <c r="I4" s="56" t="s">
        <v>461</v>
      </c>
      <c r="J4" s="56" t="s">
        <v>462</v>
      </c>
      <c r="K4" s="58"/>
    </row>
    <row r="5" spans="1:11" ht="71.150000000000006" customHeight="1" x14ac:dyDescent="0.35">
      <c r="A5" s="78">
        <v>3.5</v>
      </c>
      <c r="B5" s="80">
        <v>44480</v>
      </c>
      <c r="C5" s="198" t="s">
        <v>457</v>
      </c>
      <c r="D5" s="79" t="s">
        <v>453</v>
      </c>
      <c r="E5" s="78" t="s">
        <v>150</v>
      </c>
      <c r="F5" s="78" t="s">
        <v>408</v>
      </c>
      <c r="G5" s="80" t="s">
        <v>409</v>
      </c>
      <c r="I5" s="56" t="s">
        <v>221</v>
      </c>
      <c r="J5" s="56" t="s">
        <v>150</v>
      </c>
      <c r="K5" s="57"/>
    </row>
    <row r="6" spans="1:11" ht="43.5" x14ac:dyDescent="0.35">
      <c r="A6" s="78">
        <v>3.5</v>
      </c>
      <c r="B6" s="80">
        <v>44474</v>
      </c>
      <c r="C6" s="198"/>
      <c r="D6" s="79" t="s">
        <v>386</v>
      </c>
      <c r="E6" s="78" t="s">
        <v>150</v>
      </c>
      <c r="F6" s="78" t="s">
        <v>150</v>
      </c>
      <c r="G6" s="80"/>
      <c r="I6" s="56" t="s">
        <v>463</v>
      </c>
      <c r="J6" s="146" t="s">
        <v>245</v>
      </c>
      <c r="K6" s="58">
        <v>44482</v>
      </c>
    </row>
    <row r="7" spans="1:11" ht="43.5" x14ac:dyDescent="0.35">
      <c r="A7" s="78">
        <v>3.5</v>
      </c>
      <c r="B7" s="80">
        <v>44463</v>
      </c>
      <c r="C7" s="198"/>
      <c r="D7" s="79" t="s">
        <v>364</v>
      </c>
      <c r="E7" s="78" t="s">
        <v>150</v>
      </c>
      <c r="F7" s="78" t="s">
        <v>346</v>
      </c>
      <c r="G7" s="80">
        <v>44432</v>
      </c>
      <c r="I7" s="56" t="s">
        <v>464</v>
      </c>
      <c r="J7" s="146" t="s">
        <v>150</v>
      </c>
      <c r="K7" s="58"/>
    </row>
    <row r="8" spans="1:11" ht="58" x14ac:dyDescent="0.35">
      <c r="A8" s="78" t="s">
        <v>315</v>
      </c>
      <c r="B8" s="80">
        <v>44459</v>
      </c>
      <c r="C8" s="198"/>
      <c r="D8" s="79" t="s">
        <v>338</v>
      </c>
      <c r="E8" s="78" t="s">
        <v>150</v>
      </c>
      <c r="F8" s="78" t="s">
        <v>150</v>
      </c>
      <c r="G8" s="80"/>
      <c r="I8" s="56" t="s">
        <v>250</v>
      </c>
      <c r="J8" s="56" t="s">
        <v>245</v>
      </c>
      <c r="K8" s="58">
        <v>44385</v>
      </c>
    </row>
    <row r="9" spans="1:11" ht="43.5" x14ac:dyDescent="0.35">
      <c r="A9" s="78" t="s">
        <v>311</v>
      </c>
      <c r="B9" s="80">
        <v>44459</v>
      </c>
      <c r="C9" s="198"/>
      <c r="D9" s="79" t="s">
        <v>339</v>
      </c>
      <c r="E9" s="78" t="s">
        <v>150</v>
      </c>
      <c r="F9" s="78" t="s">
        <v>150</v>
      </c>
      <c r="G9" s="80"/>
      <c r="I9" s="56" t="s">
        <v>323</v>
      </c>
      <c r="J9" s="146" t="s">
        <v>312</v>
      </c>
      <c r="K9" s="58">
        <v>44391</v>
      </c>
    </row>
    <row r="10" spans="1:11" ht="72.5" x14ac:dyDescent="0.35">
      <c r="A10" s="78" t="s">
        <v>309</v>
      </c>
      <c r="B10" s="80">
        <v>44432</v>
      </c>
      <c r="C10" s="198"/>
      <c r="D10" s="79" t="s">
        <v>328</v>
      </c>
      <c r="E10" s="78" t="s">
        <v>150</v>
      </c>
      <c r="F10" s="78" t="s">
        <v>150</v>
      </c>
      <c r="G10" s="80">
        <v>44424</v>
      </c>
      <c r="I10" s="56" t="s">
        <v>248</v>
      </c>
      <c r="J10" s="146" t="s">
        <v>312</v>
      </c>
      <c r="K10" s="58">
        <v>44391</v>
      </c>
    </row>
    <row r="11" spans="1:11" ht="101.5" x14ac:dyDescent="0.35">
      <c r="A11" s="78" t="s">
        <v>280</v>
      </c>
      <c r="B11" s="80">
        <v>44432</v>
      </c>
      <c r="C11" s="198"/>
      <c r="D11" s="79" t="s">
        <v>334</v>
      </c>
      <c r="E11" s="78" t="s">
        <v>150</v>
      </c>
      <c r="F11" s="78" t="s">
        <v>324</v>
      </c>
      <c r="G11" s="80">
        <v>44424</v>
      </c>
      <c r="I11" s="56" t="s">
        <v>249</v>
      </c>
      <c r="J11" s="146" t="s">
        <v>312</v>
      </c>
      <c r="K11" s="58">
        <v>44391</v>
      </c>
    </row>
    <row r="12" spans="1:11" ht="87" x14ac:dyDescent="0.35">
      <c r="A12" s="78" t="s">
        <v>275</v>
      </c>
      <c r="B12" s="80">
        <v>44432</v>
      </c>
      <c r="C12" s="198"/>
      <c r="D12" s="79" t="s">
        <v>325</v>
      </c>
      <c r="E12" s="78" t="s">
        <v>150</v>
      </c>
      <c r="F12" s="78"/>
      <c r="G12" s="80"/>
      <c r="I12" s="56"/>
      <c r="J12" s="56"/>
      <c r="K12" s="57"/>
    </row>
    <row r="13" spans="1:11" ht="43.5" x14ac:dyDescent="0.35">
      <c r="A13" s="78" t="s">
        <v>275</v>
      </c>
      <c r="B13" s="80">
        <v>44423</v>
      </c>
      <c r="C13" s="198"/>
      <c r="D13" s="79" t="s">
        <v>316</v>
      </c>
      <c r="E13" s="78" t="s">
        <v>150</v>
      </c>
      <c r="F13" s="78" t="s">
        <v>150</v>
      </c>
      <c r="G13" s="80"/>
      <c r="I13" s="56"/>
      <c r="J13" s="56"/>
      <c r="K13" s="57"/>
    </row>
    <row r="14" spans="1:11" ht="43.5" x14ac:dyDescent="0.35">
      <c r="A14" s="78" t="s">
        <v>253</v>
      </c>
      <c r="B14" s="80">
        <v>44405</v>
      </c>
      <c r="C14" s="198"/>
      <c r="D14" s="56" t="s">
        <v>313</v>
      </c>
      <c r="E14" s="78" t="s">
        <v>150</v>
      </c>
      <c r="F14" s="78" t="s">
        <v>312</v>
      </c>
      <c r="G14" s="80">
        <v>44405</v>
      </c>
      <c r="I14" s="56"/>
      <c r="J14" s="56"/>
      <c r="K14" s="57"/>
    </row>
    <row r="15" spans="1:11" ht="29" x14ac:dyDescent="0.35">
      <c r="A15" s="57" t="s">
        <v>240</v>
      </c>
      <c r="B15" s="80">
        <v>44405</v>
      </c>
      <c r="C15" s="198"/>
      <c r="D15" s="79" t="s">
        <v>310</v>
      </c>
      <c r="E15" s="78" t="s">
        <v>150</v>
      </c>
      <c r="F15" s="78" t="s">
        <v>150</v>
      </c>
      <c r="G15" s="80">
        <v>44405</v>
      </c>
      <c r="I15" s="56"/>
      <c r="J15" s="56"/>
      <c r="K15" s="57"/>
    </row>
    <row r="16" spans="1:11" ht="72.5" x14ac:dyDescent="0.35">
      <c r="A16" s="57" t="s">
        <v>238</v>
      </c>
      <c r="B16" s="80">
        <v>44405</v>
      </c>
      <c r="C16" s="198"/>
      <c r="D16" s="79" t="s">
        <v>308</v>
      </c>
      <c r="E16" s="78" t="s">
        <v>150</v>
      </c>
      <c r="F16" s="78" t="s">
        <v>312</v>
      </c>
      <c r="G16" s="80">
        <v>44391</v>
      </c>
    </row>
    <row r="17" spans="1:7" ht="43.5" x14ac:dyDescent="0.35">
      <c r="A17" s="57" t="s">
        <v>216</v>
      </c>
      <c r="B17" s="78" t="s">
        <v>276</v>
      </c>
      <c r="C17" s="198"/>
      <c r="D17" s="56" t="s">
        <v>277</v>
      </c>
      <c r="E17" s="78" t="s">
        <v>150</v>
      </c>
      <c r="F17" s="78" t="s">
        <v>312</v>
      </c>
      <c r="G17" s="80">
        <v>44391</v>
      </c>
    </row>
    <row r="18" spans="1:7" ht="29" x14ac:dyDescent="0.35">
      <c r="A18" s="57" t="s">
        <v>199</v>
      </c>
      <c r="B18" s="78" t="s">
        <v>276</v>
      </c>
      <c r="C18" s="198"/>
      <c r="D18" s="56" t="s">
        <v>247</v>
      </c>
      <c r="E18" s="78" t="s">
        <v>150</v>
      </c>
      <c r="F18" s="78" t="s">
        <v>312</v>
      </c>
      <c r="G18" s="80">
        <v>44391</v>
      </c>
    </row>
    <row r="19" spans="1:7" ht="101.5" x14ac:dyDescent="0.35">
      <c r="A19" s="57" t="s">
        <v>196</v>
      </c>
      <c r="B19" s="80">
        <v>44403</v>
      </c>
      <c r="C19" s="198"/>
      <c r="D19" s="79" t="s">
        <v>254</v>
      </c>
      <c r="E19" s="78" t="s">
        <v>150</v>
      </c>
      <c r="F19" s="78" t="s">
        <v>312</v>
      </c>
      <c r="G19" s="80">
        <v>44391</v>
      </c>
    </row>
    <row r="20" spans="1:7" ht="58" x14ac:dyDescent="0.35">
      <c r="A20" s="57" t="s">
        <v>187</v>
      </c>
      <c r="B20" s="58">
        <v>44389</v>
      </c>
      <c r="D20" s="56" t="s">
        <v>241</v>
      </c>
      <c r="E20" s="59" t="s">
        <v>150</v>
      </c>
      <c r="F20" s="59" t="s">
        <v>150</v>
      </c>
      <c r="G20" s="58">
        <v>44389</v>
      </c>
    </row>
    <row r="21" spans="1:7" ht="29" x14ac:dyDescent="0.35">
      <c r="A21" s="57" t="s">
        <v>185</v>
      </c>
      <c r="B21" s="58">
        <v>44389</v>
      </c>
      <c r="D21" s="56" t="s">
        <v>239</v>
      </c>
      <c r="E21" s="59" t="s">
        <v>150</v>
      </c>
      <c r="F21" s="59" t="s">
        <v>245</v>
      </c>
      <c r="G21" s="58">
        <v>44385</v>
      </c>
    </row>
    <row r="22" spans="1:7" ht="58" x14ac:dyDescent="0.35">
      <c r="A22" s="57" t="s">
        <v>183</v>
      </c>
      <c r="B22" s="58">
        <v>44385</v>
      </c>
      <c r="D22" s="56" t="s">
        <v>217</v>
      </c>
      <c r="E22" s="59" t="s">
        <v>150</v>
      </c>
      <c r="F22" s="59" t="s">
        <v>150</v>
      </c>
      <c r="G22" s="58">
        <f>B22</f>
        <v>44385</v>
      </c>
    </row>
    <row r="23" spans="1:7" ht="29" x14ac:dyDescent="0.35">
      <c r="A23" s="57">
        <v>3.3</v>
      </c>
      <c r="B23" s="58">
        <v>44384</v>
      </c>
      <c r="D23" s="56" t="s">
        <v>218</v>
      </c>
      <c r="E23" s="59" t="s">
        <v>150</v>
      </c>
      <c r="F23" s="59" t="s">
        <v>150</v>
      </c>
      <c r="G23" s="58">
        <v>44384</v>
      </c>
    </row>
    <row r="24" spans="1:7" ht="43.5" x14ac:dyDescent="0.35">
      <c r="A24" s="57" t="s">
        <v>176</v>
      </c>
      <c r="B24" s="58">
        <v>44384</v>
      </c>
      <c r="D24" s="56" t="s">
        <v>219</v>
      </c>
      <c r="E24" s="59" t="s">
        <v>150</v>
      </c>
      <c r="F24" s="59" t="s">
        <v>150</v>
      </c>
      <c r="G24" s="58">
        <v>44384</v>
      </c>
    </row>
    <row r="25" spans="1:7" ht="43.5" x14ac:dyDescent="0.35">
      <c r="A25" s="57">
        <v>3.2</v>
      </c>
      <c r="B25" s="58">
        <v>44378</v>
      </c>
      <c r="D25" s="56" t="s">
        <v>188</v>
      </c>
      <c r="E25" s="59" t="s">
        <v>150</v>
      </c>
      <c r="F25" s="59" t="s">
        <v>150</v>
      </c>
      <c r="G25" s="58">
        <v>44378</v>
      </c>
    </row>
    <row r="26" spans="1:7" x14ac:dyDescent="0.35">
      <c r="A26" s="57">
        <v>3.1</v>
      </c>
      <c r="B26" s="58">
        <v>44377</v>
      </c>
      <c r="D26" s="56" t="s">
        <v>189</v>
      </c>
      <c r="E26" s="59" t="s">
        <v>150</v>
      </c>
      <c r="F26" s="59" t="s">
        <v>150</v>
      </c>
      <c r="G26" s="58">
        <v>44377</v>
      </c>
    </row>
    <row r="27" spans="1:7" ht="72.5" x14ac:dyDescent="0.35">
      <c r="A27" s="57">
        <v>3</v>
      </c>
      <c r="B27" s="58">
        <v>44377</v>
      </c>
      <c r="D27" s="56" t="s">
        <v>184</v>
      </c>
      <c r="E27" s="59" t="s">
        <v>150</v>
      </c>
      <c r="F27" s="59" t="s">
        <v>246</v>
      </c>
      <c r="G27" s="58">
        <v>44372</v>
      </c>
    </row>
    <row r="28" spans="1:7" ht="43.5" x14ac:dyDescent="0.35">
      <c r="A28" s="57">
        <v>2</v>
      </c>
      <c r="B28" s="58">
        <v>44377</v>
      </c>
      <c r="D28" s="56" t="s">
        <v>177</v>
      </c>
      <c r="E28" s="59" t="s">
        <v>150</v>
      </c>
      <c r="F28" s="59" t="s">
        <v>246</v>
      </c>
      <c r="G28" s="58">
        <v>44372</v>
      </c>
    </row>
    <row r="29" spans="1:7" ht="29" x14ac:dyDescent="0.35">
      <c r="A29" s="61">
        <v>1</v>
      </c>
      <c r="B29" s="58">
        <v>44377</v>
      </c>
      <c r="D29" s="56" t="s">
        <v>161</v>
      </c>
      <c r="E29" s="59" t="s">
        <v>150</v>
      </c>
      <c r="F29" s="59" t="s">
        <v>150</v>
      </c>
      <c r="G29" s="58">
        <v>44377</v>
      </c>
    </row>
    <row r="30" spans="1:7" ht="116" x14ac:dyDescent="0.35">
      <c r="B30" s="58">
        <v>44367</v>
      </c>
      <c r="D30" s="56" t="s">
        <v>168</v>
      </c>
      <c r="E30" s="59" t="s">
        <v>150</v>
      </c>
      <c r="F30" s="59" t="s">
        <v>150</v>
      </c>
      <c r="G30" s="58">
        <v>44367</v>
      </c>
    </row>
    <row r="31" spans="1:7" ht="29" x14ac:dyDescent="0.35">
      <c r="B31" s="58">
        <v>44331</v>
      </c>
      <c r="D31" s="56" t="s">
        <v>167</v>
      </c>
      <c r="E31" s="59" t="s">
        <v>150</v>
      </c>
      <c r="F31" s="59" t="s">
        <v>150</v>
      </c>
      <c r="G31" s="58">
        <v>44331</v>
      </c>
    </row>
    <row r="32" spans="1:7" ht="72.5" x14ac:dyDescent="0.35">
      <c r="B32" s="58">
        <v>44319</v>
      </c>
      <c r="D32" s="56" t="s">
        <v>166</v>
      </c>
      <c r="E32" s="59" t="s">
        <v>150</v>
      </c>
      <c r="F32" s="59" t="s">
        <v>162</v>
      </c>
      <c r="G32" s="58">
        <v>44315</v>
      </c>
    </row>
    <row r="33" spans="2:7" ht="29" x14ac:dyDescent="0.35">
      <c r="B33" s="58">
        <v>44307</v>
      </c>
      <c r="D33" s="56" t="s">
        <v>163</v>
      </c>
      <c r="E33" s="59" t="s">
        <v>150</v>
      </c>
      <c r="F33" s="59" t="s">
        <v>245</v>
      </c>
      <c r="G33" s="58">
        <v>44294</v>
      </c>
    </row>
    <row r="34" spans="2:7" ht="29" x14ac:dyDescent="0.35">
      <c r="B34" s="58">
        <v>44291</v>
      </c>
      <c r="D34" s="56" t="s">
        <v>165</v>
      </c>
      <c r="E34" s="59" t="s">
        <v>150</v>
      </c>
      <c r="F34" s="59" t="s">
        <v>164</v>
      </c>
      <c r="G34"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2"/>
  <sheetViews>
    <sheetView tabSelected="1" zoomScale="150" zoomScaleNormal="150" workbookViewId="0">
      <selection activeCell="C21" sqref="C21"/>
    </sheetView>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27" t="s">
        <v>393</v>
      </c>
      <c r="B3" s="227"/>
      <c r="C3" s="227"/>
      <c r="D3" s="227"/>
      <c r="E3" s="227"/>
      <c r="F3" s="227"/>
      <c r="G3" s="227"/>
      <c r="H3" s="112"/>
      <c r="I3" s="112"/>
      <c r="J3" s="112"/>
      <c r="K3" s="112"/>
      <c r="N3" s="184" t="s">
        <v>450</v>
      </c>
    </row>
    <row r="4" spans="1:14" x14ac:dyDescent="0.35">
      <c r="A4" s="171" t="s">
        <v>370</v>
      </c>
      <c r="B4" s="171" t="s">
        <v>42</v>
      </c>
      <c r="C4" s="228" t="s">
        <v>43</v>
      </c>
      <c r="D4" s="229"/>
      <c r="E4" s="229"/>
      <c r="F4" s="229"/>
      <c r="G4" s="230"/>
      <c r="N4" s="186" t="s">
        <v>414</v>
      </c>
    </row>
    <row r="5" spans="1:14" x14ac:dyDescent="0.35">
      <c r="A5" s="122" t="s">
        <v>39</v>
      </c>
      <c r="B5" s="122"/>
      <c r="C5" s="231"/>
      <c r="D5" s="226"/>
      <c r="E5" s="226"/>
      <c r="F5" s="226"/>
      <c r="G5" s="226"/>
      <c r="N5" s="190"/>
    </row>
    <row r="6" spans="1:14" x14ac:dyDescent="0.35">
      <c r="A6" s="122" t="s">
        <v>40</v>
      </c>
      <c r="B6" s="122"/>
      <c r="C6" s="231"/>
      <c r="D6" s="226"/>
      <c r="E6" s="226"/>
      <c r="F6" s="226"/>
      <c r="G6" s="226"/>
      <c r="N6" s="190"/>
    </row>
    <row r="7" spans="1:14" x14ac:dyDescent="0.35">
      <c r="A7" s="122" t="s">
        <v>41</v>
      </c>
      <c r="B7" s="122"/>
      <c r="C7" s="231"/>
      <c r="D7" s="226"/>
      <c r="E7" s="226"/>
      <c r="F7" s="226"/>
      <c r="G7" s="226"/>
      <c r="N7" s="190"/>
    </row>
    <row r="8" spans="1:14" x14ac:dyDescent="0.35">
      <c r="A8" s="154" t="s">
        <v>145</v>
      </c>
      <c r="B8" s="153"/>
      <c r="C8" s="226"/>
      <c r="D8" s="226"/>
      <c r="E8" s="226"/>
      <c r="F8" s="226"/>
      <c r="G8" s="226"/>
      <c r="N8" s="190"/>
    </row>
    <row r="9" spans="1:14" x14ac:dyDescent="0.35">
      <c r="A9" s="183" t="s">
        <v>455</v>
      </c>
      <c r="B9" s="122"/>
      <c r="C9" s="232"/>
      <c r="D9" s="232"/>
      <c r="E9" s="232"/>
      <c r="F9" s="232"/>
      <c r="G9" s="232"/>
      <c r="N9" s="190"/>
    </row>
    <row r="10" spans="1:14" x14ac:dyDescent="0.35">
      <c r="A10" s="155" t="s">
        <v>154</v>
      </c>
      <c r="B10" s="155"/>
      <c r="C10" s="233"/>
      <c r="D10" s="233"/>
      <c r="E10" s="233"/>
      <c r="F10" s="233"/>
      <c r="G10" s="233"/>
      <c r="N10" s="190"/>
    </row>
    <row r="11" spans="1:14" x14ac:dyDescent="0.35">
      <c r="A11" s="15"/>
      <c r="B11" s="2"/>
      <c r="C11"/>
      <c r="N11" s="190"/>
    </row>
    <row r="12" spans="1:14" x14ac:dyDescent="0.35">
      <c r="A12" s="18" t="s">
        <v>371</v>
      </c>
      <c r="B12" s="234" t="s">
        <v>373</v>
      </c>
      <c r="C12" s="235"/>
      <c r="D12" s="236"/>
      <c r="N12" s="189" t="s">
        <v>415</v>
      </c>
    </row>
    <row r="13" spans="1:14" x14ac:dyDescent="0.35">
      <c r="B13" s="237" t="s">
        <v>374</v>
      </c>
      <c r="C13" s="238"/>
      <c r="D13" s="239"/>
      <c r="N13" s="190"/>
    </row>
    <row r="14" spans="1:14" x14ac:dyDescent="0.35">
      <c r="B14" s="218" t="s">
        <v>375</v>
      </c>
      <c r="C14" s="219"/>
      <c r="D14" s="220"/>
      <c r="N14" s="190"/>
    </row>
    <row r="15" spans="1:14" x14ac:dyDescent="0.35">
      <c r="B15" s="221" t="s">
        <v>46</v>
      </c>
      <c r="C15" s="222"/>
      <c r="D15" s="223"/>
      <c r="N15" s="190"/>
    </row>
    <row r="16" spans="1:14" x14ac:dyDescent="0.35">
      <c r="N16" s="190"/>
    </row>
    <row r="17" spans="1:14" x14ac:dyDescent="0.35">
      <c r="A17" s="1" t="s">
        <v>372</v>
      </c>
      <c r="B17" s="1" t="s">
        <v>108</v>
      </c>
      <c r="C17" s="13" t="s">
        <v>109</v>
      </c>
      <c r="N17" s="189" t="s">
        <v>416</v>
      </c>
    </row>
    <row r="18" spans="1:14" x14ac:dyDescent="0.35">
      <c r="A18" t="s">
        <v>107</v>
      </c>
      <c r="B18" s="148">
        <v>5.73</v>
      </c>
      <c r="C18" s="148">
        <v>6</v>
      </c>
      <c r="D18" s="22"/>
      <c r="N18" s="189" t="s">
        <v>418</v>
      </c>
    </row>
    <row r="19" spans="1:14" x14ac:dyDescent="0.35">
      <c r="A19" t="s">
        <v>410</v>
      </c>
      <c r="B19" s="148">
        <v>7.2</v>
      </c>
      <c r="C19" s="148">
        <v>9</v>
      </c>
      <c r="D19" s="173" t="s">
        <v>382</v>
      </c>
      <c r="F19" s="43"/>
      <c r="N19" s="189" t="s">
        <v>417</v>
      </c>
    </row>
    <row r="20" spans="1:14" x14ac:dyDescent="0.35">
      <c r="A20" t="s">
        <v>186</v>
      </c>
      <c r="B20" s="149">
        <v>3525</v>
      </c>
      <c r="C20" s="149">
        <v>1020</v>
      </c>
      <c r="D20" s="11"/>
      <c r="N20" s="189" t="s">
        <v>419</v>
      </c>
    </row>
    <row r="21" spans="1:14" x14ac:dyDescent="0.35">
      <c r="A21" t="s">
        <v>172</v>
      </c>
      <c r="B21" s="148">
        <f>VLOOKUP(B20,'Powell-Elevation-Area'!$A$5:$B$689,2)/1000000</f>
        <v>5.9265762500000001</v>
      </c>
      <c r="C21" s="148">
        <f>VLOOKUP(C20,'Mead-Elevation-Area'!$A$5:$B$689,2)/1000000</f>
        <v>5.664593</v>
      </c>
      <c r="D21" s="11"/>
      <c r="E21" s="43"/>
      <c r="N21" s="189" t="s">
        <v>421</v>
      </c>
    </row>
    <row r="22" spans="1:14" x14ac:dyDescent="0.35">
      <c r="A22" t="s">
        <v>388</v>
      </c>
      <c r="B22" s="148">
        <f>78.1</f>
        <v>78.099999999999994</v>
      </c>
      <c r="C22"/>
      <c r="D22" s="150"/>
      <c r="E22" s="43"/>
      <c r="N22" s="189" t="s">
        <v>420</v>
      </c>
    </row>
    <row r="23" spans="1:14" x14ac:dyDescent="0.35">
      <c r="A23" t="s">
        <v>389</v>
      </c>
      <c r="B23" s="174">
        <v>0.17</v>
      </c>
      <c r="C23"/>
      <c r="D23" s="150"/>
      <c r="E23" s="43"/>
      <c r="N23" s="189" t="s">
        <v>422</v>
      </c>
    </row>
    <row r="24" spans="1:14" x14ac:dyDescent="0.35">
      <c r="A24" t="s">
        <v>387</v>
      </c>
      <c r="B24" s="148">
        <f>10*(7.5+1.5/2)-B22-B23</f>
        <v>4.2300000000000058</v>
      </c>
      <c r="C24"/>
      <c r="D24" s="150"/>
      <c r="E24" s="43"/>
      <c r="N24" s="189" t="s">
        <v>423</v>
      </c>
    </row>
    <row r="25" spans="1:14" x14ac:dyDescent="0.35">
      <c r="B25" s="43"/>
      <c r="N25" s="190"/>
    </row>
    <row r="26" spans="1:14" s="1" customFormat="1" x14ac:dyDescent="0.35">
      <c r="A26" s="135" t="s">
        <v>359</v>
      </c>
      <c r="B26" s="136" t="s">
        <v>48</v>
      </c>
      <c r="C26" s="136" t="s">
        <v>5</v>
      </c>
      <c r="D26" s="136" t="s">
        <v>6</v>
      </c>
      <c r="E26" s="136" t="s">
        <v>7</v>
      </c>
      <c r="F26" s="136" t="s">
        <v>8</v>
      </c>
      <c r="G26" s="136" t="s">
        <v>9</v>
      </c>
      <c r="H26" s="136" t="s">
        <v>10</v>
      </c>
      <c r="I26" s="136" t="s">
        <v>11</v>
      </c>
      <c r="J26" s="136" t="s">
        <v>12</v>
      </c>
      <c r="K26" s="136" t="s">
        <v>36</v>
      </c>
      <c r="L26" s="136" t="s">
        <v>37</v>
      </c>
      <c r="M26" s="136" t="s">
        <v>105</v>
      </c>
      <c r="N26" s="185" t="str">
        <f>N3</f>
        <v>HELP, CONTEXT, and SUGGESTIONS</v>
      </c>
    </row>
    <row r="27" spans="1:14" x14ac:dyDescent="0.35">
      <c r="A27" s="168" t="s">
        <v>355</v>
      </c>
      <c r="B27" s="1"/>
      <c r="C27" s="130"/>
      <c r="D27" s="130"/>
      <c r="E27" s="130"/>
      <c r="F27" s="130"/>
      <c r="G27" s="130"/>
      <c r="H27" s="130"/>
      <c r="I27" s="130"/>
      <c r="J27" s="130"/>
      <c r="K27" s="130"/>
      <c r="L27" s="130"/>
      <c r="N27" s="186" t="s">
        <v>424</v>
      </c>
    </row>
    <row r="28" spans="1:14" x14ac:dyDescent="0.35">
      <c r="A28" s="1" t="s">
        <v>119</v>
      </c>
      <c r="B28" s="1"/>
      <c r="C28" s="129" t="str">
        <f>IF(C$27&lt;&gt;"",0.8,"")</f>
        <v/>
      </c>
      <c r="D28" s="129" t="str">
        <f t="shared" ref="D28:L28" si="0">IF(D$27&lt;&gt;"",0.8,"")</f>
        <v/>
      </c>
      <c r="E28" s="129" t="str">
        <f t="shared" si="0"/>
        <v/>
      </c>
      <c r="F28" s="129" t="str">
        <f t="shared" si="0"/>
        <v/>
      </c>
      <c r="G28" s="129" t="str">
        <f t="shared" si="0"/>
        <v/>
      </c>
      <c r="H28" s="129" t="str">
        <f t="shared" si="0"/>
        <v/>
      </c>
      <c r="I28" s="129" t="str">
        <f t="shared" si="0"/>
        <v/>
      </c>
      <c r="J28" s="129" t="str">
        <f t="shared" si="0"/>
        <v/>
      </c>
      <c r="K28" s="129" t="str">
        <f t="shared" si="0"/>
        <v/>
      </c>
      <c r="L28" s="129" t="str">
        <f t="shared" si="0"/>
        <v/>
      </c>
      <c r="N28" s="189" t="s">
        <v>425</v>
      </c>
    </row>
    <row r="29" spans="1:14" x14ac:dyDescent="0.35">
      <c r="A29" s="1" t="s">
        <v>322</v>
      </c>
      <c r="B29" s="1"/>
      <c r="C29" s="129" t="str">
        <f>IF(C$27&lt;&gt;"",0.2,"")</f>
        <v/>
      </c>
      <c r="D29" s="129" t="str">
        <f t="shared" ref="D29:L29" si="1">IF(D$27&lt;&gt;"",0.2,"")</f>
        <v/>
      </c>
      <c r="E29" s="129" t="str">
        <f t="shared" si="1"/>
        <v/>
      </c>
      <c r="F29" s="129" t="str">
        <f t="shared" si="1"/>
        <v/>
      </c>
      <c r="G29" s="129" t="str">
        <f t="shared" si="1"/>
        <v/>
      </c>
      <c r="H29" s="129" t="str">
        <f t="shared" si="1"/>
        <v/>
      </c>
      <c r="I29" s="129" t="str">
        <f t="shared" si="1"/>
        <v/>
      </c>
      <c r="J29" s="129" t="str">
        <f t="shared" si="1"/>
        <v/>
      </c>
      <c r="K29" s="129" t="str">
        <f t="shared" si="1"/>
        <v/>
      </c>
      <c r="L29" s="129" t="str">
        <f t="shared" si="1"/>
        <v/>
      </c>
      <c r="N29" s="189" t="s">
        <v>426</v>
      </c>
    </row>
    <row r="30" spans="1:14" x14ac:dyDescent="0.35">
      <c r="A30" s="1" t="s">
        <v>278</v>
      </c>
      <c r="B30" s="1"/>
      <c r="C30" s="129" t="str">
        <f>IF(C$27&lt;&gt;"",0.6,"")</f>
        <v/>
      </c>
      <c r="D30" s="129" t="str">
        <f t="shared" ref="D30:L30" si="2">IF(D$27&lt;&gt;"",0.6,"")</f>
        <v/>
      </c>
      <c r="E30" s="129" t="str">
        <f t="shared" si="2"/>
        <v/>
      </c>
      <c r="F30" s="129" t="str">
        <f t="shared" si="2"/>
        <v/>
      </c>
      <c r="G30" s="129" t="str">
        <f t="shared" si="2"/>
        <v/>
      </c>
      <c r="H30" s="129" t="str">
        <f t="shared" si="2"/>
        <v/>
      </c>
      <c r="I30" s="129" t="str">
        <f t="shared" si="2"/>
        <v/>
      </c>
      <c r="J30" s="129" t="str">
        <f t="shared" si="2"/>
        <v/>
      </c>
      <c r="K30" s="129" t="str">
        <f t="shared" si="2"/>
        <v/>
      </c>
      <c r="L30" s="129" t="str">
        <f t="shared" si="2"/>
        <v/>
      </c>
      <c r="N30" s="189" t="s">
        <v>427</v>
      </c>
    </row>
    <row r="31" spans="1:14" x14ac:dyDescent="0.35">
      <c r="A31" s="168" t="s">
        <v>356</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c r="N31" s="186" t="s">
        <v>428</v>
      </c>
    </row>
    <row r="32" spans="1:14" x14ac:dyDescent="0.35">
      <c r="A32" t="str">
        <f t="shared" ref="A32:A37" si="4">IF(A5="","","    "&amp;A5&amp;" Balance")</f>
        <v xml:space="preserve">    Upper Basin Balance</v>
      </c>
      <c r="B32" s="109">
        <f>B19-B21</f>
        <v>1.2734237500000001</v>
      </c>
      <c r="C32" s="106"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90"/>
    </row>
    <row r="33" spans="1:14" x14ac:dyDescent="0.35">
      <c r="A33" t="str">
        <f t="shared" si="4"/>
        <v xml:space="preserve">    Lower Basin Balance</v>
      </c>
      <c r="B33" s="109">
        <f>C19-C21-B34</f>
        <v>3.1614070000000001</v>
      </c>
      <c r="C33" s="106"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90"/>
    </row>
    <row r="34" spans="1:14" x14ac:dyDescent="0.35">
      <c r="A34" t="str">
        <f t="shared" si="4"/>
        <v xml:space="preserve">    Mexico Balance</v>
      </c>
      <c r="B34" s="110">
        <v>0.17399999999999999</v>
      </c>
      <c r="C34" s="107" t="str">
        <f t="shared" si="6"/>
        <v/>
      </c>
      <c r="D34" s="50" t="str">
        <f t="shared" si="7"/>
        <v/>
      </c>
      <c r="E34" s="50" t="str">
        <f t="shared" si="7"/>
        <v/>
      </c>
      <c r="F34" s="50" t="str">
        <f t="shared" si="7"/>
        <v/>
      </c>
      <c r="G34" s="50" t="str">
        <f t="shared" si="7"/>
        <v/>
      </c>
      <c r="H34" s="14" t="str">
        <f t="shared" si="7"/>
        <v/>
      </c>
      <c r="I34" s="14" t="str">
        <f t="shared" si="7"/>
        <v/>
      </c>
      <c r="J34" s="14" t="str">
        <f t="shared" si="7"/>
        <v/>
      </c>
      <c r="K34" s="14" t="str">
        <f t="shared" si="7"/>
        <v/>
      </c>
      <c r="L34" s="14" t="str">
        <f t="shared" si="7"/>
        <v/>
      </c>
      <c r="N34" s="190"/>
    </row>
    <row r="35" spans="1:14" x14ac:dyDescent="0.35">
      <c r="A35" t="str">
        <f t="shared" si="4"/>
        <v xml:space="preserve">    Colorado River Delta Balance</v>
      </c>
      <c r="B35" s="109">
        <v>0</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c r="N35" s="190"/>
    </row>
    <row r="36" spans="1:14" x14ac:dyDescent="0.35">
      <c r="A36" t="str">
        <f t="shared" si="4"/>
        <v xml:space="preserve">    First Nations Balance</v>
      </c>
      <c r="B36" s="109">
        <v>0</v>
      </c>
      <c r="C36" s="106"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c r="N36" s="190"/>
    </row>
    <row r="37" spans="1:14" x14ac:dyDescent="0.35">
      <c r="A37" t="str">
        <f t="shared" si="4"/>
        <v xml:space="preserve">    Shared, Reserve Balance</v>
      </c>
      <c r="B37" s="109">
        <f>SUM(B21:C21)</f>
        <v>11.59116925</v>
      </c>
      <c r="C37" s="106"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90"/>
    </row>
    <row r="38" spans="1:14" x14ac:dyDescent="0.35">
      <c r="A38" s="1" t="s">
        <v>369</v>
      </c>
      <c r="C38"/>
      <c r="N38" s="189" t="s">
        <v>448</v>
      </c>
    </row>
    <row r="39" spans="1:14" x14ac:dyDescent="0.35">
      <c r="A39" t="s">
        <v>111</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c r="N39" s="190"/>
    </row>
    <row r="40" spans="1:14" x14ac:dyDescent="0.35">
      <c r="A40" t="s">
        <v>112</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s="1" t="s">
        <v>357</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c r="N41" s="189" t="s">
        <v>429</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c r="N42" s="190"/>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0"/>
        <v xml:space="preserve">    First Nations Share</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s="1" t="s">
        <v>358</v>
      </c>
      <c r="B48" s="72"/>
      <c r="C48" s="47" t="str">
        <f>IF(C$27&lt;&gt;"",1.5-0.21/9/2-VLOOKUP(C40,MandatoryConservation!$C$5:$P$13,13),"")</f>
        <v/>
      </c>
      <c r="D48" s="47" t="str">
        <f>IF(D$27&lt;&gt;"",1.5-0.21/9/2-VLOOKUP(D40,MandatoryConservation!$C$5:$P$13,13),"")</f>
        <v/>
      </c>
      <c r="E48" s="47" t="str">
        <f>IF(E$27&lt;&gt;"",1.5-0.21/9/2-VLOOKUP(E40,MandatoryConservation!$C$5:$P$13,13),"")</f>
        <v/>
      </c>
      <c r="F48" s="47" t="str">
        <f>IF(F$27&lt;&gt;"",1.5-0.21/9/2-VLOOKUP(F40,MandatoryConservation!$C$5:$P$13,13),"")</f>
        <v/>
      </c>
      <c r="G48" s="47" t="str">
        <f>IF(G$27&lt;&gt;"",1.5-0.21/9/2-VLOOKUP(G40,MandatoryConservation!$C$5:$P$13,13),"")</f>
        <v/>
      </c>
      <c r="H48" s="47" t="str">
        <f>IF(H$27&lt;&gt;"",1.5-0.21/9/2-VLOOKUP(H40,MandatoryConservation!$C$5:$P$13,13),"")</f>
        <v/>
      </c>
      <c r="I48" s="47" t="str">
        <f>IF(I$27&lt;&gt;"",1.5-0.21/9/2-VLOOKUP(I40,MandatoryConservation!$C$5:$P$13,13),"")</f>
        <v/>
      </c>
      <c r="J48" s="47" t="str">
        <f>IF(J$27&lt;&gt;"",1.5-0.21/9/2-VLOOKUP(J40,MandatoryConservation!$C$5:$P$13,13),"")</f>
        <v/>
      </c>
      <c r="K48" s="47" t="str">
        <f>IF(K$27&lt;&gt;"",1.5-0.21/9/2-VLOOKUP(K40,MandatoryConservation!$C$5:$P$13,13),"")</f>
        <v/>
      </c>
      <c r="L48" s="47" t="str">
        <f>IF(L$27&lt;&gt;"",1.5-0.21/9/2-VLOOKUP(L40,MandatoryConservation!$C$5:$P$13,13),"")</f>
        <v/>
      </c>
      <c r="N48" s="189" t="s">
        <v>430</v>
      </c>
    </row>
    <row r="49" spans="1:16" x14ac:dyDescent="0.35">
      <c r="A49" s="168" t="s">
        <v>390</v>
      </c>
      <c r="B49" s="1"/>
      <c r="C49" s="14" t="str">
        <f>IF(C27="","",SUM(C27:C29)-C30)</f>
        <v/>
      </c>
      <c r="D49" s="49" t="str">
        <f t="shared" ref="D49:G49" si="17">IF(D27="","",SUM(D27:D29)-D30)</f>
        <v/>
      </c>
      <c r="E49" s="49" t="str">
        <f t="shared" si="17"/>
        <v/>
      </c>
      <c r="F49" s="49" t="str">
        <f t="shared" si="17"/>
        <v/>
      </c>
      <c r="G49" s="49" t="str">
        <f t="shared" si="17"/>
        <v/>
      </c>
      <c r="H49" s="49" t="str">
        <f t="shared" ref="H49:L49" si="18">IF(H27="","",SUM(H27:H29)-H30)</f>
        <v/>
      </c>
      <c r="I49" s="49" t="str">
        <f t="shared" si="18"/>
        <v/>
      </c>
      <c r="J49" s="49" t="str">
        <f t="shared" si="18"/>
        <v/>
      </c>
      <c r="K49" s="49" t="str">
        <f t="shared" si="18"/>
        <v/>
      </c>
      <c r="L49" s="49" t="str">
        <f t="shared" si="18"/>
        <v/>
      </c>
      <c r="M49" s="43"/>
      <c r="N49" s="187" t="s">
        <v>431</v>
      </c>
      <c r="P49" t="s">
        <v>452</v>
      </c>
    </row>
    <row r="50" spans="1:16" x14ac:dyDescent="0.35">
      <c r="A50" t="str">
        <f t="shared" ref="A50:A55" si="19">IF(A5="","","    To "&amp;A5)</f>
        <v xml:space="preserve">    To Upper Basin</v>
      </c>
      <c r="B50" s="127" t="s">
        <v>144</v>
      </c>
      <c r="C50" s="106" t="str">
        <f>IF(OR(C$27="",$A50=""),"",MAX(0,C27-C48/2-C55/2-C54*(1.06/2.01)-$B$51))</f>
        <v/>
      </c>
      <c r="D50" s="106" t="str">
        <f t="shared" ref="D50:G50" si="20">IF(OR(D$27="",$A50=""),"",MAX(0,D27-D48/2-D55/2-D54*(1.06/2.01)-$B$51))</f>
        <v/>
      </c>
      <c r="E50" s="106" t="str">
        <f t="shared" si="20"/>
        <v/>
      </c>
      <c r="F50" s="106" t="str">
        <f t="shared" si="20"/>
        <v/>
      </c>
      <c r="G50" s="106" t="str">
        <f t="shared" si="20"/>
        <v/>
      </c>
      <c r="H50" s="106" t="str">
        <f t="shared" ref="H50:L50" si="21">IF(OR(H$27="",$A50=""),"",MAX(0,H27-H48/2-H55/2-H54*(1.06/2.01)-$B$51))</f>
        <v/>
      </c>
      <c r="I50" s="106" t="str">
        <f t="shared" si="21"/>
        <v/>
      </c>
      <c r="J50" s="106" t="str">
        <f t="shared" si="21"/>
        <v/>
      </c>
      <c r="K50" s="106" t="str">
        <f t="shared" si="21"/>
        <v/>
      </c>
      <c r="L50" s="106" t="str">
        <f t="shared" si="21"/>
        <v/>
      </c>
      <c r="M50" s="27"/>
      <c r="N50" s="191"/>
      <c r="P50" s="106" t="str">
        <f>IF(OR(P$27="",$A50=""),"",MAX(P27-($B$24)-P55*$B$21/SUM($B$21:$C$21),0))</f>
        <v/>
      </c>
    </row>
    <row r="51" spans="1:16" x14ac:dyDescent="0.35">
      <c r="A51" t="str">
        <f t="shared" si="19"/>
        <v xml:space="preserve">    To Lower Basin</v>
      </c>
      <c r="B51" s="128">
        <f>7.5</f>
        <v>7.5</v>
      </c>
      <c r="C51" s="106" t="str">
        <f>IF(OR(C$27="",$A51=""),"",C28+C29-C30-C55/2-C48/2-C53/2-C54*(0.952/2.01)+MIN($B51,C27-C48/2-C54*(1.06/2.01)-C55/2))</f>
        <v/>
      </c>
      <c r="D51" s="106" t="str">
        <f t="shared" ref="D51:G51" si="22">IF(OR(D$27="",$A51=""),"",D28+D29-D30-D55/2-D48/2-D53/2-D54*(0.952/2.01)+MIN($B51,D27-D48/2-D54*(1.06/2.01)-D55/2))</f>
        <v/>
      </c>
      <c r="E51" s="106" t="str">
        <f t="shared" si="22"/>
        <v/>
      </c>
      <c r="F51" s="106" t="str">
        <f t="shared" si="22"/>
        <v/>
      </c>
      <c r="G51" s="106" t="str">
        <f t="shared" si="22"/>
        <v/>
      </c>
      <c r="H51" s="106" t="str">
        <f t="shared" ref="H51:L51" si="23">IF(OR(H$27="",$A51=""),"",H28+H29-H30-H55/2-H48/2-H53/2-H54*(0.952/2.01)+MIN($B51,H27-H48/2-H54*(1.06/2.01)-H55/2))</f>
        <v/>
      </c>
      <c r="I51" s="106" t="str">
        <f t="shared" si="23"/>
        <v/>
      </c>
      <c r="J51" s="106" t="str">
        <f t="shared" si="23"/>
        <v/>
      </c>
      <c r="K51" s="106" t="str">
        <f t="shared" si="23"/>
        <v/>
      </c>
      <c r="L51" s="106" t="str">
        <f t="shared" si="23"/>
        <v/>
      </c>
      <c r="M51" s="27"/>
      <c r="N51" s="191"/>
      <c r="P51" s="106" t="str">
        <f>IF(OR(P$27="",$A51=""),"",P28+P29-P30-P55*$C$21/SUM($B$21:$C$21)-P52+MIN($B$24,P27))</f>
        <v/>
      </c>
    </row>
    <row r="52" spans="1:16" x14ac:dyDescent="0.35">
      <c r="A52" t="str">
        <f t="shared" si="19"/>
        <v xml:space="preserve">    To Mexico</v>
      </c>
      <c r="B52" s="128" t="s">
        <v>327</v>
      </c>
      <c r="C52" s="107" t="str">
        <f>IF(OR(C$27="",$A52=""),"",MIN(C48-C53/2,C$49-SUM(C53:C55)))</f>
        <v/>
      </c>
      <c r="D52" s="107" t="str">
        <f t="shared" ref="D52:G52" si="24">IF(OR(D$27="",$A52=""),"",MIN(D48-D53/2,D$49-SUM(D53:D55)))</f>
        <v/>
      </c>
      <c r="E52" s="107" t="str">
        <f t="shared" si="24"/>
        <v/>
      </c>
      <c r="F52" s="107" t="str">
        <f t="shared" si="24"/>
        <v/>
      </c>
      <c r="G52" s="107" t="str">
        <f t="shared" si="24"/>
        <v/>
      </c>
      <c r="H52" s="107" t="str">
        <f t="shared" ref="H52" si="25">IF(OR(H$27="",$A52=""),"",MIN(H48-H53/2,H$49-SUM(H53:H55)))</f>
        <v/>
      </c>
      <c r="I52" s="107" t="str">
        <f t="shared" ref="I52" si="26">IF(OR(I$27="",$A52=""),"",MIN(I48-I53/2,I$49-SUM(I53:I55)))</f>
        <v/>
      </c>
      <c r="J52" s="107" t="str">
        <f t="shared" ref="J52" si="27">IF(OR(J$27="",$A52=""),"",MIN(J48-J53/2,J$49-SUM(J53:J55)))</f>
        <v/>
      </c>
      <c r="K52" s="107" t="str">
        <f t="shared" ref="K52" si="28">IF(OR(K$27="",$A52=""),"",MIN(K48-K53/2,K$49-SUM(K53:K55)))</f>
        <v/>
      </c>
      <c r="L52" s="107" t="str">
        <f t="shared" ref="L52" si="29">IF(OR(L$27="",$A52=""),"",MIN(L48-L53/2,L$49-SUM(L53:L55)))</f>
        <v/>
      </c>
      <c r="M52" s="27"/>
      <c r="N52" s="191"/>
    </row>
    <row r="53" spans="1:16" x14ac:dyDescent="0.35">
      <c r="A53" t="str">
        <f t="shared" si="19"/>
        <v xml:space="preserve">    To Colorado River Delta</v>
      </c>
      <c r="B53" s="137">
        <f>0.21/9*(2/3)</f>
        <v>1.5555555555555553E-2</v>
      </c>
      <c r="C53" s="138" t="str">
        <f>IF(OR(C$27="",$A53=""),"",MIN($B53,C$49-SUM(C54:C55)))</f>
        <v/>
      </c>
      <c r="D53" s="138" t="str">
        <f t="shared" ref="D53:G53" si="30">IF(OR(D$27="",$A53=""),"",MIN($B53,D$49-SUM(D54:D55)))</f>
        <v/>
      </c>
      <c r="E53" s="138" t="str">
        <f t="shared" si="30"/>
        <v/>
      </c>
      <c r="F53" s="138" t="str">
        <f t="shared" si="30"/>
        <v/>
      </c>
      <c r="G53" s="138" t="str">
        <f t="shared" si="30"/>
        <v/>
      </c>
      <c r="H53" s="138" t="str">
        <f t="shared" ref="H53" si="31">IF(OR(H$27="",$A53=""),"",MIN($B53,H$49-SUM(H54:H55)))</f>
        <v/>
      </c>
      <c r="I53" s="138" t="str">
        <f t="shared" ref="I53" si="32">IF(OR(I$27="",$A53=""),"",MIN($B53,I$49-SUM(I54:I55)))</f>
        <v/>
      </c>
      <c r="J53" s="138" t="str">
        <f t="shared" ref="J53" si="33">IF(OR(J$27="",$A53=""),"",MIN($B53,J$49-SUM(J54:J55)))</f>
        <v/>
      </c>
      <c r="K53" s="138" t="str">
        <f t="shared" ref="K53" si="34">IF(OR(K$27="",$A53=""),"",MIN($B53,K$49-SUM(K54:K55)))</f>
        <v/>
      </c>
      <c r="L53" s="138" t="str">
        <f t="shared" ref="L53" si="35">IF(OR(L$27="",$A53=""),"",MIN($B53,L$49-SUM(L54:L55)))</f>
        <v/>
      </c>
      <c r="M53" s="27"/>
      <c r="N53" s="191"/>
    </row>
    <row r="54" spans="1:16" x14ac:dyDescent="0.35">
      <c r="A54" t="str">
        <f t="shared" si="19"/>
        <v xml:space="preserve">    To First Nations</v>
      </c>
      <c r="B54" s="128">
        <v>2.0099999999999998</v>
      </c>
      <c r="C54" s="106" t="str">
        <f>IF(OR(C$27="",$A54=""),"",MIN($B54,C$49-SUM(C55:C55)))</f>
        <v/>
      </c>
      <c r="D54" s="106" t="str">
        <f t="shared" ref="D54:G54" si="36">IF(OR(D$27="",$A54=""),"",MIN($B54,D$49-SUM(D55:D55)))</f>
        <v/>
      </c>
      <c r="E54" s="106" t="str">
        <f t="shared" si="36"/>
        <v/>
      </c>
      <c r="F54" s="106" t="str">
        <f t="shared" si="36"/>
        <v/>
      </c>
      <c r="G54" s="106" t="str">
        <f t="shared" si="36"/>
        <v/>
      </c>
      <c r="H54" s="106" t="str">
        <f t="shared" ref="H54" si="37">IF(OR(H$27="",$A54=""),"",MIN($B54,H$49-SUM(H55:H55)))</f>
        <v/>
      </c>
      <c r="I54" s="106" t="str">
        <f t="shared" ref="I54" si="38">IF(OR(I$27="",$A54=""),"",MIN($B54,I$49-SUM(I55:I55)))</f>
        <v/>
      </c>
      <c r="J54" s="106" t="str">
        <f t="shared" ref="J54" si="39">IF(OR(J$27="",$A54=""),"",MIN($B54,J$49-SUM(J55:J55)))</f>
        <v/>
      </c>
      <c r="K54" s="106" t="str">
        <f t="shared" ref="K54" si="40">IF(OR(K$27="",$A54=""),"",MIN($B54,K$49-SUM(K55:K55)))</f>
        <v/>
      </c>
      <c r="L54" s="106" t="str">
        <f t="shared" ref="L54" si="41">IF(OR(L$27="",$A54=""),"",MIN($B54,L$49-SUM(L55:L55)))</f>
        <v/>
      </c>
      <c r="M54" s="27"/>
      <c r="N54" s="191"/>
    </row>
    <row r="55" spans="1:16" x14ac:dyDescent="0.35">
      <c r="A55" t="str">
        <f t="shared" si="19"/>
        <v xml:space="preserve">    To Shared, Reserve</v>
      </c>
      <c r="B55" s="128" t="s">
        <v>335</v>
      </c>
      <c r="C55" s="106" t="str">
        <f>IF(OR(C$27="",$A55=""),"",IF(C$49&gt;C47,C47,C49))</f>
        <v/>
      </c>
      <c r="D55" s="106" t="str">
        <f t="shared" ref="D55:G55" si="42">IF(OR(D$27="",$A55=""),"",IF(D$49&gt;D47,D47,D49))</f>
        <v/>
      </c>
      <c r="E55" s="106" t="str">
        <f t="shared" si="42"/>
        <v/>
      </c>
      <c r="F55" s="106" t="str">
        <f t="shared" si="42"/>
        <v/>
      </c>
      <c r="G55" s="106" t="str">
        <f t="shared" si="42"/>
        <v/>
      </c>
      <c r="H55" s="106" t="str">
        <f t="shared" ref="H55:L55" si="43">IF(OR(H$27="",$A55=""),"",IF(H$49&gt;H47,H47,H49))</f>
        <v/>
      </c>
      <c r="I55" s="106" t="str">
        <f t="shared" si="43"/>
        <v/>
      </c>
      <c r="J55" s="106" t="str">
        <f t="shared" si="43"/>
        <v/>
      </c>
      <c r="K55" s="106" t="str">
        <f t="shared" si="43"/>
        <v/>
      </c>
      <c r="L55" s="106" t="str">
        <f t="shared" si="43"/>
        <v/>
      </c>
      <c r="M55" s="27"/>
      <c r="N55" s="191"/>
    </row>
    <row r="56" spans="1:16" x14ac:dyDescent="0.35">
      <c r="B56" s="157"/>
      <c r="C56" s="71"/>
      <c r="D56" s="27"/>
      <c r="E56" s="27"/>
      <c r="F56" s="157"/>
      <c r="G56" s="43"/>
      <c r="N56" s="190"/>
    </row>
    <row r="57" spans="1:16" x14ac:dyDescent="0.35">
      <c r="A57" s="134" t="s">
        <v>391</v>
      </c>
      <c r="B57" s="131"/>
      <c r="C57" s="131"/>
      <c r="D57" s="131"/>
      <c r="E57" s="131"/>
      <c r="F57" s="131"/>
      <c r="G57" s="131"/>
      <c r="H57" s="131"/>
      <c r="I57" s="131"/>
      <c r="J57" s="131"/>
      <c r="K57" s="131"/>
      <c r="L57" s="131"/>
      <c r="M57" s="131"/>
      <c r="N57" s="185" t="str">
        <f>N3</f>
        <v>HELP, CONTEXT, and SUGGESTIONS</v>
      </c>
    </row>
    <row r="58" spans="1:16" x14ac:dyDescent="0.35">
      <c r="A58" s="160" t="str">
        <f>IF(A$5="[Unused]","",A5)</f>
        <v>Upper Basin</v>
      </c>
      <c r="B58" s="132"/>
      <c r="C58" s="132"/>
      <c r="D58" s="132"/>
      <c r="E58" s="132"/>
      <c r="F58" s="132"/>
      <c r="G58" s="132"/>
      <c r="H58" s="132"/>
      <c r="I58" s="132"/>
      <c r="J58" s="132"/>
      <c r="K58" s="132"/>
      <c r="L58" s="132"/>
      <c r="M58" s="133" t="s">
        <v>105</v>
      </c>
      <c r="N58" s="186" t="s">
        <v>432</v>
      </c>
    </row>
    <row r="59" spans="1:16" x14ac:dyDescent="0.35">
      <c r="A59" s="169" t="str">
        <f>IF(A58="[Unused]","","   Enter volume to Buy(+) or Sell(-) [maf]")</f>
        <v xml:space="preserve">   Enter volume to Buy(+) or Sell(-) [maf]</v>
      </c>
      <c r="C59" s="123"/>
      <c r="D59" s="123"/>
      <c r="E59" s="123"/>
      <c r="F59" s="123"/>
      <c r="G59" s="123"/>
      <c r="H59" s="123"/>
      <c r="I59" s="123"/>
      <c r="J59" s="123"/>
      <c r="K59" s="123"/>
      <c r="L59" s="123"/>
      <c r="M59" s="65">
        <f>SUM(C59:L59)</f>
        <v>0</v>
      </c>
      <c r="N59" s="192" t="s">
        <v>433</v>
      </c>
    </row>
    <row r="60" spans="1:16" x14ac:dyDescent="0.35">
      <c r="A60" s="169" t="str">
        <f>IF(A59="","","   Enter compensation to Buy(-) or Sell(+) [$ Mill]")</f>
        <v xml:space="preserve">   Enter compensation to Buy(-) or Sell(+) [$ Mill]</v>
      </c>
      <c r="C60" s="124"/>
      <c r="D60" s="124"/>
      <c r="E60" s="124"/>
      <c r="F60" s="123"/>
      <c r="G60" s="124"/>
      <c r="H60" s="124"/>
      <c r="I60" s="124"/>
      <c r="J60" s="124"/>
      <c r="K60" s="124"/>
      <c r="L60" s="124"/>
      <c r="M60" s="63">
        <f>SUM(C60:L60)</f>
        <v>0</v>
      </c>
      <c r="N60" s="193" t="s">
        <v>434</v>
      </c>
    </row>
    <row r="61" spans="1:16" x14ac:dyDescent="0.35">
      <c r="A61" s="30" t="str">
        <f>IF(A60="","","   Net trade volume all players (should be zero)")</f>
        <v xml:space="preserve">   Net trade volume all players (should be zero)</v>
      </c>
      <c r="C61" s="65" t="str">
        <f t="shared" ref="C61:M61" si="44">IF(OR(C$27="",$A61=""),"",C$114)</f>
        <v/>
      </c>
      <c r="D61" s="65" t="str">
        <f t="shared" si="44"/>
        <v/>
      </c>
      <c r="E61" s="65" t="str">
        <f t="shared" si="44"/>
        <v/>
      </c>
      <c r="F61" s="65" t="str">
        <f t="shared" si="44"/>
        <v/>
      </c>
      <c r="G61" s="65" t="str">
        <f t="shared" si="44"/>
        <v/>
      </c>
      <c r="H61" s="65" t="str">
        <f t="shared" si="44"/>
        <v/>
      </c>
      <c r="I61" s="65" t="str">
        <f t="shared" si="44"/>
        <v/>
      </c>
      <c r="J61" s="65" t="str">
        <f t="shared" si="44"/>
        <v/>
      </c>
      <c r="K61" s="65" t="str">
        <f t="shared" si="44"/>
        <v/>
      </c>
      <c r="L61" s="65" t="str">
        <f t="shared" si="44"/>
        <v/>
      </c>
      <c r="M61" t="str">
        <f t="shared" si="44"/>
        <v/>
      </c>
      <c r="N61" s="189" t="s">
        <v>435</v>
      </c>
    </row>
    <row r="62" spans="1:16" x14ac:dyDescent="0.35">
      <c r="A62" s="1" t="str">
        <f>IF(A60="","","   Available Water [maf]")</f>
        <v xml:space="preserve">   Available Water [maf]</v>
      </c>
      <c r="C62" s="14" t="str">
        <f>IF(OR(C$27="",$A62=""),"",C32+C50-C42+C59)</f>
        <v/>
      </c>
      <c r="D62" s="14" t="str">
        <f t="shared" ref="D62:L62" si="45">IF(OR(D$27="",$A62=""),"",D32+D50-D42+D59)</f>
        <v/>
      </c>
      <c r="E62" s="14" t="str">
        <f t="shared" si="45"/>
        <v/>
      </c>
      <c r="F62" s="14" t="str">
        <f t="shared" si="45"/>
        <v/>
      </c>
      <c r="G62" s="14" t="str">
        <f t="shared" si="45"/>
        <v/>
      </c>
      <c r="H62" s="14" t="str">
        <f t="shared" si="45"/>
        <v/>
      </c>
      <c r="I62" s="14" t="str">
        <f t="shared" si="45"/>
        <v/>
      </c>
      <c r="J62" s="14" t="str">
        <f t="shared" si="45"/>
        <v/>
      </c>
      <c r="K62" s="14" t="str">
        <f t="shared" si="45"/>
        <v/>
      </c>
      <c r="L62" s="14" t="str">
        <f t="shared" si="45"/>
        <v/>
      </c>
      <c r="N62" s="189" t="s">
        <v>436</v>
      </c>
    </row>
    <row r="63" spans="1:16" x14ac:dyDescent="0.35">
      <c r="A63" s="168" t="str">
        <f>IF(A62="","","   Enter withdraw [maf] within available water")</f>
        <v xml:space="preserve">   Enter withdraw [maf] within available water</v>
      </c>
      <c r="C63" s="125"/>
      <c r="D63" s="125"/>
      <c r="E63" s="125"/>
      <c r="F63" s="125"/>
      <c r="G63" s="125"/>
      <c r="H63" s="125"/>
      <c r="I63" s="125"/>
      <c r="J63" s="125"/>
      <c r="K63" s="125"/>
      <c r="L63" s="125"/>
      <c r="N63" s="189" t="s">
        <v>449</v>
      </c>
    </row>
    <row r="64" spans="1:16" x14ac:dyDescent="0.35">
      <c r="A64" s="30" t="str">
        <f>IF(A63="","","   End of Year Balance [maf]")</f>
        <v xml:space="preserve">   End of Year Balance [maf]</v>
      </c>
      <c r="C64" s="64" t="str">
        <f>IF(OR(C$27="",$A64=""),"",C62-C63)</f>
        <v/>
      </c>
      <c r="D64" s="64" t="str">
        <f t="shared" ref="D64:L64" si="46">IF(OR(D$27="",$A64=""),"",D62-D63)</f>
        <v/>
      </c>
      <c r="E64" s="64" t="str">
        <f t="shared" si="46"/>
        <v/>
      </c>
      <c r="F64" s="64" t="str">
        <f t="shared" si="46"/>
        <v/>
      </c>
      <c r="G64" s="64" t="str">
        <f t="shared" si="46"/>
        <v/>
      </c>
      <c r="H64" s="64" t="str">
        <f t="shared" si="46"/>
        <v/>
      </c>
      <c r="I64" s="64" t="str">
        <f t="shared" si="46"/>
        <v/>
      </c>
      <c r="J64" s="64" t="str">
        <f t="shared" si="46"/>
        <v/>
      </c>
      <c r="K64" s="64" t="str">
        <f t="shared" si="46"/>
        <v/>
      </c>
      <c r="L64" s="64" t="str">
        <f t="shared" si="46"/>
        <v/>
      </c>
      <c r="N64" s="189" t="s">
        <v>437</v>
      </c>
    </row>
    <row r="65" spans="1:14" x14ac:dyDescent="0.35">
      <c r="C65"/>
      <c r="N65" s="190"/>
    </row>
    <row r="66" spans="1:14" x14ac:dyDescent="0.35">
      <c r="A66" s="160" t="str">
        <f>IF(A$6="","[Unused]",A6)</f>
        <v>Lower Basin</v>
      </c>
      <c r="B66" s="132"/>
      <c r="C66" s="132"/>
      <c r="D66" s="132"/>
      <c r="E66" s="132"/>
      <c r="F66" s="132"/>
      <c r="G66" s="132"/>
      <c r="H66" s="132"/>
      <c r="I66" s="132"/>
      <c r="J66" s="132"/>
      <c r="K66" s="132"/>
      <c r="L66" s="132"/>
      <c r="M66" s="133" t="s">
        <v>105</v>
      </c>
      <c r="N66" s="186" t="s">
        <v>432</v>
      </c>
    </row>
    <row r="67" spans="1:14" x14ac:dyDescent="0.35">
      <c r="A67" s="169" t="str">
        <f>IF(A66="[Unused]","",$A$59)</f>
        <v xml:space="preserve">   Enter volume to Buy(+) or Sell(-) [maf]</v>
      </c>
      <c r="C67" s="123"/>
      <c r="D67" s="123"/>
      <c r="E67" s="123"/>
      <c r="F67" s="123"/>
      <c r="G67" s="123"/>
      <c r="H67" s="123"/>
      <c r="I67" s="123"/>
      <c r="J67" s="123"/>
      <c r="K67" s="123"/>
      <c r="L67" s="123"/>
      <c r="M67" s="65">
        <f>SUM(C67:L67)</f>
        <v>0</v>
      </c>
      <c r="N67" s="192" t="s">
        <v>433</v>
      </c>
    </row>
    <row r="68" spans="1:14" x14ac:dyDescent="0.35">
      <c r="A68" s="169" t="str">
        <f>IF(A67="","",$A$60)</f>
        <v xml:space="preserve">   Enter compensation to Buy(-) or Sell(+) [$ Mill]</v>
      </c>
      <c r="C68" s="124"/>
      <c r="D68" s="124"/>
      <c r="E68" s="124"/>
      <c r="F68" s="124"/>
      <c r="G68" s="124"/>
      <c r="H68" s="124"/>
      <c r="I68" s="124"/>
      <c r="J68" s="124"/>
      <c r="K68" s="124"/>
      <c r="L68" s="124"/>
      <c r="M68" s="63">
        <f>SUM(C68:L68)</f>
        <v>0</v>
      </c>
      <c r="N68" s="193" t="s">
        <v>434</v>
      </c>
    </row>
    <row r="69" spans="1:14" x14ac:dyDescent="0.35">
      <c r="A69" s="175" t="str">
        <f>IF(A68="","",$A$61)</f>
        <v xml:space="preserve">   Net trade volume all players (should be zero)</v>
      </c>
      <c r="C69" s="65" t="str">
        <f t="shared" ref="C69:M69" si="47">IF(OR(C$27="",$A69=""),"",C$114)</f>
        <v/>
      </c>
      <c r="D69" s="65" t="str">
        <f t="shared" si="47"/>
        <v/>
      </c>
      <c r="E69" s="65" t="str">
        <f t="shared" si="47"/>
        <v/>
      </c>
      <c r="F69" s="65" t="str">
        <f t="shared" si="47"/>
        <v/>
      </c>
      <c r="G69" s="65" t="str">
        <f t="shared" si="47"/>
        <v/>
      </c>
      <c r="H69" s="65" t="str">
        <f t="shared" si="47"/>
        <v/>
      </c>
      <c r="I69" s="65" t="str">
        <f t="shared" si="47"/>
        <v/>
      </c>
      <c r="J69" s="65" t="str">
        <f t="shared" si="47"/>
        <v/>
      </c>
      <c r="K69" s="65" t="str">
        <f t="shared" si="47"/>
        <v/>
      </c>
      <c r="L69" s="65" t="str">
        <f t="shared" si="47"/>
        <v/>
      </c>
      <c r="M69" t="str">
        <f t="shared" si="47"/>
        <v/>
      </c>
      <c r="N69" s="189" t="s">
        <v>435</v>
      </c>
    </row>
    <row r="70" spans="1:14" x14ac:dyDescent="0.35">
      <c r="A70" s="1" t="str">
        <f>IF(A68="","","   Available Water [maf]")</f>
        <v xml:space="preserve">   Available Water [maf]</v>
      </c>
      <c r="C70" s="14" t="str">
        <f>IF(OR(C$27="",$A70=""),"",C33+C51-C43+C67)</f>
        <v/>
      </c>
      <c r="D70" s="14" t="str">
        <f t="shared" ref="D70:L70" si="48">IF(OR(D$27="",$A70=""),"",D33+D51-D43+D67)</f>
        <v/>
      </c>
      <c r="E70" s="14" t="str">
        <f t="shared" si="48"/>
        <v/>
      </c>
      <c r="F70" s="14" t="str">
        <f t="shared" si="48"/>
        <v/>
      </c>
      <c r="G70" s="14" t="str">
        <f t="shared" si="48"/>
        <v/>
      </c>
      <c r="H70" s="14" t="str">
        <f t="shared" si="48"/>
        <v/>
      </c>
      <c r="I70" s="14" t="str">
        <f t="shared" si="48"/>
        <v/>
      </c>
      <c r="J70" s="14" t="str">
        <f t="shared" si="48"/>
        <v/>
      </c>
      <c r="K70" s="14" t="str">
        <f t="shared" si="48"/>
        <v/>
      </c>
      <c r="L70" s="14" t="str">
        <f t="shared" si="48"/>
        <v/>
      </c>
      <c r="N70" s="189" t="s">
        <v>436</v>
      </c>
    </row>
    <row r="71" spans="1:14" x14ac:dyDescent="0.35">
      <c r="A71" s="168" t="str">
        <f>IF(A70="","",$A$63)</f>
        <v xml:space="preserve">   Enter withdraw [maf] within available water</v>
      </c>
      <c r="C71" s="125"/>
      <c r="D71" s="125"/>
      <c r="E71" s="125"/>
      <c r="F71" s="125"/>
      <c r="G71" s="125"/>
      <c r="H71" s="125"/>
      <c r="I71" s="125"/>
      <c r="J71" s="125"/>
      <c r="K71" s="125"/>
      <c r="L71" s="125"/>
      <c r="N71" s="189" t="s">
        <v>449</v>
      </c>
    </row>
    <row r="72" spans="1:14" x14ac:dyDescent="0.35">
      <c r="A72" s="30" t="str">
        <f>IF(A71="","","   End of Year Balance [maf]")</f>
        <v xml:space="preserve">   End of Year Balance [maf]</v>
      </c>
      <c r="C72" s="64" t="str">
        <f>IF(OR(C$27="",$A72=""),"",C70-C71)</f>
        <v/>
      </c>
      <c r="D72" s="64" t="str">
        <f t="shared" ref="D72:L72" si="49">IF(OR(D$27="",$A72=""),"",D70-D71)</f>
        <v/>
      </c>
      <c r="E72" s="64" t="str">
        <f t="shared" si="49"/>
        <v/>
      </c>
      <c r="F72" s="64" t="str">
        <f t="shared" si="49"/>
        <v/>
      </c>
      <c r="G72" s="64" t="str">
        <f t="shared" si="49"/>
        <v/>
      </c>
      <c r="H72" s="64" t="str">
        <f t="shared" si="49"/>
        <v/>
      </c>
      <c r="I72" s="64" t="str">
        <f t="shared" si="49"/>
        <v/>
      </c>
      <c r="J72" s="64" t="str">
        <f t="shared" si="49"/>
        <v/>
      </c>
      <c r="K72" s="64" t="str">
        <f t="shared" si="49"/>
        <v/>
      </c>
      <c r="L72" s="64" t="str">
        <f t="shared" si="49"/>
        <v/>
      </c>
      <c r="N72" s="189" t="s">
        <v>437</v>
      </c>
    </row>
    <row r="73" spans="1:14" x14ac:dyDescent="0.35">
      <c r="C73"/>
      <c r="N73" s="190"/>
    </row>
    <row r="74" spans="1:14" x14ac:dyDescent="0.35">
      <c r="A74" s="160" t="str">
        <f>IF(A$7="","[Unused]",A7)</f>
        <v>Mexico</v>
      </c>
      <c r="B74" s="132"/>
      <c r="C74" s="132"/>
      <c r="D74" s="132"/>
      <c r="E74" s="132"/>
      <c r="F74" s="132"/>
      <c r="G74" s="132"/>
      <c r="H74" s="132"/>
      <c r="I74" s="132"/>
      <c r="J74" s="132"/>
      <c r="K74" s="132"/>
      <c r="L74" s="132"/>
      <c r="M74" s="133" t="s">
        <v>105</v>
      </c>
      <c r="N74" s="186" t="s">
        <v>432</v>
      </c>
    </row>
    <row r="75" spans="1:14" x14ac:dyDescent="0.35">
      <c r="A75" s="169" t="str">
        <f>IF(A74="[Unused]","",$A$59)</f>
        <v xml:space="preserve">   Enter volume to Buy(+) or Sell(-) [maf]</v>
      </c>
      <c r="C75" s="123"/>
      <c r="D75" s="123"/>
      <c r="E75" s="123"/>
      <c r="F75" s="123"/>
      <c r="G75" s="123"/>
      <c r="H75" s="123"/>
      <c r="I75" s="123"/>
      <c r="J75" s="123"/>
      <c r="K75" s="123"/>
      <c r="L75" s="123"/>
      <c r="M75" s="65">
        <f>SUM(C75:L75)</f>
        <v>0</v>
      </c>
      <c r="N75" s="192" t="s">
        <v>433</v>
      </c>
    </row>
    <row r="76" spans="1:14" x14ac:dyDescent="0.35">
      <c r="A76" s="169" t="str">
        <f>IF(A75="","",$A$60)</f>
        <v xml:space="preserve">   Enter compensation to Buy(-) or Sell(+) [$ Mill]</v>
      </c>
      <c r="C76" s="124"/>
      <c r="D76" s="124"/>
      <c r="E76" s="124"/>
      <c r="F76" s="124"/>
      <c r="G76" s="124"/>
      <c r="H76" s="124"/>
      <c r="I76" s="124"/>
      <c r="J76" s="124"/>
      <c r="K76" s="124"/>
      <c r="L76" s="124"/>
      <c r="M76" s="63">
        <f>SUM(C76:L76)</f>
        <v>0</v>
      </c>
      <c r="N76" s="193" t="s">
        <v>434</v>
      </c>
    </row>
    <row r="77" spans="1:14" x14ac:dyDescent="0.35">
      <c r="A77" s="175" t="str">
        <f>IF(A76="","",$A$61)</f>
        <v xml:space="preserve">   Net trade volume all players (should be zero)</v>
      </c>
      <c r="C77" s="65" t="str">
        <f t="shared" ref="C77:M77" si="50">IF(OR(C$27="",$A77=""),"",C$114)</f>
        <v/>
      </c>
      <c r="D77" s="65" t="str">
        <f t="shared" si="50"/>
        <v/>
      </c>
      <c r="E77" s="65" t="str">
        <f t="shared" si="50"/>
        <v/>
      </c>
      <c r="F77" s="65" t="str">
        <f t="shared" si="50"/>
        <v/>
      </c>
      <c r="G77" s="65" t="str">
        <f t="shared" si="50"/>
        <v/>
      </c>
      <c r="H77" s="65" t="str">
        <f t="shared" si="50"/>
        <v/>
      </c>
      <c r="I77" s="65" t="str">
        <f t="shared" si="50"/>
        <v/>
      </c>
      <c r="J77" s="65" t="str">
        <f t="shared" si="50"/>
        <v/>
      </c>
      <c r="K77" s="65" t="str">
        <f t="shared" si="50"/>
        <v/>
      </c>
      <c r="L77" s="65" t="str">
        <f t="shared" si="50"/>
        <v/>
      </c>
      <c r="M77" t="str">
        <f t="shared" si="50"/>
        <v/>
      </c>
      <c r="N77" s="189" t="s">
        <v>435</v>
      </c>
    </row>
    <row r="78" spans="1:14" x14ac:dyDescent="0.35">
      <c r="A78" s="1" t="str">
        <f>IF(A76="","","   Available Water [maf]")</f>
        <v xml:space="preserve">   Available Water [maf]</v>
      </c>
      <c r="C78" s="14" t="str">
        <f>IF(OR(C$27="",$A78=""),"",C34+C52-C44+C75)</f>
        <v/>
      </c>
      <c r="D78" s="14" t="str">
        <f t="shared" ref="D78:L78" si="51">IF(OR(D$27="",$A78=""),"",D34+D52-D44+D75)</f>
        <v/>
      </c>
      <c r="E78" s="14" t="str">
        <f t="shared" si="51"/>
        <v/>
      </c>
      <c r="F78" s="14" t="str">
        <f t="shared" si="51"/>
        <v/>
      </c>
      <c r="G78" s="14" t="str">
        <f t="shared" si="51"/>
        <v/>
      </c>
      <c r="H78" s="14" t="str">
        <f t="shared" si="51"/>
        <v/>
      </c>
      <c r="I78" s="14" t="str">
        <f t="shared" si="51"/>
        <v/>
      </c>
      <c r="J78" s="14" t="str">
        <f t="shared" si="51"/>
        <v/>
      </c>
      <c r="K78" s="14" t="str">
        <f t="shared" si="51"/>
        <v/>
      </c>
      <c r="L78" s="14" t="str">
        <f t="shared" si="51"/>
        <v/>
      </c>
      <c r="N78" s="189" t="s">
        <v>436</v>
      </c>
    </row>
    <row r="79" spans="1:14" x14ac:dyDescent="0.35">
      <c r="A79" s="168" t="str">
        <f>IF(A78="","",$A$63)</f>
        <v xml:space="preserve">   Enter withdraw [maf] within available water</v>
      </c>
      <c r="C79" s="125"/>
      <c r="D79" s="125"/>
      <c r="E79" s="125"/>
      <c r="F79" s="125"/>
      <c r="G79" s="125"/>
      <c r="H79" s="125"/>
      <c r="I79" s="125"/>
      <c r="J79" s="125"/>
      <c r="K79" s="125"/>
      <c r="L79" s="125"/>
      <c r="N79" s="189" t="s">
        <v>449</v>
      </c>
    </row>
    <row r="80" spans="1:14" x14ac:dyDescent="0.35">
      <c r="A80" s="30" t="str">
        <f>IF(A79="","","   End of Year Balance [maf]")</f>
        <v xml:space="preserve">   End of Year Balance [maf]</v>
      </c>
      <c r="C80" s="64" t="str">
        <f>IF(OR(C$27="",$A80=""),"",C78-C79)</f>
        <v/>
      </c>
      <c r="D80" s="64" t="str">
        <f t="shared" ref="D80:L80" si="52">IF(OR(D$27="",$A80=""),"",D78-D79)</f>
        <v/>
      </c>
      <c r="E80" s="64" t="str">
        <f t="shared" si="52"/>
        <v/>
      </c>
      <c r="F80" s="64" t="str">
        <f t="shared" si="52"/>
        <v/>
      </c>
      <c r="G80" s="64" t="str">
        <f t="shared" si="52"/>
        <v/>
      </c>
      <c r="H80" s="64" t="str">
        <f t="shared" si="52"/>
        <v/>
      </c>
      <c r="I80" s="64" t="str">
        <f t="shared" si="52"/>
        <v/>
      </c>
      <c r="J80" s="64" t="str">
        <f t="shared" si="52"/>
        <v/>
      </c>
      <c r="K80" s="64" t="str">
        <f t="shared" si="52"/>
        <v/>
      </c>
      <c r="L80" s="64" t="str">
        <f t="shared" si="52"/>
        <v/>
      </c>
      <c r="N80" s="189" t="s">
        <v>437</v>
      </c>
    </row>
    <row r="81" spans="1:14" x14ac:dyDescent="0.35">
      <c r="C81"/>
      <c r="N81" s="190"/>
    </row>
    <row r="82" spans="1:14" x14ac:dyDescent="0.35">
      <c r="A82" s="160" t="str">
        <f>IF(A$8="","[Unused]",A8)</f>
        <v>Colorado River Delta</v>
      </c>
      <c r="B82" s="132"/>
      <c r="C82" s="132"/>
      <c r="D82" s="132"/>
      <c r="E82" s="132"/>
      <c r="F82" s="132"/>
      <c r="G82" s="132"/>
      <c r="H82" s="132"/>
      <c r="I82" s="132"/>
      <c r="J82" s="132"/>
      <c r="K82" s="132"/>
      <c r="L82" s="132"/>
      <c r="M82" s="133" t="s">
        <v>105</v>
      </c>
      <c r="N82" s="186" t="s">
        <v>432</v>
      </c>
    </row>
    <row r="83" spans="1:14" x14ac:dyDescent="0.35">
      <c r="A83" s="169" t="str">
        <f>IF(A82="[Unused]","",$A$59)</f>
        <v xml:space="preserve">   Enter volume to Buy(+) or Sell(-) [maf]</v>
      </c>
      <c r="C83" s="123"/>
      <c r="D83" s="123"/>
      <c r="E83" s="123"/>
      <c r="F83" s="123"/>
      <c r="G83" s="123"/>
      <c r="H83" s="123"/>
      <c r="I83" s="123"/>
      <c r="J83" s="123"/>
      <c r="K83" s="123"/>
      <c r="L83" s="123"/>
      <c r="M83" s="65">
        <f>SUM(C83:L83)</f>
        <v>0</v>
      </c>
      <c r="N83" s="192" t="s">
        <v>433</v>
      </c>
    </row>
    <row r="84" spans="1:14" x14ac:dyDescent="0.35">
      <c r="A84" s="169" t="str">
        <f>IF(A83="","",$A$60)</f>
        <v xml:space="preserve">   Enter compensation to Buy(-) or Sell(+) [$ Mill]</v>
      </c>
      <c r="C84" s="124"/>
      <c r="D84" s="124"/>
      <c r="E84" s="124"/>
      <c r="F84" s="124"/>
      <c r="G84" s="124"/>
      <c r="H84" s="124"/>
      <c r="I84" s="124"/>
      <c r="J84" s="124"/>
      <c r="K84" s="124"/>
      <c r="L84" s="124"/>
      <c r="M84" s="63">
        <f>SUM(C84:L84)</f>
        <v>0</v>
      </c>
      <c r="N84" s="193" t="s">
        <v>434</v>
      </c>
    </row>
    <row r="85" spans="1:14" x14ac:dyDescent="0.35">
      <c r="A85" s="175" t="str">
        <f>IF(A84="","",$A$61)</f>
        <v xml:space="preserve">   Net trade volume all players (should be zero)</v>
      </c>
      <c r="C85" s="65" t="str">
        <f t="shared" ref="C85:M85" si="53">IF(OR(C$27="",$A85=""),"",C$114)</f>
        <v/>
      </c>
      <c r="D85" s="65" t="str">
        <f t="shared" si="53"/>
        <v/>
      </c>
      <c r="E85" s="65" t="str">
        <f t="shared" si="53"/>
        <v/>
      </c>
      <c r="F85" s="65" t="str">
        <f t="shared" si="53"/>
        <v/>
      </c>
      <c r="G85" s="65" t="str">
        <f t="shared" si="53"/>
        <v/>
      </c>
      <c r="H85" s="65" t="str">
        <f t="shared" si="53"/>
        <v/>
      </c>
      <c r="I85" s="65" t="str">
        <f t="shared" si="53"/>
        <v/>
      </c>
      <c r="J85" s="65" t="str">
        <f t="shared" si="53"/>
        <v/>
      </c>
      <c r="K85" s="65" t="str">
        <f t="shared" si="53"/>
        <v/>
      </c>
      <c r="L85" s="65" t="str">
        <f t="shared" si="53"/>
        <v/>
      </c>
      <c r="M85" t="str">
        <f t="shared" si="53"/>
        <v/>
      </c>
      <c r="N85" s="189" t="s">
        <v>435</v>
      </c>
    </row>
    <row r="86" spans="1:14" x14ac:dyDescent="0.35">
      <c r="A86" s="1" t="str">
        <f>IF(A84="","","   Available Water [maf]")</f>
        <v xml:space="preserve">   Available Water [maf]</v>
      </c>
      <c r="C86" s="158" t="str">
        <f>IF(OR(C$27="",$A86=""),"",C35+C53-C45+C83)</f>
        <v/>
      </c>
      <c r="D86" s="158" t="str">
        <f t="shared" ref="D86:L86" si="54">IF(OR(D$27="",$A86=""),"",D35+D53-D45+D83)</f>
        <v/>
      </c>
      <c r="E86" s="158" t="str">
        <f t="shared" si="54"/>
        <v/>
      </c>
      <c r="F86" s="158" t="str">
        <f t="shared" si="54"/>
        <v/>
      </c>
      <c r="G86" s="158" t="str">
        <f t="shared" si="54"/>
        <v/>
      </c>
      <c r="H86" s="158" t="str">
        <f t="shared" si="54"/>
        <v/>
      </c>
      <c r="I86" s="158" t="str">
        <f t="shared" si="54"/>
        <v/>
      </c>
      <c r="J86" s="158" t="str">
        <f t="shared" si="54"/>
        <v/>
      </c>
      <c r="K86" s="158" t="str">
        <f t="shared" si="54"/>
        <v/>
      </c>
      <c r="L86" s="158" t="str">
        <f t="shared" si="54"/>
        <v/>
      </c>
      <c r="N86" s="189" t="s">
        <v>436</v>
      </c>
    </row>
    <row r="87" spans="1:14" x14ac:dyDescent="0.35">
      <c r="A87" s="168" t="str">
        <f>IF(A86="","",$A$63)</f>
        <v xml:space="preserve">   Enter withdraw [maf] within available water</v>
      </c>
      <c r="C87" s="159"/>
      <c r="D87" s="159"/>
      <c r="E87" s="159"/>
      <c r="F87" s="159"/>
      <c r="G87" s="159"/>
      <c r="H87" s="159"/>
      <c r="I87" s="159"/>
      <c r="J87" s="159"/>
      <c r="K87" s="159"/>
      <c r="L87" s="159"/>
      <c r="N87" s="189" t="s">
        <v>449</v>
      </c>
    </row>
    <row r="88" spans="1:14" x14ac:dyDescent="0.35">
      <c r="A88" s="30" t="str">
        <f>IF(A87="","","   End of Year Balance [maf]")</f>
        <v xml:space="preserve">   End of Year Balance [maf]</v>
      </c>
      <c r="C88" s="64" t="str">
        <f>IF(OR(C$27="",$A88=""),"",C86-C87)</f>
        <v/>
      </c>
      <c r="D88" s="64" t="str">
        <f t="shared" ref="D88:L88" si="55">IF(OR(D$27="",$A88=""),"",D86-D87)</f>
        <v/>
      </c>
      <c r="E88" s="64" t="str">
        <f t="shared" si="55"/>
        <v/>
      </c>
      <c r="F88" s="64" t="str">
        <f t="shared" si="55"/>
        <v/>
      </c>
      <c r="G88" s="64" t="str">
        <f t="shared" si="55"/>
        <v/>
      </c>
      <c r="H88" s="64" t="str">
        <f t="shared" si="55"/>
        <v/>
      </c>
      <c r="I88" s="64" t="str">
        <f t="shared" si="55"/>
        <v/>
      </c>
      <c r="J88" s="64" t="str">
        <f t="shared" si="55"/>
        <v/>
      </c>
      <c r="K88" s="64" t="str">
        <f t="shared" si="55"/>
        <v/>
      </c>
      <c r="L88" s="64" t="str">
        <f t="shared" si="55"/>
        <v/>
      </c>
      <c r="N88" s="189" t="s">
        <v>437</v>
      </c>
    </row>
    <row r="89" spans="1:14" x14ac:dyDescent="0.35">
      <c r="C89"/>
      <c r="N89" s="190"/>
    </row>
    <row r="90" spans="1:14" x14ac:dyDescent="0.35">
      <c r="A90" s="160" t="str">
        <f>IF(A$9="","[Unused]",A9)</f>
        <v>First Nations</v>
      </c>
      <c r="B90" s="132"/>
      <c r="C90" s="132"/>
      <c r="D90" s="132"/>
      <c r="E90" s="132"/>
      <c r="F90" s="132"/>
      <c r="G90" s="132"/>
      <c r="H90" s="132"/>
      <c r="I90" s="132"/>
      <c r="J90" s="132"/>
      <c r="K90" s="132"/>
      <c r="L90" s="132"/>
      <c r="M90" s="133" t="s">
        <v>105</v>
      </c>
      <c r="N90" s="186" t="s">
        <v>432</v>
      </c>
    </row>
    <row r="91" spans="1:14" x14ac:dyDescent="0.35">
      <c r="A91" s="30" t="str">
        <f>IF(A90="[Unused]","",$A$59)</f>
        <v xml:space="preserve">   Enter volume to Buy(+) or Sell(-) [maf]</v>
      </c>
      <c r="C91" s="123"/>
      <c r="D91" s="123"/>
      <c r="E91" s="123"/>
      <c r="F91" s="123"/>
      <c r="G91" s="123"/>
      <c r="H91" s="123"/>
      <c r="I91" s="123"/>
      <c r="J91" s="123"/>
      <c r="K91" s="123"/>
      <c r="L91" s="123"/>
      <c r="M91" s="65">
        <f>SUM(C91:L91)</f>
        <v>0</v>
      </c>
      <c r="N91" s="192" t="s">
        <v>433</v>
      </c>
    </row>
    <row r="92" spans="1:14" x14ac:dyDescent="0.35">
      <c r="A92" s="30" t="str">
        <f>IF(A91="","",$A$60)</f>
        <v xml:space="preserve">   Enter compensation to Buy(-) or Sell(+) [$ Mill]</v>
      </c>
      <c r="C92" s="124"/>
      <c r="D92" s="124"/>
      <c r="E92" s="124"/>
      <c r="F92" s="124"/>
      <c r="G92" s="124"/>
      <c r="H92" s="124"/>
      <c r="I92" s="124"/>
      <c r="J92" s="124"/>
      <c r="K92" s="124"/>
      <c r="L92" s="124"/>
      <c r="M92" s="63">
        <f>SUM(C92:L92)</f>
        <v>0</v>
      </c>
      <c r="N92" s="193" t="s">
        <v>434</v>
      </c>
    </row>
    <row r="93" spans="1:14" x14ac:dyDescent="0.35">
      <c r="A93" s="175" t="str">
        <f>IF(A92="","",$A$61)</f>
        <v xml:space="preserve">   Net trade volume all players (should be zero)</v>
      </c>
      <c r="C93" s="65" t="str">
        <f t="shared" ref="C93:M93" si="56">IF(OR(C$27="",$A93=""),"",C$114)</f>
        <v/>
      </c>
      <c r="D93" s="65" t="str">
        <f t="shared" si="56"/>
        <v/>
      </c>
      <c r="E93" s="65" t="str">
        <f t="shared" si="56"/>
        <v/>
      </c>
      <c r="F93" s="65" t="str">
        <f t="shared" si="56"/>
        <v/>
      </c>
      <c r="G93" s="65" t="str">
        <f t="shared" si="56"/>
        <v/>
      </c>
      <c r="H93" s="65" t="str">
        <f t="shared" si="56"/>
        <v/>
      </c>
      <c r="I93" s="65" t="str">
        <f t="shared" si="56"/>
        <v/>
      </c>
      <c r="J93" s="65" t="str">
        <f t="shared" si="56"/>
        <v/>
      </c>
      <c r="K93" s="65" t="str">
        <f t="shared" si="56"/>
        <v/>
      </c>
      <c r="L93" s="65" t="str">
        <f t="shared" si="56"/>
        <v/>
      </c>
      <c r="M93" t="str">
        <f t="shared" si="56"/>
        <v/>
      </c>
      <c r="N93" s="189" t="s">
        <v>435</v>
      </c>
    </row>
    <row r="94" spans="1:14" x14ac:dyDescent="0.35">
      <c r="A94" s="1" t="str">
        <f>IF(A92="","","   Available Water [maf]")</f>
        <v xml:space="preserve">   Available Water [maf]</v>
      </c>
      <c r="C94" s="14" t="str">
        <f>IF(OR(C$27="",$A94=""),"",C36+C54-C46+C91)</f>
        <v/>
      </c>
      <c r="D94" s="14" t="str">
        <f t="shared" ref="D94:L94" si="57">IF(OR(D$27="",$A94=""),"",D36+D54-D46+D91)</f>
        <v/>
      </c>
      <c r="E94" s="14" t="str">
        <f t="shared" si="57"/>
        <v/>
      </c>
      <c r="F94" s="14" t="str">
        <f t="shared" si="57"/>
        <v/>
      </c>
      <c r="G94" s="14" t="str">
        <f t="shared" si="57"/>
        <v/>
      </c>
      <c r="H94" s="14" t="str">
        <f t="shared" si="57"/>
        <v/>
      </c>
      <c r="I94" s="14" t="str">
        <f t="shared" si="57"/>
        <v/>
      </c>
      <c r="J94" s="14" t="str">
        <f t="shared" si="57"/>
        <v/>
      </c>
      <c r="K94" s="14" t="str">
        <f t="shared" si="57"/>
        <v/>
      </c>
      <c r="L94" s="14" t="str">
        <f t="shared" si="57"/>
        <v/>
      </c>
      <c r="N94" s="189" t="s">
        <v>436</v>
      </c>
    </row>
    <row r="95" spans="1:14" x14ac:dyDescent="0.35">
      <c r="A95" s="168" t="str">
        <f>IF(A94="","",$A$63)</f>
        <v xml:space="preserve">   Enter withdraw [maf] within available water</v>
      </c>
      <c r="C95" s="125"/>
      <c r="D95" s="125"/>
      <c r="E95" s="125"/>
      <c r="F95" s="125"/>
      <c r="G95" s="125"/>
      <c r="H95" s="125"/>
      <c r="I95" s="125"/>
      <c r="J95" s="125"/>
      <c r="K95" s="125"/>
      <c r="L95" s="125"/>
      <c r="N95" s="189" t="s">
        <v>449</v>
      </c>
    </row>
    <row r="96" spans="1:14" x14ac:dyDescent="0.35">
      <c r="A96" s="30" t="str">
        <f>IF(A95="","","   End of Year Balance [maf]")</f>
        <v xml:space="preserve">   End of Year Balance [maf]</v>
      </c>
      <c r="C96" s="64" t="str">
        <f>IF(OR(C$27="",$A96=""),"",C94-C95)</f>
        <v/>
      </c>
      <c r="D96" s="64" t="str">
        <f t="shared" ref="D96:L96" si="58">IF(OR(D$27="",$A96=""),"",D94-D95)</f>
        <v/>
      </c>
      <c r="E96" s="64" t="str">
        <f t="shared" si="58"/>
        <v/>
      </c>
      <c r="F96" s="64" t="str">
        <f t="shared" si="58"/>
        <v/>
      </c>
      <c r="G96" s="64" t="str">
        <f t="shared" si="58"/>
        <v/>
      </c>
      <c r="H96" s="64" t="str">
        <f t="shared" si="58"/>
        <v/>
      </c>
      <c r="I96" s="64" t="str">
        <f t="shared" si="58"/>
        <v/>
      </c>
      <c r="J96" s="64" t="str">
        <f t="shared" si="58"/>
        <v/>
      </c>
      <c r="K96" s="64" t="str">
        <f t="shared" si="58"/>
        <v/>
      </c>
      <c r="L96" s="64" t="str">
        <f t="shared" si="58"/>
        <v/>
      </c>
      <c r="N96" s="189" t="s">
        <v>437</v>
      </c>
    </row>
    <row r="97" spans="1:14" x14ac:dyDescent="0.35">
      <c r="C97"/>
      <c r="N97" s="190"/>
    </row>
    <row r="98" spans="1:14" x14ac:dyDescent="0.35">
      <c r="A98" s="160" t="str">
        <f>IF(A$10="","[Unused]",A10)</f>
        <v>Shared, Reserve</v>
      </c>
      <c r="B98" s="132"/>
      <c r="C98" s="132"/>
      <c r="D98" s="132"/>
      <c r="E98" s="132"/>
      <c r="F98" s="132"/>
      <c r="G98" s="132"/>
      <c r="H98" s="132"/>
      <c r="I98" s="132"/>
      <c r="J98" s="132"/>
      <c r="K98" s="132"/>
      <c r="L98" s="132"/>
      <c r="M98" s="133" t="s">
        <v>105</v>
      </c>
      <c r="N98" s="189" t="s">
        <v>447</v>
      </c>
    </row>
    <row r="99" spans="1:14" x14ac:dyDescent="0.35">
      <c r="A99" s="169" t="str">
        <f>IF(A98="[Unused]","",$A$59)</f>
        <v xml:space="preserve">   Enter volume to Buy(+) or Sell(-) [maf]</v>
      </c>
      <c r="C99" s="24"/>
      <c r="D99" s="24"/>
      <c r="E99" s="24"/>
      <c r="F99" s="24"/>
      <c r="G99" s="24"/>
      <c r="H99" s="24"/>
      <c r="I99" s="24"/>
      <c r="J99" s="24"/>
      <c r="K99" s="24"/>
      <c r="L99" s="24"/>
      <c r="M99" s="65">
        <f>SUM(C99:L99)</f>
        <v>0</v>
      </c>
      <c r="N99" s="194"/>
    </row>
    <row r="100" spans="1:14" x14ac:dyDescent="0.35">
      <c r="A100" s="169" t="str">
        <f>IF(A99="","",$A$60)</f>
        <v xml:space="preserve">   Enter compensation to Buy(-) or Sell(+) [$ Mill]</v>
      </c>
      <c r="C100" s="151"/>
      <c r="D100" s="151"/>
      <c r="E100" s="151"/>
      <c r="F100" s="151"/>
      <c r="G100" s="151"/>
      <c r="H100" s="151"/>
      <c r="I100" s="151"/>
      <c r="J100" s="151"/>
      <c r="K100" s="151"/>
      <c r="L100" s="151"/>
      <c r="M100" s="63">
        <f>SUM(C100:L100)</f>
        <v>0</v>
      </c>
      <c r="N100" s="195"/>
    </row>
    <row r="101" spans="1:14" x14ac:dyDescent="0.35">
      <c r="A101" s="175" t="str">
        <f>IF(A100="","",$A$61)</f>
        <v xml:space="preserve">   Net trade volume all players (should be zero)</v>
      </c>
      <c r="C101" s="65" t="str">
        <f t="shared" ref="C101:M101" si="59">IF(OR(C$27="",$A101=""),"",C$114)</f>
        <v/>
      </c>
      <c r="D101" s="65" t="str">
        <f t="shared" si="59"/>
        <v/>
      </c>
      <c r="E101" s="65" t="str">
        <f t="shared" si="59"/>
        <v/>
      </c>
      <c r="F101" s="65" t="str">
        <f t="shared" si="59"/>
        <v/>
      </c>
      <c r="G101" s="65" t="str">
        <f t="shared" si="59"/>
        <v/>
      </c>
      <c r="H101" s="65" t="str">
        <f t="shared" si="59"/>
        <v/>
      </c>
      <c r="I101" s="65" t="str">
        <f t="shared" si="59"/>
        <v/>
      </c>
      <c r="J101" s="65" t="str">
        <f t="shared" si="59"/>
        <v/>
      </c>
      <c r="K101" s="65" t="str">
        <f t="shared" si="59"/>
        <v/>
      </c>
      <c r="L101" s="65" t="str">
        <f t="shared" si="59"/>
        <v/>
      </c>
      <c r="M101" t="str">
        <f t="shared" si="59"/>
        <v/>
      </c>
      <c r="N101" s="190"/>
    </row>
    <row r="102" spans="1:14" x14ac:dyDescent="0.35">
      <c r="A102" s="1" t="str">
        <f>IF(A100="","","   Available Water [maf]")</f>
        <v xml:space="preserve">   Available Water [maf]</v>
      </c>
      <c r="C102" s="14" t="str">
        <f>IF(OR(C$27="",$A102=""),"",C37+C55-C47+C99)</f>
        <v/>
      </c>
      <c r="D102" s="14" t="str">
        <f t="shared" ref="D102:L102" si="60">IF(OR(D$27="",$A102=""),"",D37+D55-D47+D99)</f>
        <v/>
      </c>
      <c r="E102" s="14" t="str">
        <f t="shared" si="60"/>
        <v/>
      </c>
      <c r="F102" s="14" t="str">
        <f t="shared" si="60"/>
        <v/>
      </c>
      <c r="G102" s="14" t="str">
        <f t="shared" si="60"/>
        <v/>
      </c>
      <c r="H102" s="14" t="str">
        <f t="shared" si="60"/>
        <v/>
      </c>
      <c r="I102" s="14" t="str">
        <f t="shared" si="60"/>
        <v/>
      </c>
      <c r="J102" s="14" t="str">
        <f t="shared" si="60"/>
        <v/>
      </c>
      <c r="K102" s="14" t="str">
        <f t="shared" si="60"/>
        <v/>
      </c>
      <c r="L102" s="14" t="str">
        <f t="shared" si="60"/>
        <v/>
      </c>
      <c r="N102" s="190"/>
    </row>
    <row r="103" spans="1:14" x14ac:dyDescent="0.35">
      <c r="A103" s="168" t="str">
        <f>IF(A102="","",$A$63)</f>
        <v xml:space="preserve">   Enter withdraw [maf] within available water</v>
      </c>
      <c r="C103" s="41"/>
      <c r="D103" s="41"/>
      <c r="E103" s="41"/>
      <c r="F103" s="41"/>
      <c r="G103" s="41"/>
      <c r="H103" s="41"/>
      <c r="I103" s="41"/>
      <c r="J103" s="41"/>
      <c r="K103" s="41"/>
      <c r="L103" s="41"/>
      <c r="N103" s="190"/>
    </row>
    <row r="104" spans="1:14" x14ac:dyDescent="0.35">
      <c r="A104" s="30" t="str">
        <f>IF(A103="","","   End of Year Balance [maf]")</f>
        <v xml:space="preserve">   End of Year Balance [maf]</v>
      </c>
      <c r="C104" s="64" t="str">
        <f>IF(OR(C$27="",$A104=""),"",C102-C103)</f>
        <v/>
      </c>
      <c r="D104" s="64" t="str">
        <f t="shared" ref="D104:L104" si="61">IF(OR(D$27="",$A104=""),"",D102-D103)</f>
        <v/>
      </c>
      <c r="E104" s="64" t="str">
        <f t="shared" si="61"/>
        <v/>
      </c>
      <c r="F104" s="64" t="str">
        <f t="shared" si="61"/>
        <v/>
      </c>
      <c r="G104" s="64" t="str">
        <f t="shared" si="61"/>
        <v/>
      </c>
      <c r="H104" s="64" t="str">
        <f t="shared" si="61"/>
        <v/>
      </c>
      <c r="I104" s="64" t="str">
        <f t="shared" si="61"/>
        <v/>
      </c>
      <c r="J104" s="64" t="str">
        <f t="shared" si="61"/>
        <v/>
      </c>
      <c r="K104" s="64" t="str">
        <f t="shared" si="61"/>
        <v/>
      </c>
      <c r="L104" s="64" t="str">
        <f t="shared" si="61"/>
        <v/>
      </c>
      <c r="N104" s="190"/>
    </row>
    <row r="105" spans="1:14" x14ac:dyDescent="0.35">
      <c r="C105"/>
      <c r="N105" s="190"/>
    </row>
    <row r="106" spans="1:14" x14ac:dyDescent="0.35">
      <c r="A106" s="134" t="s">
        <v>411</v>
      </c>
      <c r="B106" s="134"/>
      <c r="C106" s="134"/>
      <c r="D106" s="134"/>
      <c r="E106" s="134"/>
      <c r="F106" s="134"/>
      <c r="G106" s="134"/>
      <c r="H106" s="134"/>
      <c r="I106" s="134"/>
      <c r="J106" s="134"/>
      <c r="K106" s="134"/>
      <c r="L106" s="134"/>
      <c r="M106" s="134"/>
      <c r="N106" s="189" t="s">
        <v>438</v>
      </c>
    </row>
    <row r="107" spans="1:14" x14ac:dyDescent="0.35">
      <c r="A107" s="1" t="s">
        <v>347</v>
      </c>
      <c r="C107"/>
      <c r="M107" t="s">
        <v>179</v>
      </c>
      <c r="N107" s="190"/>
    </row>
    <row r="108" spans="1:14" x14ac:dyDescent="0.35">
      <c r="A108" t="str">
        <f t="shared" ref="A108:A113" si="62">IF(A5="","","    "&amp;A5)</f>
        <v xml:space="preserve">    Upper Basin</v>
      </c>
      <c r="B108" s="1"/>
      <c r="C108" s="65" t="str">
        <f t="shared" ref="C108:L108" ca="1" si="63">IF(OR(C$27="",$A108=""),"",OFFSET(C$59,8*(ROW(B108)-ROW(B$108)),0))</f>
        <v/>
      </c>
      <c r="D108" s="65" t="str">
        <f t="shared" ca="1" si="63"/>
        <v/>
      </c>
      <c r="E108" s="65" t="str">
        <f t="shared" ca="1" si="63"/>
        <v/>
      </c>
      <c r="F108" s="65" t="str">
        <f t="shared" ca="1" si="63"/>
        <v/>
      </c>
      <c r="G108" s="65" t="str">
        <f t="shared" ca="1" si="63"/>
        <v/>
      </c>
      <c r="H108" s="65" t="str">
        <f t="shared" ca="1" si="63"/>
        <v/>
      </c>
      <c r="I108" s="65" t="str">
        <f t="shared" ca="1" si="63"/>
        <v/>
      </c>
      <c r="J108" s="65" t="str">
        <f t="shared" ca="1" si="63"/>
        <v/>
      </c>
      <c r="K108" s="65" t="str">
        <f t="shared" ca="1" si="63"/>
        <v/>
      </c>
      <c r="L108" s="180" t="str">
        <f t="shared" ca="1" si="63"/>
        <v/>
      </c>
      <c r="M108" s="181">
        <f ca="1">IF(OR($A108=""),"",SUM(C108:L108))</f>
        <v>0</v>
      </c>
      <c r="N108" s="194"/>
    </row>
    <row r="109" spans="1:14" x14ac:dyDescent="0.35">
      <c r="A109" t="str">
        <f t="shared" si="62"/>
        <v xml:space="preserve">    Lower Basin</v>
      </c>
      <c r="B109" s="1"/>
      <c r="C109" s="65" t="str">
        <f t="shared" ref="C109:L109" ca="1" si="64">IF(OR(C$27="",$A109=""),"",OFFSET(C$59,8*(ROW(B109)-ROW(B$108)),0))</f>
        <v/>
      </c>
      <c r="D109" s="65" t="str">
        <f t="shared" ca="1" si="64"/>
        <v/>
      </c>
      <c r="E109" s="65" t="str">
        <f t="shared" ca="1" si="64"/>
        <v/>
      </c>
      <c r="F109" s="65" t="str">
        <f t="shared" ca="1" si="64"/>
        <v/>
      </c>
      <c r="G109" s="65" t="str">
        <f t="shared" ca="1" si="64"/>
        <v/>
      </c>
      <c r="H109" s="65" t="str">
        <f t="shared" ca="1" si="64"/>
        <v/>
      </c>
      <c r="I109" s="65" t="str">
        <f t="shared" ca="1" si="64"/>
        <v/>
      </c>
      <c r="J109" s="65" t="str">
        <f t="shared" ca="1" si="64"/>
        <v/>
      </c>
      <c r="K109" s="65" t="str">
        <f t="shared" ca="1" si="64"/>
        <v/>
      </c>
      <c r="L109" s="180" t="str">
        <f t="shared" ca="1" si="64"/>
        <v/>
      </c>
      <c r="M109" s="181">
        <f t="shared" ref="M109:M113" ca="1" si="65">IF(OR($A109=""),"",SUM(C109:L109))</f>
        <v>0</v>
      </c>
      <c r="N109" s="194"/>
    </row>
    <row r="110" spans="1:14" x14ac:dyDescent="0.35">
      <c r="A110" t="str">
        <f t="shared" si="62"/>
        <v xml:space="preserve">    Mexico</v>
      </c>
      <c r="B110" s="1"/>
      <c r="C110" s="65" t="str">
        <f t="shared" ref="C110:L110" ca="1" si="66">IF(OR(C$27="",$A110=""),"",OFFSET(C$59,8*(ROW(B110)-ROW(B$108)),0))</f>
        <v/>
      </c>
      <c r="D110" s="65" t="str">
        <f t="shared" ca="1" si="66"/>
        <v/>
      </c>
      <c r="E110" s="65" t="str">
        <f t="shared" ca="1" si="66"/>
        <v/>
      </c>
      <c r="F110" s="65" t="str">
        <f t="shared" ca="1" si="66"/>
        <v/>
      </c>
      <c r="G110" s="65" t="str">
        <f t="shared" ca="1" si="66"/>
        <v/>
      </c>
      <c r="H110" s="65" t="str">
        <f t="shared" ca="1" si="66"/>
        <v/>
      </c>
      <c r="I110" s="65" t="str">
        <f t="shared" ca="1" si="66"/>
        <v/>
      </c>
      <c r="J110" s="65" t="str">
        <f t="shared" ca="1" si="66"/>
        <v/>
      </c>
      <c r="K110" s="65" t="str">
        <f t="shared" ca="1" si="66"/>
        <v/>
      </c>
      <c r="L110" s="180" t="str">
        <f t="shared" ca="1" si="66"/>
        <v/>
      </c>
      <c r="M110" s="181">
        <f t="shared" ca="1" si="65"/>
        <v>0</v>
      </c>
      <c r="N110" s="194"/>
    </row>
    <row r="111" spans="1:14" x14ac:dyDescent="0.35">
      <c r="A111" t="str">
        <f t="shared" si="62"/>
        <v xml:space="preserve">    Colorado River Delta</v>
      </c>
      <c r="B111" s="1"/>
      <c r="C111" s="65" t="str">
        <f t="shared" ref="C111:L111" ca="1" si="67">IF(OR(C$27="",$A111=""),"",OFFSET(C$59,8*(ROW(B111)-ROW(B$108)),0))</f>
        <v/>
      </c>
      <c r="D111" s="65" t="str">
        <f t="shared" ca="1" si="67"/>
        <v/>
      </c>
      <c r="E111" s="65" t="str">
        <f t="shared" ca="1" si="67"/>
        <v/>
      </c>
      <c r="F111" s="65" t="str">
        <f t="shared" ca="1" si="67"/>
        <v/>
      </c>
      <c r="G111" s="65" t="str">
        <f t="shared" ca="1" si="67"/>
        <v/>
      </c>
      <c r="H111" s="65" t="str">
        <f t="shared" ca="1" si="67"/>
        <v/>
      </c>
      <c r="I111" s="65" t="str">
        <f t="shared" ca="1" si="67"/>
        <v/>
      </c>
      <c r="J111" s="65" t="str">
        <f t="shared" ca="1" si="67"/>
        <v/>
      </c>
      <c r="K111" s="65" t="str">
        <f t="shared" ca="1" si="67"/>
        <v/>
      </c>
      <c r="L111" s="180" t="str">
        <f t="shared" ca="1" si="67"/>
        <v/>
      </c>
      <c r="M111" s="181">
        <f t="shared" ca="1" si="65"/>
        <v>0</v>
      </c>
      <c r="N111" s="194"/>
    </row>
    <row r="112" spans="1:14" x14ac:dyDescent="0.35">
      <c r="A112" t="str">
        <f t="shared" si="62"/>
        <v xml:space="preserve">    First Nations</v>
      </c>
      <c r="B112" s="1"/>
      <c r="C112" s="65" t="str">
        <f t="shared" ref="C112:L112" ca="1" si="68">IF(OR(C$27="",$A112=""),"",OFFSET(C$59,8*(ROW(B112)-ROW(B$108)),0))</f>
        <v/>
      </c>
      <c r="D112" s="65" t="str">
        <f t="shared" ca="1" si="68"/>
        <v/>
      </c>
      <c r="E112" s="65" t="str">
        <f t="shared" ca="1" si="68"/>
        <v/>
      </c>
      <c r="F112" s="65" t="str">
        <f t="shared" ca="1" si="68"/>
        <v/>
      </c>
      <c r="G112" s="65" t="str">
        <f t="shared" ca="1" si="68"/>
        <v/>
      </c>
      <c r="H112" s="65" t="str">
        <f t="shared" ca="1" si="68"/>
        <v/>
      </c>
      <c r="I112" s="65" t="str">
        <f t="shared" ca="1" si="68"/>
        <v/>
      </c>
      <c r="J112" s="65" t="str">
        <f t="shared" ca="1" si="68"/>
        <v/>
      </c>
      <c r="K112" s="65" t="str">
        <f t="shared" ca="1" si="68"/>
        <v/>
      </c>
      <c r="L112" s="180" t="str">
        <f t="shared" ca="1" si="68"/>
        <v/>
      </c>
      <c r="M112" s="181">
        <f t="shared" ca="1" si="65"/>
        <v>0</v>
      </c>
      <c r="N112" s="194"/>
    </row>
    <row r="113" spans="1:14" x14ac:dyDescent="0.35">
      <c r="A113" t="str">
        <f t="shared" si="62"/>
        <v xml:space="preserve">    Shared, Reserve</v>
      </c>
      <c r="B113" s="1"/>
      <c r="C113" s="65" t="str">
        <f t="shared" ref="C113:L113" ca="1" si="69">IF(OR(C$27="",$A113=""),"",OFFSET(C$59,8*(ROW(B113)-ROW(B$108)),0))</f>
        <v/>
      </c>
      <c r="D113" s="65" t="str">
        <f t="shared" ca="1" si="69"/>
        <v/>
      </c>
      <c r="E113" s="65" t="str">
        <f t="shared" ca="1" si="69"/>
        <v/>
      </c>
      <c r="F113" s="65" t="str">
        <f t="shared" ca="1" si="69"/>
        <v/>
      </c>
      <c r="G113" s="65" t="str">
        <f t="shared" ca="1" si="69"/>
        <v/>
      </c>
      <c r="H113" s="65" t="str">
        <f t="shared" ca="1" si="69"/>
        <v/>
      </c>
      <c r="I113" s="65" t="str">
        <f t="shared" ca="1" si="69"/>
        <v/>
      </c>
      <c r="J113" s="65" t="str">
        <f t="shared" ca="1" si="69"/>
        <v/>
      </c>
      <c r="K113" s="65" t="str">
        <f t="shared" ca="1" si="69"/>
        <v/>
      </c>
      <c r="L113" s="180" t="str">
        <f t="shared" ca="1" si="69"/>
        <v/>
      </c>
      <c r="M113" s="181">
        <f t="shared" ca="1" si="65"/>
        <v>0</v>
      </c>
      <c r="N113" s="194"/>
    </row>
    <row r="114" spans="1:14" x14ac:dyDescent="0.35">
      <c r="A114" t="s">
        <v>143</v>
      </c>
      <c r="B114" s="1"/>
      <c r="C114" s="49" t="str">
        <f>IF(C$27&lt;&gt;"",SUM(C108:C113),"")</f>
        <v/>
      </c>
      <c r="D114" s="49" t="str">
        <f t="shared" ref="D114:L114" si="70">IF(D$27&lt;&gt;"",SUM(D108:D113),"")</f>
        <v/>
      </c>
      <c r="E114" s="113" t="str">
        <f t="shared" si="70"/>
        <v/>
      </c>
      <c r="F114" s="49" t="str">
        <f t="shared" si="70"/>
        <v/>
      </c>
      <c r="G114" s="49" t="str">
        <f t="shared" si="70"/>
        <v/>
      </c>
      <c r="H114" s="49" t="str">
        <f t="shared" si="70"/>
        <v/>
      </c>
      <c r="I114" s="49" t="str">
        <f t="shared" si="70"/>
        <v/>
      </c>
      <c r="J114" s="49" t="str">
        <f t="shared" si="70"/>
        <v/>
      </c>
      <c r="K114" s="49" t="str">
        <f t="shared" si="70"/>
        <v/>
      </c>
      <c r="L114" s="49" t="str">
        <f t="shared" si="70"/>
        <v/>
      </c>
      <c r="M114" s="32"/>
      <c r="N114" s="196"/>
    </row>
    <row r="115" spans="1:14" x14ac:dyDescent="0.35">
      <c r="A115" s="1" t="s">
        <v>348</v>
      </c>
      <c r="B115" s="1"/>
      <c r="C115" s="52"/>
      <c r="D115" s="2"/>
      <c r="E115" s="52"/>
      <c r="F115" s="2"/>
      <c r="G115" s="2"/>
      <c r="H115" s="2"/>
      <c r="I115" s="2"/>
      <c r="J115" s="2"/>
      <c r="K115" s="2"/>
      <c r="L115" s="2"/>
      <c r="N115" s="190"/>
    </row>
    <row r="116" spans="1:14" x14ac:dyDescent="0.35">
      <c r="A116" t="str">
        <f>IF(A5="","","    "&amp;A5&amp;" - Consumptive Use and Headwaters Losses")</f>
        <v xml:space="preserve">    Upper Basin - Consumptive Use and Headwaters Losses</v>
      </c>
      <c r="C116" s="65" t="str">
        <f t="shared" ref="C116:L116" ca="1" si="71">IF(OR(C$27="",$A116=""),"",OFFSET(C$63,8*(ROW(B116)-ROW(B$116)),0))</f>
        <v/>
      </c>
      <c r="D116" s="65" t="str">
        <f t="shared" ca="1" si="71"/>
        <v/>
      </c>
      <c r="E116" s="65" t="str">
        <f t="shared" ca="1" si="71"/>
        <v/>
      </c>
      <c r="F116" s="65" t="str">
        <f t="shared" ca="1" si="71"/>
        <v/>
      </c>
      <c r="G116" s="65" t="str">
        <f t="shared" ca="1" si="71"/>
        <v/>
      </c>
      <c r="H116" s="65" t="str">
        <f t="shared" ca="1" si="71"/>
        <v/>
      </c>
      <c r="I116" s="65" t="str">
        <f t="shared" ca="1" si="71"/>
        <v/>
      </c>
      <c r="J116" s="65" t="str">
        <f t="shared" ca="1" si="71"/>
        <v/>
      </c>
      <c r="K116" s="65" t="str">
        <f t="shared" ca="1" si="71"/>
        <v/>
      </c>
      <c r="L116" s="65" t="str">
        <f t="shared" ca="1" si="71"/>
        <v/>
      </c>
      <c r="N116" s="190"/>
    </row>
    <row r="117" spans="1:14" x14ac:dyDescent="0.35">
      <c r="A117" t="str">
        <f>IF(A6="","","    "&amp;A6&amp;" - Release from Mead")</f>
        <v xml:space="preserve">    Lower Basin - Release from Mead</v>
      </c>
      <c r="C117" s="65" t="str">
        <f t="shared" ref="C117:L117" ca="1" si="72">IF(OR(C$27="",$A117=""),"",OFFSET(C$63,8*(ROW(B117)-ROW(B$116)),0))</f>
        <v/>
      </c>
      <c r="D117" s="65" t="str">
        <f t="shared" ca="1" si="72"/>
        <v/>
      </c>
      <c r="E117" s="65" t="str">
        <f t="shared" ca="1" si="72"/>
        <v/>
      </c>
      <c r="F117" s="65" t="str">
        <f t="shared" ca="1" si="72"/>
        <v/>
      </c>
      <c r="G117" s="65" t="str">
        <f t="shared" ca="1" si="72"/>
        <v/>
      </c>
      <c r="H117" s="65" t="str">
        <f t="shared" ca="1" si="72"/>
        <v/>
      </c>
      <c r="I117" s="65" t="str">
        <f t="shared" ca="1" si="72"/>
        <v/>
      </c>
      <c r="J117" s="65" t="str">
        <f t="shared" ca="1" si="72"/>
        <v/>
      </c>
      <c r="K117" s="65" t="str">
        <f t="shared" ca="1" si="72"/>
        <v/>
      </c>
      <c r="L117" s="65" t="str">
        <f t="shared" ca="1" si="72"/>
        <v/>
      </c>
      <c r="N117" s="190"/>
    </row>
    <row r="118" spans="1:14" x14ac:dyDescent="0.35">
      <c r="A118" t="str">
        <f>IF(A7="","","    "&amp;A7&amp;" - Release from Mead")</f>
        <v xml:space="preserve">    Mexico - Release from Mead</v>
      </c>
      <c r="C118" s="65" t="str">
        <f t="shared" ref="C118:L118" ca="1" si="73">IF(OR(C$27="",$A118=""),"",OFFSET(C$63,8*(ROW(B118)-ROW(B$116)),0))</f>
        <v/>
      </c>
      <c r="D118" s="65" t="str">
        <f t="shared" ca="1" si="73"/>
        <v/>
      </c>
      <c r="E118" s="65" t="str">
        <f t="shared" ca="1" si="73"/>
        <v/>
      </c>
      <c r="F118" s="65" t="str">
        <f t="shared" ca="1" si="73"/>
        <v/>
      </c>
      <c r="G118" s="65" t="str">
        <f t="shared" ca="1" si="73"/>
        <v/>
      </c>
      <c r="H118" s="65" t="str">
        <f t="shared" ca="1" si="73"/>
        <v/>
      </c>
      <c r="I118" s="65" t="str">
        <f t="shared" ca="1" si="73"/>
        <v/>
      </c>
      <c r="J118" s="65" t="str">
        <f t="shared" ca="1" si="73"/>
        <v/>
      </c>
      <c r="K118" s="65" t="str">
        <f t="shared" ca="1" si="73"/>
        <v/>
      </c>
      <c r="L118" s="65" t="str">
        <f t="shared" ca="1" si="73"/>
        <v/>
      </c>
      <c r="N118" s="190"/>
    </row>
    <row r="119" spans="1:14" x14ac:dyDescent="0.35">
      <c r="A119" t="str">
        <f>IF(A8="","","    "&amp;A8&amp;" - Release from Mead")</f>
        <v xml:space="preserve">    Colorado River Delta - Release from Mead</v>
      </c>
      <c r="C119" s="65" t="str">
        <f t="shared" ref="C119:L119" ca="1" si="74">IF(OR(C$27="",$A119=""),"",OFFSET(C$63,8*(ROW(B119)-ROW(B$116)),0))</f>
        <v/>
      </c>
      <c r="D119" s="65" t="str">
        <f t="shared" ca="1" si="74"/>
        <v/>
      </c>
      <c r="E119" s="65" t="str">
        <f t="shared" ca="1" si="74"/>
        <v/>
      </c>
      <c r="F119" s="65" t="str">
        <f t="shared" ca="1" si="74"/>
        <v/>
      </c>
      <c r="G119" s="65" t="str">
        <f t="shared" ca="1" si="74"/>
        <v/>
      </c>
      <c r="H119" s="65" t="str">
        <f t="shared" ca="1" si="74"/>
        <v/>
      </c>
      <c r="I119" s="65" t="str">
        <f t="shared" ca="1" si="74"/>
        <v/>
      </c>
      <c r="J119" s="65" t="str">
        <f t="shared" ca="1" si="74"/>
        <v/>
      </c>
      <c r="K119" s="65" t="str">
        <f t="shared" ca="1" si="74"/>
        <v/>
      </c>
      <c r="L119" s="65" t="str">
        <f t="shared" ca="1" si="74"/>
        <v/>
      </c>
      <c r="N119" s="190"/>
    </row>
    <row r="120" spans="1:14" x14ac:dyDescent="0.35">
      <c r="A120" t="str">
        <f>IF(A9="","","    "&amp;A9&amp;" - Release from Mead")</f>
        <v xml:space="preserve">    First Nations - Release from Mead</v>
      </c>
      <c r="C120" s="65" t="str">
        <f t="shared" ref="C120:L120" ca="1" si="75">IF(OR(C$27="",$A120=""),"",OFFSET(C$63,8*(ROW(B120)-ROW(B$116)),0))</f>
        <v/>
      </c>
      <c r="D120" s="65" t="str">
        <f t="shared" ca="1" si="75"/>
        <v/>
      </c>
      <c r="E120" s="65" t="str">
        <f t="shared" ca="1" si="75"/>
        <v/>
      </c>
      <c r="F120" s="65" t="str">
        <f t="shared" ca="1" si="75"/>
        <v/>
      </c>
      <c r="G120" s="65" t="str">
        <f t="shared" ca="1" si="75"/>
        <v/>
      </c>
      <c r="H120" s="65" t="str">
        <f t="shared" ca="1" si="75"/>
        <v/>
      </c>
      <c r="I120" s="65" t="str">
        <f t="shared" ca="1" si="75"/>
        <v/>
      </c>
      <c r="J120" s="65" t="str">
        <f t="shared" ca="1" si="75"/>
        <v/>
      </c>
      <c r="K120" s="65" t="str">
        <f t="shared" ca="1" si="75"/>
        <v/>
      </c>
      <c r="L120" s="65" t="str">
        <f t="shared" ca="1" si="75"/>
        <v/>
      </c>
      <c r="N120" s="190"/>
    </row>
    <row r="121" spans="1:14" x14ac:dyDescent="0.35">
      <c r="A121" t="str">
        <f>IF(A10="","","    "&amp;A10&amp;" - Release from Mead")</f>
        <v xml:space="preserve">    Shared, Reserve - Release from Mead</v>
      </c>
      <c r="C121" s="65" t="str">
        <f t="shared" ref="C121:L121" ca="1" si="76">IF(OR(C$27="",$A121=""),"",OFFSET(C$63,8*(ROW(B121)-ROW(B$116)),0))</f>
        <v/>
      </c>
      <c r="D121" s="65" t="str">
        <f t="shared" ca="1" si="76"/>
        <v/>
      </c>
      <c r="E121" s="65" t="str">
        <f t="shared" ca="1" si="76"/>
        <v/>
      </c>
      <c r="F121" s="65" t="str">
        <f t="shared" ca="1" si="76"/>
        <v/>
      </c>
      <c r="G121" s="65" t="str">
        <f t="shared" ca="1" si="76"/>
        <v/>
      </c>
      <c r="H121" s="65" t="str">
        <f t="shared" ca="1" si="76"/>
        <v/>
      </c>
      <c r="I121" s="65" t="str">
        <f t="shared" ca="1" si="76"/>
        <v/>
      </c>
      <c r="J121" s="65" t="str">
        <f t="shared" ca="1" si="76"/>
        <v/>
      </c>
      <c r="K121" s="65" t="str">
        <f t="shared" ca="1" si="76"/>
        <v/>
      </c>
      <c r="L121" s="65" t="str">
        <f t="shared" ca="1" si="76"/>
        <v/>
      </c>
      <c r="N121" s="190"/>
    </row>
    <row r="122" spans="1:14" x14ac:dyDescent="0.35">
      <c r="A122" s="1" t="s">
        <v>137</v>
      </c>
      <c r="B122" s="1"/>
      <c r="D122" s="2"/>
      <c r="E122" s="2"/>
      <c r="F122" s="2"/>
      <c r="G122" s="2"/>
      <c r="H122" s="2"/>
      <c r="I122" s="2"/>
      <c r="J122" s="2"/>
      <c r="K122" s="2"/>
      <c r="L122" s="2"/>
      <c r="N122" s="190"/>
    </row>
    <row r="123" spans="1:14" x14ac:dyDescent="0.35">
      <c r="A123" t="str">
        <f t="shared" ref="A123:A128" si="77">IF(A5="","","    "&amp;A5)</f>
        <v xml:space="preserve">    Upper Basin</v>
      </c>
      <c r="C123" s="65" t="str">
        <f t="shared" ref="C123:L123" ca="1" si="78">IF(OR(C$27="",$A123=""),"",OFFSET(C$64,8*(ROW(B123)-ROW(B$123)),0))</f>
        <v/>
      </c>
      <c r="D123" s="65" t="str">
        <f t="shared" ca="1" si="78"/>
        <v/>
      </c>
      <c r="E123" s="65" t="str">
        <f t="shared" ca="1" si="78"/>
        <v/>
      </c>
      <c r="F123" s="65" t="str">
        <f t="shared" ca="1" si="78"/>
        <v/>
      </c>
      <c r="G123" s="65" t="str">
        <f t="shared" ca="1" si="78"/>
        <v/>
      </c>
      <c r="H123" s="65" t="str">
        <f t="shared" ca="1" si="78"/>
        <v/>
      </c>
      <c r="I123" s="65" t="str">
        <f t="shared" ca="1" si="78"/>
        <v/>
      </c>
      <c r="J123" s="65" t="str">
        <f t="shared" ca="1" si="78"/>
        <v/>
      </c>
      <c r="K123" s="65" t="str">
        <f t="shared" ca="1" si="78"/>
        <v/>
      </c>
      <c r="L123" s="65" t="str">
        <f t="shared" ca="1" si="78"/>
        <v/>
      </c>
      <c r="N123" s="190"/>
    </row>
    <row r="124" spans="1:14" x14ac:dyDescent="0.35">
      <c r="A124" t="str">
        <f t="shared" si="77"/>
        <v xml:space="preserve">    Lower Basin</v>
      </c>
      <c r="C124" s="65" t="str">
        <f t="shared" ref="C124:L124" ca="1" si="79">IF(OR(C$27="",$A124=""),"",OFFSET(C$64,8*(ROW(B124)-ROW(B$123)),0))</f>
        <v/>
      </c>
      <c r="D124" s="65" t="str">
        <f t="shared" ca="1" si="79"/>
        <v/>
      </c>
      <c r="E124" s="65" t="str">
        <f t="shared" ca="1" si="79"/>
        <v/>
      </c>
      <c r="F124" s="65" t="str">
        <f t="shared" ca="1" si="79"/>
        <v/>
      </c>
      <c r="G124" s="65" t="str">
        <f t="shared" ca="1" si="79"/>
        <v/>
      </c>
      <c r="H124" s="65" t="str">
        <f t="shared" ca="1" si="79"/>
        <v/>
      </c>
      <c r="I124" s="65" t="str">
        <f t="shared" ca="1" si="79"/>
        <v/>
      </c>
      <c r="J124" s="65" t="str">
        <f t="shared" ca="1" si="79"/>
        <v/>
      </c>
      <c r="K124" s="65" t="str">
        <f t="shared" ca="1" si="79"/>
        <v/>
      </c>
      <c r="L124" s="65" t="str">
        <f t="shared" ca="1" si="79"/>
        <v/>
      </c>
      <c r="N124" s="190"/>
    </row>
    <row r="125" spans="1:14" x14ac:dyDescent="0.35">
      <c r="A125" t="str">
        <f t="shared" si="77"/>
        <v xml:space="preserve">    Mexico</v>
      </c>
      <c r="C125" s="65" t="str">
        <f t="shared" ref="C125:L125" ca="1" si="80">IF(OR(C$27="",$A125=""),"",OFFSET(C$64,8*(ROW(B125)-ROW(B$123)),0))</f>
        <v/>
      </c>
      <c r="D125" s="65" t="str">
        <f t="shared" ca="1" si="80"/>
        <v/>
      </c>
      <c r="E125" s="65" t="str">
        <f t="shared" ca="1" si="80"/>
        <v/>
      </c>
      <c r="F125" s="65" t="str">
        <f t="shared" ca="1" si="80"/>
        <v/>
      </c>
      <c r="G125" s="65" t="str">
        <f t="shared" ca="1" si="80"/>
        <v/>
      </c>
      <c r="H125" s="65" t="str">
        <f t="shared" ca="1" si="80"/>
        <v/>
      </c>
      <c r="I125" s="65" t="str">
        <f t="shared" ca="1" si="80"/>
        <v/>
      </c>
      <c r="J125" s="65" t="str">
        <f t="shared" ca="1" si="80"/>
        <v/>
      </c>
      <c r="K125" s="65" t="str">
        <f t="shared" ca="1" si="80"/>
        <v/>
      </c>
      <c r="L125" s="65" t="str">
        <f t="shared" ca="1" si="80"/>
        <v/>
      </c>
      <c r="N125" s="190"/>
    </row>
    <row r="126" spans="1:14" x14ac:dyDescent="0.35">
      <c r="A126" t="str">
        <f t="shared" si="77"/>
        <v xml:space="preserve">    Colorado River Delta</v>
      </c>
      <c r="C126" s="65" t="str">
        <f t="shared" ref="C126:L126" ca="1" si="81">IF(OR(C$27="",$A126=""),"",OFFSET(C$64,8*(ROW(B126)-ROW(B$123)),0))</f>
        <v/>
      </c>
      <c r="D126" s="65" t="str">
        <f t="shared" ca="1" si="81"/>
        <v/>
      </c>
      <c r="E126" s="65" t="str">
        <f t="shared" ca="1" si="81"/>
        <v/>
      </c>
      <c r="F126" s="65" t="str">
        <f t="shared" ca="1" si="81"/>
        <v/>
      </c>
      <c r="G126" s="65" t="str">
        <f t="shared" ca="1" si="81"/>
        <v/>
      </c>
      <c r="H126" s="65" t="str">
        <f t="shared" ca="1" si="81"/>
        <v/>
      </c>
      <c r="I126" s="65" t="str">
        <f t="shared" ca="1" si="81"/>
        <v/>
      </c>
      <c r="J126" s="65" t="str">
        <f t="shared" ca="1" si="81"/>
        <v/>
      </c>
      <c r="K126" s="65" t="str">
        <f t="shared" ca="1" si="81"/>
        <v/>
      </c>
      <c r="L126" s="65" t="str">
        <f t="shared" ca="1" si="81"/>
        <v/>
      </c>
      <c r="N126" s="190"/>
    </row>
    <row r="127" spans="1:14" x14ac:dyDescent="0.35">
      <c r="A127" t="str">
        <f t="shared" si="77"/>
        <v xml:space="preserve">    First Nations</v>
      </c>
      <c r="C127" s="65" t="str">
        <f t="shared" ref="C127:L127" ca="1" si="82">IF(OR(C$27="",$A127=""),"",OFFSET(C$64,8*(ROW(B127)-ROW(B$123)),0))</f>
        <v/>
      </c>
      <c r="D127" s="65" t="str">
        <f t="shared" ca="1" si="82"/>
        <v/>
      </c>
      <c r="E127" s="65" t="str">
        <f t="shared" ca="1" si="82"/>
        <v/>
      </c>
      <c r="F127" s="65" t="str">
        <f t="shared" ca="1" si="82"/>
        <v/>
      </c>
      <c r="G127" s="65" t="str">
        <f t="shared" ca="1" si="82"/>
        <v/>
      </c>
      <c r="H127" s="65" t="str">
        <f t="shared" ca="1" si="82"/>
        <v/>
      </c>
      <c r="I127" s="65" t="str">
        <f t="shared" ca="1" si="82"/>
        <v/>
      </c>
      <c r="J127" s="65" t="str">
        <f t="shared" ca="1" si="82"/>
        <v/>
      </c>
      <c r="K127" s="65" t="str">
        <f t="shared" ca="1" si="82"/>
        <v/>
      </c>
      <c r="L127" s="65" t="str">
        <f t="shared" ca="1" si="82"/>
        <v/>
      </c>
      <c r="N127" s="190"/>
    </row>
    <row r="128" spans="1:14" x14ac:dyDescent="0.35">
      <c r="A128" t="str">
        <f t="shared" si="77"/>
        <v xml:space="preserve">    Shared, Reserve</v>
      </c>
      <c r="C128" s="65" t="str">
        <f t="shared" ref="C128:L128" ca="1" si="83">IF(OR(C$27="",$A128=""),"",OFFSET(C$64,8*(ROW(B128)-ROW(B$123)),0))</f>
        <v/>
      </c>
      <c r="D128" s="65" t="str">
        <f t="shared" ca="1" si="83"/>
        <v/>
      </c>
      <c r="E128" s="65" t="str">
        <f t="shared" ca="1" si="83"/>
        <v/>
      </c>
      <c r="F128" s="65" t="str">
        <f t="shared" ca="1" si="83"/>
        <v/>
      </c>
      <c r="G128" s="65" t="str">
        <f t="shared" ca="1" si="83"/>
        <v/>
      </c>
      <c r="H128" s="65" t="str">
        <f t="shared" ca="1" si="83"/>
        <v/>
      </c>
      <c r="I128" s="65" t="str">
        <f t="shared" ca="1" si="83"/>
        <v/>
      </c>
      <c r="J128" s="65" t="str">
        <f t="shared" ca="1" si="83"/>
        <v/>
      </c>
      <c r="K128" s="65" t="str">
        <f t="shared" ca="1" si="83"/>
        <v/>
      </c>
      <c r="L128" s="65" t="str">
        <f t="shared" ca="1" si="83"/>
        <v/>
      </c>
      <c r="N128" s="190"/>
    </row>
    <row r="129" spans="1:14" x14ac:dyDescent="0.35">
      <c r="A129" s="1" t="s">
        <v>349</v>
      </c>
      <c r="B129" s="1"/>
      <c r="C129" s="14" t="str">
        <f>IF(C$27&lt;&gt;"",SUM(C123:C128),"")</f>
        <v/>
      </c>
      <c r="D129" s="14" t="str">
        <f t="shared" ref="D129:L129" si="84">IF(D$27&lt;&gt;"",SUM(D123:D128),"")</f>
        <v/>
      </c>
      <c r="E129" s="14" t="str">
        <f t="shared" si="84"/>
        <v/>
      </c>
      <c r="F129" s="14" t="str">
        <f t="shared" si="84"/>
        <v/>
      </c>
      <c r="G129" s="14" t="str">
        <f t="shared" si="84"/>
        <v/>
      </c>
      <c r="H129" s="14" t="str">
        <f t="shared" si="84"/>
        <v/>
      </c>
      <c r="I129" s="14" t="str">
        <f t="shared" si="84"/>
        <v/>
      </c>
      <c r="J129" s="14" t="str">
        <f t="shared" si="84"/>
        <v/>
      </c>
      <c r="K129" s="14" t="str">
        <f t="shared" si="84"/>
        <v/>
      </c>
      <c r="L129" s="14" t="str">
        <f t="shared" si="84"/>
        <v/>
      </c>
      <c r="N129" s="189" t="s">
        <v>439</v>
      </c>
    </row>
    <row r="130" spans="1:14" ht="29.5" customHeight="1" x14ac:dyDescent="0.35">
      <c r="A130" s="224" t="s">
        <v>412</v>
      </c>
      <c r="B130" s="225"/>
      <c r="C130" s="170"/>
      <c r="D130" s="170"/>
      <c r="E130" s="170"/>
      <c r="F130" s="170"/>
      <c r="G130" s="170"/>
      <c r="H130" s="170"/>
      <c r="I130" s="170"/>
      <c r="J130" s="170"/>
      <c r="K130" s="170"/>
      <c r="L130" s="170"/>
      <c r="N130" s="186" t="s">
        <v>440</v>
      </c>
    </row>
    <row r="131" spans="1:14" x14ac:dyDescent="0.35">
      <c r="A131" s="1" t="s">
        <v>360</v>
      </c>
      <c r="B131" s="1"/>
      <c r="C131" s="14" t="str">
        <f>IF(C27="","",C$130*C$129)</f>
        <v/>
      </c>
      <c r="D131" s="14" t="str">
        <f t="shared" ref="D131:L131" si="85">IF(D27="","",D$130*D$129)</f>
        <v/>
      </c>
      <c r="E131" s="14" t="str">
        <f t="shared" si="85"/>
        <v/>
      </c>
      <c r="F131" s="14" t="str">
        <f t="shared" si="85"/>
        <v/>
      </c>
      <c r="G131" s="14" t="str">
        <f t="shared" si="85"/>
        <v/>
      </c>
      <c r="H131" s="14" t="str">
        <f t="shared" si="85"/>
        <v/>
      </c>
      <c r="I131" s="14" t="str">
        <f t="shared" si="85"/>
        <v/>
      </c>
      <c r="J131" s="14" t="str">
        <f t="shared" si="85"/>
        <v/>
      </c>
      <c r="K131" s="14" t="str">
        <f t="shared" si="85"/>
        <v/>
      </c>
      <c r="L131" s="14" t="str">
        <f t="shared" si="85"/>
        <v/>
      </c>
      <c r="N131" s="189" t="s">
        <v>451</v>
      </c>
    </row>
    <row r="132" spans="1:14" x14ac:dyDescent="0.35">
      <c r="A132" s="1" t="s">
        <v>361</v>
      </c>
      <c r="B132" s="1"/>
      <c r="C132" s="14" t="str">
        <f>IF(C28="","",(1-C$130)*C$129)</f>
        <v/>
      </c>
      <c r="D132" s="14" t="str">
        <f t="shared" ref="D132:L132" si="86">IF(D28="","",(1-D$130)*D$129)</f>
        <v/>
      </c>
      <c r="E132" s="14" t="str">
        <f t="shared" si="86"/>
        <v/>
      </c>
      <c r="F132" s="14" t="str">
        <f t="shared" si="86"/>
        <v/>
      </c>
      <c r="G132" s="14" t="str">
        <f t="shared" si="86"/>
        <v/>
      </c>
      <c r="H132" s="14" t="str">
        <f t="shared" si="86"/>
        <v/>
      </c>
      <c r="I132" s="14" t="str">
        <f t="shared" si="86"/>
        <v/>
      </c>
      <c r="J132" s="14" t="str">
        <f t="shared" si="86"/>
        <v/>
      </c>
      <c r="K132" s="14" t="str">
        <f t="shared" si="86"/>
        <v/>
      </c>
      <c r="L132" s="14" t="str">
        <f t="shared" si="86"/>
        <v/>
      </c>
      <c r="N132" s="189" t="s">
        <v>451</v>
      </c>
    </row>
    <row r="133" spans="1:14" x14ac:dyDescent="0.35">
      <c r="A133" s="30" t="s">
        <v>255</v>
      </c>
      <c r="B133" s="1"/>
      <c r="C133" s="81" t="str">
        <f>IF(C$27&lt;&gt;"",VLOOKUP(C131*1000000,'Powell-Elevation-Area'!$B$5:$H$689,7),"")</f>
        <v/>
      </c>
      <c r="D133" s="81" t="str">
        <f>IF(D$27&lt;&gt;"",VLOOKUP(D131*1000000,'Powell-Elevation-Area'!$B$5:$H$689,7),"")</f>
        <v/>
      </c>
      <c r="E133" s="81" t="str">
        <f>IF(E$27&lt;&gt;"",VLOOKUP(E131*1000000,'Powell-Elevation-Area'!$B$5:$H$689,7),"")</f>
        <v/>
      </c>
      <c r="F133" s="81" t="str">
        <f>IF(F$27&lt;&gt;"",VLOOKUP(F131*1000000,'Powell-Elevation-Area'!$B$5:$H$689,7),"")</f>
        <v/>
      </c>
      <c r="G133" s="81" t="str">
        <f>IF(G$27&lt;&gt;"",VLOOKUP(G131*1000000,'Powell-Elevation-Area'!$B$5:$H$689,7),"")</f>
        <v/>
      </c>
      <c r="H133" s="81" t="str">
        <f>IF(H$27&lt;&gt;"",VLOOKUP(H131*1000000,'Powell-Elevation-Area'!$B$5:$H$689,7),"")</f>
        <v/>
      </c>
      <c r="I133" s="81" t="str">
        <f>IF(I$27&lt;&gt;"",VLOOKUP(I131*1000000,'Powell-Elevation-Area'!$B$5:$H$689,7),"")</f>
        <v/>
      </c>
      <c r="J133" s="81" t="str">
        <f>IF(J$27&lt;&gt;"",VLOOKUP(J131*1000000,'Powell-Elevation-Area'!$B$5:$H$689,7),"")</f>
        <v/>
      </c>
      <c r="K133" s="81" t="str">
        <f>IF(K$27&lt;&gt;"",VLOOKUP(K131*1000000,'Powell-Elevation-Area'!$B$5:$H$689,7),"")</f>
        <v/>
      </c>
      <c r="L133" s="81" t="str">
        <f>IF(L$27&lt;&gt;"",VLOOKUP(L131*1000000,'Powell-Elevation-Area'!$B$5:$H$689,7),"")</f>
        <v/>
      </c>
      <c r="N133" s="189" t="s">
        <v>451</v>
      </c>
    </row>
    <row r="134" spans="1:14" x14ac:dyDescent="0.35">
      <c r="A134" s="30" t="s">
        <v>256</v>
      </c>
      <c r="B134" s="1"/>
      <c r="C134" s="81" t="str">
        <f>IF(C$27&lt;&gt;"",VLOOKUP(C132*1000000,'Mead-Elevation-Area'!$B$5:$H$689,7),"")</f>
        <v/>
      </c>
      <c r="D134" s="81" t="str">
        <f>IF(D$27&lt;&gt;"",VLOOKUP(D132*1000000,'Mead-Elevation-Area'!$B$5:$H$689,7),"")</f>
        <v/>
      </c>
      <c r="E134" s="81" t="str">
        <f>IF(E$27&lt;&gt;"",VLOOKUP(E132*1000000,'Mead-Elevation-Area'!$B$5:$H$689,7),"")</f>
        <v/>
      </c>
      <c r="F134" s="81" t="str">
        <f>IF(F$27&lt;&gt;"",VLOOKUP(F132*1000000,'Mead-Elevation-Area'!$B$5:$H$689,7),"")</f>
        <v/>
      </c>
      <c r="G134" s="81" t="str">
        <f>IF(G$27&lt;&gt;"",VLOOKUP(G132*1000000,'Mead-Elevation-Area'!$B$5:$H$689,7),"")</f>
        <v/>
      </c>
      <c r="H134" s="81" t="str">
        <f>IF(H$27&lt;&gt;"",VLOOKUP(H132*1000000,'Mead-Elevation-Area'!$B$5:$H$689,7),"")</f>
        <v/>
      </c>
      <c r="I134" s="81" t="str">
        <f>IF(I$27&lt;&gt;"",VLOOKUP(I132*1000000,'Mead-Elevation-Area'!$B$5:$H$689,7),"")</f>
        <v/>
      </c>
      <c r="J134" s="81" t="str">
        <f>IF(J$27&lt;&gt;"",VLOOKUP(J132*1000000,'Mead-Elevation-Area'!$B$5:$H$689,7),"")</f>
        <v/>
      </c>
      <c r="K134" s="81" t="str">
        <f>IF(K$27&lt;&gt;"",VLOOKUP(K132*1000000,'Mead-Elevation-Area'!$B$5:$H$689,7),"")</f>
        <v/>
      </c>
      <c r="L134" s="81" t="str">
        <f>IF(L$27&lt;&gt;"",VLOOKUP(L132*1000000,'Mead-Elevation-Area'!$B$5:$H$689,7),"")</f>
        <v/>
      </c>
      <c r="N134" s="189" t="s">
        <v>451</v>
      </c>
    </row>
    <row r="135" spans="1:14" x14ac:dyDescent="0.35">
      <c r="A135" s="1" t="s">
        <v>362</v>
      </c>
      <c r="B135" s="1"/>
      <c r="N135" s="189" t="s">
        <v>441</v>
      </c>
    </row>
    <row r="136" spans="1:14" x14ac:dyDescent="0.35">
      <c r="A136" s="30" t="s">
        <v>363</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89" t="s">
        <v>442</v>
      </c>
    </row>
    <row r="137" spans="1:14" x14ac:dyDescent="0.35">
      <c r="A137" s="30" t="s">
        <v>350</v>
      </c>
      <c r="B137" s="1"/>
      <c r="C137" s="81" t="str">
        <f>IF(C$27&lt;&gt;"",VLOOKUP(C133,PowellReleaseTemperature!$A$5:$B$11,2),"")</f>
        <v/>
      </c>
      <c r="D137" s="81" t="str">
        <f>IF(D$27&lt;&gt;"",VLOOKUP(D133,PowellReleaseTemperature!$A$5:$B$11,2),"")</f>
        <v/>
      </c>
      <c r="E137" s="81" t="str">
        <f>IF(E$27&lt;&gt;"",VLOOKUP(E133,PowellReleaseTemperature!$A$5:$B$11,2),"")</f>
        <v/>
      </c>
      <c r="F137" s="81" t="str">
        <f>IF(F$27&lt;&gt;"",VLOOKUP(F133,PowellReleaseTemperature!$A$5:$B$11,2),"")</f>
        <v/>
      </c>
      <c r="G137" s="81" t="str">
        <f>IF(G$27&lt;&gt;"",VLOOKUP(G133,PowellReleaseTemperature!$A$5:$B$11,2),"")</f>
        <v/>
      </c>
      <c r="H137" s="81" t="str">
        <f>IF(H$27&lt;&gt;"",VLOOKUP(H133,PowellReleaseTemperature!$A$5:$B$11,2),"")</f>
        <v/>
      </c>
      <c r="I137" s="81" t="str">
        <f>IF(I$27&lt;&gt;"",VLOOKUP(I133,PowellReleaseTemperature!$A$5:$B$11,2),"")</f>
        <v/>
      </c>
      <c r="J137" s="81" t="str">
        <f>IF(J$27&lt;&gt;"",VLOOKUP(J133,PowellReleaseTemperature!$A$5:$B$11,2),"")</f>
        <v/>
      </c>
      <c r="K137" s="81" t="str">
        <f>IF(K$27&lt;&gt;"",VLOOKUP(K133,PowellReleaseTemperature!$A$5:$B$11,2),"")</f>
        <v/>
      </c>
      <c r="L137" s="81" t="str">
        <f>IF(L$27&lt;&gt;"",VLOOKUP(L133,PowellReleaseTemperature!$A$5:$B$11,2),"")</f>
        <v/>
      </c>
      <c r="N137" s="189" t="s">
        <v>443</v>
      </c>
    </row>
    <row r="138" spans="1:14" s="83" customFormat="1" ht="62.5" customHeight="1" x14ac:dyDescent="0.35">
      <c r="A138" s="115" t="s">
        <v>351</v>
      </c>
      <c r="B138" s="82"/>
      <c r="C138" s="114" t="str">
        <f>IF(C$27&lt;&gt;"",VLOOKUP(C$133,PowellReleaseTemperature!$A$5:$E$11,5),"")</f>
        <v/>
      </c>
      <c r="D138" s="114" t="str">
        <f>IF(D$27&lt;&gt;"",VLOOKUP(D$133,PowellReleaseTemperature!$A$5:$E$11,5),"")</f>
        <v/>
      </c>
      <c r="E138" s="114" t="str">
        <f>IF(E$27&lt;&gt;"",VLOOKUP(E$133,PowellReleaseTemperature!$A$5:$E$11,5),"")</f>
        <v/>
      </c>
      <c r="F138" s="114" t="str">
        <f>IF(F$27&lt;&gt;"",VLOOKUP(F$133,PowellReleaseTemperature!$A$5:$E$11,5),"")</f>
        <v/>
      </c>
      <c r="G138" s="114" t="str">
        <f>IF(G$27&lt;&gt;"",VLOOKUP(G$133,PowellReleaseTemperature!$A$5:$E$11,5),"")</f>
        <v/>
      </c>
      <c r="H138" s="114" t="str">
        <f>IF(H$27&lt;&gt;"",VLOOKUP(H$133,PowellReleaseTemperature!$A$5:$E$11,5),"")</f>
        <v/>
      </c>
      <c r="I138" s="114" t="str">
        <f>IF(I$27&lt;&gt;"",VLOOKUP(I$133,PowellReleaseTemperature!$A$5:$E$11,5),"")</f>
        <v/>
      </c>
      <c r="J138" s="114" t="str">
        <f>IF(J$27&lt;&gt;"",VLOOKUP(J$133,PowellReleaseTemperature!$A$5:$E$11,5),"")</f>
        <v/>
      </c>
      <c r="K138" s="114" t="str">
        <f>IF(K$27&lt;&gt;"",VLOOKUP(K$133,PowellReleaseTemperature!$A$5:$E$11,5),"")</f>
        <v/>
      </c>
      <c r="L138" s="114" t="str">
        <f>IF(L$27&lt;&gt;"",VLOOKUP(L$133,PowellReleaseTemperature!$A$5:$E$11,5),"")</f>
        <v/>
      </c>
      <c r="N138" s="189" t="s">
        <v>445</v>
      </c>
    </row>
    <row r="139" spans="1:14" s="83" customFormat="1" ht="32.15" customHeight="1" x14ac:dyDescent="0.35">
      <c r="A139" s="115" t="s">
        <v>290</v>
      </c>
      <c r="B139" s="82"/>
      <c r="C139" s="114" t="str">
        <f>IF(C$27&lt;&gt;"",VLOOKUP(C$133,PowellReleaseTemperature!$A$5:$F$11,6),"")</f>
        <v/>
      </c>
      <c r="D139" s="114" t="str">
        <f>IF(D$27&lt;&gt;"",VLOOKUP(D$133,PowellReleaseTemperature!$A$5:$F$11,6),"")</f>
        <v/>
      </c>
      <c r="E139" s="114" t="str">
        <f>IF(E$27&lt;&gt;"",VLOOKUP(E$133,PowellReleaseTemperature!$A$5:$F$11,6),"")</f>
        <v/>
      </c>
      <c r="F139" s="114" t="str">
        <f>IF(F$27&lt;&gt;"",VLOOKUP(F$133,PowellReleaseTemperature!$A$5:$F$11,6),"")</f>
        <v/>
      </c>
      <c r="G139" s="114" t="str">
        <f>IF(G$27&lt;&gt;"",VLOOKUP(G$133,PowellReleaseTemperature!$A$5:$F$11,6),"")</f>
        <v/>
      </c>
      <c r="H139" s="114" t="str">
        <f>IF(H$27&lt;&gt;"",VLOOKUP(H$133,PowellReleaseTemperature!$A$5:$F$11,6),"")</f>
        <v/>
      </c>
      <c r="I139" s="114" t="str">
        <f>IF(I$27&lt;&gt;"",VLOOKUP(I$133,PowellReleaseTemperature!$A$5:$F$11,6),"")</f>
        <v/>
      </c>
      <c r="J139" s="114" t="str">
        <f>IF(J$27&lt;&gt;"",VLOOKUP(J$133,PowellReleaseTemperature!$A$5:$F$11,6),"")</f>
        <v/>
      </c>
      <c r="K139" s="114" t="str">
        <f>IF(K$27&lt;&gt;"",VLOOKUP(K$133,PowellReleaseTemperature!$A$5:$F$11,6),"")</f>
        <v/>
      </c>
      <c r="L139" s="114" t="str">
        <f>IF(L$27&lt;&gt;"",VLOOKUP(L$133,PowellReleaseTemperature!$A$5:$F$11,6),"")</f>
        <v/>
      </c>
      <c r="N139" s="189" t="s">
        <v>444</v>
      </c>
    </row>
    <row r="140" spans="1:14" x14ac:dyDescent="0.35">
      <c r="A140" s="182" t="s">
        <v>413</v>
      </c>
      <c r="C140" s="27"/>
      <c r="N140" s="189" t="s">
        <v>446</v>
      </c>
    </row>
    <row r="142" spans="1:14" x14ac:dyDescent="0.35">
      <c r="D142" s="17"/>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7" r:id="rId11" location="step-2-specify-natural-inflow-to-lake-powell" xr:uid="{78DF76B4-BE79-4AC1-9F08-EC86A0A72F91}"/>
    <hyperlink ref="N28" r:id="rId12" location="2a-intervening-grand-canyon-flow" xr:uid="{CFD884C0-2149-42F6-AD5A-482CF40D5292}"/>
    <hyperlink ref="N29" r:id="rId13" location="2b-mead-to-imperial-dam-intervening-flow" xr:uid="{B8EF30C2-739D-4E21-B63A-F17F9947326A}"/>
    <hyperlink ref="N30" r:id="rId14" location="2c-havasuparker-evaporation-and-evapotranspiration" xr:uid="{70E7AC6A-42AC-4DE1-ADFB-FBA8230C308E}"/>
    <hyperlink ref="N31" r:id="rId15" location="step-3-split-existing-reservoir-storage-among-parties-year-1-only" xr:uid="{B36B453C-62F8-4461-8E49-8546C848C695}"/>
    <hyperlink ref="N38" r:id="rId16" location="3a-begin-of-year-reservoir-storage" display="Help begin year storage" xr:uid="{52EB1038-72CB-4676-AD3B-3DD4322D2D3C}"/>
    <hyperlink ref="N41" r:id="rId17" location="3b-calculate-powell--mead-evaporation" xr:uid="{9002111C-2D36-45B1-97D8-5FCB363BD9BD}"/>
    <hyperlink ref="N48" r:id="rId18" location="3c-calculate-mexico-water-allocation" xr:uid="{C14FC6B3-6E3C-48F5-B820-A74ADC9C86D6}"/>
    <hyperlink ref="N49" r:id="rId19" location="split-combined-natural-inflow-among-parties" xr:uid="{63C31A0C-C046-4C6B-B63E-AA3031EC5E49}"/>
    <hyperlink ref="N58" r:id="rId20" location="step-5-player-dashboards--conserve-consume-and-trade" xr:uid="{E1DA626C-61A5-4CB7-94B9-52C34A1556D5}"/>
    <hyperlink ref="N59" r:id="rId21" location="i-buy-or-sell-water-from-other-players" xr:uid="{D2AC05B4-FD61-425B-9046-D87C8AAAAEA0}"/>
    <hyperlink ref="N60" r:id="rId22" location="ii-compensation" xr:uid="{19918E71-71AD-4C9C-BB3F-A5AF3D55F1D7}"/>
    <hyperlink ref="N61" r:id="rId23" location="iii-net-trade-volume-all-players" xr:uid="{3E7AF6CA-1278-4129-B9E4-725FD18D820D}"/>
    <hyperlink ref="N62" r:id="rId24" location="iv-available-water" xr:uid="{4566CC8F-1D0F-43BA-BAD8-C66179151606}"/>
    <hyperlink ref="N63" r:id="rId25" location="v-enter-withdraw-within-available-water" display="Help withdraw" xr:uid="{FA435611-F017-4A4C-84C0-3BC240C90BC3}"/>
    <hyperlink ref="N64" r:id="rId26" location="vi-end-of-year-balance" xr:uid="{43A45EF2-1AE7-497D-9090-A6710371091B}"/>
    <hyperlink ref="N98" r:id="rId27" location="5a-shared-reserve-dashboard" display="Help shared, reserve" xr:uid="{93564FFE-2F11-4E1B-8E30-F04D091042B0}"/>
    <hyperlink ref="N106" r:id="rId28" location="step-6-summary-of-player-actions" xr:uid="{39E9E91B-EE9B-4603-9A19-992E43688C4C}"/>
    <hyperlink ref="N129" r:id="rId29" location="6a-combined-storage--end-of-year" xr:uid="{18709FDC-6FB8-4FF1-82C7-3E0140C4C207}"/>
    <hyperlink ref="N130" r:id="rId30" location="step-7-assign-combined-storage-to-powell-and-mead" xr:uid="{1164B6D2-F3C8-48D1-8657-5BD58376EED3}"/>
    <hyperlink ref="N131" r:id="rId31" location="i-powell-and-mead-storage-volumes-and-levels" display="Help Powell and Mead storage and elevations" xr:uid="{4636EBE2-023F-463E-9564-041FE5D1FB21}"/>
    <hyperlink ref="N135" r:id="rId32" location="i-protect-endangered-native-fish-of-the-grand-canyon" xr:uid="{5A416EE1-639F-4706-BDF3-96F9482C4BC5}"/>
    <hyperlink ref="N136" r:id="rId33" location="ii-lake-powell-release-to-achieve-powell-and-mead-storage-volumes" xr:uid="{482E502E-E60E-4E4B-A4B2-1E010E299F6C}"/>
    <hyperlink ref="N137" r:id="rId34" location="iii-turbine-release-water-temperature" xr:uid="{897F93B4-0984-4DB9-BB8E-3B21D59DF5A6}"/>
    <hyperlink ref="N138" r:id="rId35" location="iv-suitability-for-native-endangered-fish-of-the-grand-canyon" xr:uid="{FDE7C974-7C24-48F6-95FB-E499A8975C43}"/>
    <hyperlink ref="N139" r:id="rId36" location="v-suitability-for-tailwater-trout" xr:uid="{8B78A0E8-F6F5-43CC-A282-5E047FD31D73}"/>
    <hyperlink ref="N140" r:id="rId37" location="step-8-move-to-next-year" xr:uid="{0D1EBCA9-BE7F-441F-A17C-5330CFCE7596}"/>
    <hyperlink ref="N132:N134" r:id="rId38" location="i-powell-and-mead-storage-volumes-and-levels" display="Help Powell and Mead storage and elevations" xr:uid="{ACE27804-9D71-4CD5-9E0E-7E93A66F9F16}"/>
    <hyperlink ref="N66" r:id="rId39" location="step-5-player-dashboards--conserve-consume-and-trade" xr:uid="{5939E46B-DD3B-41E0-B129-470B1222AC63}"/>
    <hyperlink ref="N67" r:id="rId40" location="i-buy-or-sell-water-from-other-players" xr:uid="{7C78B264-CFB6-45A0-BC4E-173B1DD9E8B0}"/>
    <hyperlink ref="N68" r:id="rId41" location="ii-compensation" xr:uid="{E45E7C5C-E56E-4F21-BAB5-D49B4D171D4D}"/>
    <hyperlink ref="N69" r:id="rId42" location="iii-net-trade-volume-all-players" xr:uid="{6ABB5557-73CC-4416-898E-C4FBE4FEB4F1}"/>
    <hyperlink ref="N70" r:id="rId43" location="iv-available-water" xr:uid="{9FD9B93C-364E-4ECE-9930-72535EA8FB51}"/>
    <hyperlink ref="N71" r:id="rId44" location="v-enter-withdraw-within-available-water" display="Help withdraw" xr:uid="{58F0AFA5-2561-4EBE-9B56-06AC55B65F4C}"/>
    <hyperlink ref="N72" r:id="rId45" location="vi-end-of-year-balance" xr:uid="{BFF7FD38-DF7D-4D69-A78B-9B903739FFBC}"/>
    <hyperlink ref="N74" r:id="rId46" location="step-5-player-dashboards--conserve-consume-and-trade" xr:uid="{115088D1-B3CF-4D72-A6D6-92770E18F116}"/>
    <hyperlink ref="N75" r:id="rId47" location="i-buy-or-sell-water-from-other-players" xr:uid="{D5A878F8-1AB0-4367-BFA6-4F25001F73AD}"/>
    <hyperlink ref="N76" r:id="rId48" location="ii-compensation" xr:uid="{74477D73-291E-4A7F-86F2-C21A0DF60CEA}"/>
    <hyperlink ref="N77" r:id="rId49" location="iii-net-trade-volume-all-players" xr:uid="{BE5AE6FA-67AF-45AB-A7E2-21627E2F4139}"/>
    <hyperlink ref="N78" r:id="rId50" location="iv-available-water" xr:uid="{096A8B03-D32B-4628-BC3E-B3E64954FA42}"/>
    <hyperlink ref="N79" r:id="rId51" location="v-enter-withdraw-within-available-water" display="Help withdraw" xr:uid="{4ED17C45-EBF9-4C45-9229-5218A5ECD61F}"/>
    <hyperlink ref="N80" r:id="rId52" location="vi-end-of-year-balance" xr:uid="{C6E40832-042B-43D8-90B9-CD82703389C7}"/>
    <hyperlink ref="N82" r:id="rId53" location="step-5-player-dashboards--conserve-consume-and-trade" xr:uid="{E5F2461C-AEB4-4A1B-A21C-357BDD2B01B0}"/>
    <hyperlink ref="N83" r:id="rId54" location="i-buy-or-sell-water-from-other-players" xr:uid="{0EBBE3F9-CE49-4881-82CB-75D82756598D}"/>
    <hyperlink ref="N84" r:id="rId55" location="ii-compensation" xr:uid="{9D51239A-D72E-4C66-9FAD-A97CD1E9CF60}"/>
    <hyperlink ref="N85" r:id="rId56" location="iii-net-trade-volume-all-players" xr:uid="{8B505AEF-BDE8-4171-873A-CDBCC06B0982}"/>
    <hyperlink ref="N86" r:id="rId57" location="iv-available-water" xr:uid="{ABCB1C72-A61D-43EB-8631-711D39747590}"/>
    <hyperlink ref="N87" r:id="rId58" location="v-enter-withdraw-within-available-water" display="Help withdraw" xr:uid="{4C435667-D5F4-4BE5-B2BF-1695D307F66E}"/>
    <hyperlink ref="N88" r:id="rId59" location="vi-end-of-year-balance" xr:uid="{092BB73A-E89D-49D7-B85D-6C85D844F8AF}"/>
    <hyperlink ref="N90" r:id="rId60" location="step-5-player-dashboards--conserve-consume-and-trade" xr:uid="{3D0FAE17-D341-4E28-B186-99CD5D375B25}"/>
    <hyperlink ref="N91" r:id="rId61" location="i-buy-or-sell-water-from-other-players" xr:uid="{2DCC74A5-C76F-44C3-9C1C-2FD48B218FA1}"/>
    <hyperlink ref="N92" r:id="rId62" location="ii-compensation" xr:uid="{7B7469E2-30A2-4DD3-A478-1DD42D69E110}"/>
    <hyperlink ref="N93" r:id="rId63" location="iii-net-trade-volume-all-players" xr:uid="{38D6A8E9-018B-4ADF-8884-42C40A6A4228}"/>
    <hyperlink ref="N94" r:id="rId64" location="iv-available-water" xr:uid="{245D996F-B238-4EB9-8C02-2A6FB04958CA}"/>
    <hyperlink ref="N95" r:id="rId65" location="v-enter-withdraw-within-available-water" display="Help withdraw" xr:uid="{F1BCBE2F-B751-426A-A4A2-6799CACABE0E}"/>
    <hyperlink ref="N96" r:id="rId66" location="vi-end-of-year-balance" xr:uid="{6A74718B-A68C-418D-A86E-74250717E84B}"/>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43"/>
      <c r="I3" s="143"/>
      <c r="J3" s="143"/>
      <c r="K3" s="143"/>
    </row>
    <row r="4" spans="1:13" x14ac:dyDescent="0.35">
      <c r="A4" s="51" t="s">
        <v>38</v>
      </c>
      <c r="B4" s="51" t="s">
        <v>42</v>
      </c>
      <c r="C4" s="241" t="s">
        <v>43</v>
      </c>
      <c r="D4" s="242"/>
      <c r="E4" s="242"/>
      <c r="F4" s="242"/>
      <c r="G4" s="243"/>
      <c r="M4" s="1" t="s">
        <v>294</v>
      </c>
    </row>
    <row r="5" spans="1:13" x14ac:dyDescent="0.35">
      <c r="A5" s="142" t="s">
        <v>39</v>
      </c>
      <c r="B5" s="142" t="str">
        <f>IF(Master!B5="","",Master!B5)</f>
        <v/>
      </c>
      <c r="C5" s="231" t="s">
        <v>304</v>
      </c>
      <c r="D5" s="226"/>
      <c r="E5" s="226"/>
      <c r="F5" s="226"/>
      <c r="G5" s="226"/>
      <c r="M5" t="s">
        <v>295</v>
      </c>
    </row>
    <row r="6" spans="1:13" x14ac:dyDescent="0.35">
      <c r="A6" s="142" t="s">
        <v>40</v>
      </c>
      <c r="B6" s="142" t="str">
        <f>IF(Master!B6="","",Master!B6)</f>
        <v/>
      </c>
      <c r="C6" s="231" t="s">
        <v>304</v>
      </c>
      <c r="D6" s="226"/>
      <c r="E6" s="226"/>
      <c r="F6" s="226"/>
      <c r="G6" s="226"/>
      <c r="M6" t="s">
        <v>300</v>
      </c>
    </row>
    <row r="7" spans="1:13" x14ac:dyDescent="0.35">
      <c r="A7" s="142" t="s">
        <v>41</v>
      </c>
      <c r="B7" s="142" t="str">
        <f>IF(Master!B7="","",Master!B7)</f>
        <v/>
      </c>
      <c r="C7" s="231" t="s">
        <v>304</v>
      </c>
      <c r="D7" s="226"/>
      <c r="E7" s="226"/>
      <c r="F7" s="226"/>
      <c r="G7" s="226"/>
      <c r="M7" t="s">
        <v>301</v>
      </c>
    </row>
    <row r="8" spans="1:13" x14ac:dyDescent="0.35">
      <c r="A8" s="154" t="s">
        <v>145</v>
      </c>
      <c r="B8" s="153" t="str">
        <f>IF(Master!B8="","",Master!B8)</f>
        <v/>
      </c>
      <c r="C8" s="231" t="s">
        <v>209</v>
      </c>
      <c r="D8" s="226"/>
      <c r="E8" s="226"/>
      <c r="F8" s="226"/>
      <c r="G8" s="226"/>
    </row>
    <row r="9" spans="1:13" x14ac:dyDescent="0.35">
      <c r="A9" s="142" t="str">
        <f>IF(Master!A9="","",Master!A9)</f>
        <v>First Nations</v>
      </c>
      <c r="B9" s="142" t="str">
        <f>IF(Master!B9="","",Master!B9)</f>
        <v/>
      </c>
      <c r="C9" s="232"/>
      <c r="D9" s="232"/>
      <c r="E9" s="232"/>
      <c r="F9" s="232"/>
      <c r="G9" s="232"/>
    </row>
    <row r="10" spans="1:13" x14ac:dyDescent="0.35">
      <c r="A10" s="155" t="s">
        <v>154</v>
      </c>
      <c r="B10" s="155" t="str">
        <f>IF(Master!B10="","",Master!B10)</f>
        <v/>
      </c>
      <c r="C10" s="233" t="s">
        <v>336</v>
      </c>
      <c r="D10" s="233"/>
      <c r="E10" s="233"/>
      <c r="F10" s="233"/>
      <c r="G10" s="233"/>
    </row>
    <row r="11" spans="1:13" x14ac:dyDescent="0.35">
      <c r="A11" s="15"/>
      <c r="B11" s="2"/>
      <c r="C11"/>
    </row>
    <row r="12" spans="1:13" x14ac:dyDescent="0.35">
      <c r="A12" s="18" t="s">
        <v>371</v>
      </c>
      <c r="B12" s="234" t="s">
        <v>373</v>
      </c>
      <c r="C12" s="235"/>
      <c r="D12" s="236"/>
    </row>
    <row r="13" spans="1:13" x14ac:dyDescent="0.35">
      <c r="B13" s="237" t="s">
        <v>374</v>
      </c>
      <c r="C13" s="238"/>
      <c r="D13" s="239"/>
    </row>
    <row r="14" spans="1:13" x14ac:dyDescent="0.35">
      <c r="B14" s="218" t="s">
        <v>375</v>
      </c>
      <c r="C14" s="219"/>
      <c r="D14" s="220"/>
    </row>
    <row r="15" spans="1:13" x14ac:dyDescent="0.35">
      <c r="B15" s="221" t="s">
        <v>46</v>
      </c>
      <c r="C15" s="222"/>
      <c r="D15" s="223"/>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IF(Master!C27="","",Master!C27)</f>
        <v/>
      </c>
      <c r="D25" s="130" t="str">
        <f>IF(Master!D27="","",Master!D27)</f>
        <v/>
      </c>
      <c r="E25" s="130" t="str">
        <f>IF(Master!E27="","",Master!E27)</f>
        <v/>
      </c>
      <c r="F25" s="130" t="str">
        <f>IF(Master!F27="","",Master!F27)</f>
        <v/>
      </c>
      <c r="G25" s="130" t="str">
        <f>IF(Master!G27="","",Master!G27)</f>
        <v/>
      </c>
      <c r="H25" s="130" t="str">
        <f>IF(Master!H27="","",Master!H27)</f>
        <v/>
      </c>
      <c r="I25" s="130" t="str">
        <f>IF(Master!I27="","",Master!I27)</f>
        <v/>
      </c>
      <c r="J25" s="130" t="str">
        <f>IF(Master!J27="","",Master!J27)</f>
        <v/>
      </c>
      <c r="K25" s="130" t="str">
        <f>IF(Master!K27="","",Master!K27)</f>
        <v/>
      </c>
      <c r="L25" s="130" t="str">
        <f>IF(Master!L27="","",Master!L27)</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62"/>
      <c r="I3" s="62"/>
      <c r="J3" s="62"/>
      <c r="K3" s="62"/>
    </row>
    <row r="4" spans="1:13" x14ac:dyDescent="0.35">
      <c r="A4" s="51" t="s">
        <v>38</v>
      </c>
      <c r="B4" s="51" t="s">
        <v>42</v>
      </c>
      <c r="C4" s="241" t="s">
        <v>43</v>
      </c>
      <c r="D4" s="242"/>
      <c r="E4" s="242"/>
      <c r="F4" s="242"/>
      <c r="G4" s="243"/>
      <c r="M4" s="1" t="s">
        <v>294</v>
      </c>
    </row>
    <row r="5" spans="1:13" x14ac:dyDescent="0.35">
      <c r="A5" s="122" t="s">
        <v>39</v>
      </c>
      <c r="B5" s="122" t="s">
        <v>150</v>
      </c>
      <c r="C5" s="231" t="s">
        <v>297</v>
      </c>
      <c r="D5" s="226"/>
      <c r="E5" s="226"/>
      <c r="F5" s="226"/>
      <c r="G5" s="226"/>
      <c r="M5" t="s">
        <v>295</v>
      </c>
    </row>
    <row r="6" spans="1:13" x14ac:dyDescent="0.35">
      <c r="A6" s="122" t="s">
        <v>40</v>
      </c>
      <c r="B6" s="122" t="s">
        <v>150</v>
      </c>
      <c r="C6" s="231" t="s">
        <v>298</v>
      </c>
      <c r="D6" s="226"/>
      <c r="E6" s="226"/>
      <c r="F6" s="226"/>
      <c r="G6" s="226"/>
      <c r="M6" t="s">
        <v>300</v>
      </c>
    </row>
    <row r="7" spans="1:13" x14ac:dyDescent="0.35">
      <c r="A7" s="122" t="s">
        <v>41</v>
      </c>
      <c r="B7" s="122" t="s">
        <v>150</v>
      </c>
      <c r="C7" s="231" t="s">
        <v>299</v>
      </c>
      <c r="D7" s="226"/>
      <c r="E7" s="226"/>
      <c r="F7" s="226"/>
      <c r="G7" s="226"/>
      <c r="M7" t="s">
        <v>301</v>
      </c>
    </row>
    <row r="8" spans="1:13" x14ac:dyDescent="0.35">
      <c r="A8" s="105" t="s">
        <v>154</v>
      </c>
      <c r="B8" s="105" t="s">
        <v>150</v>
      </c>
      <c r="C8" s="233" t="s">
        <v>296</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t="s">
        <v>150</v>
      </c>
      <c r="C5" s="231" t="s">
        <v>304</v>
      </c>
      <c r="D5" s="226"/>
      <c r="E5" s="226"/>
      <c r="F5" s="226"/>
      <c r="G5" s="226"/>
      <c r="M5" t="s">
        <v>295</v>
      </c>
    </row>
    <row r="6" spans="1:13" x14ac:dyDescent="0.35">
      <c r="A6" s="122" t="s">
        <v>40</v>
      </c>
      <c r="B6" s="122" t="s">
        <v>150</v>
      </c>
      <c r="C6" s="231" t="s">
        <v>304</v>
      </c>
      <c r="D6" s="226"/>
      <c r="E6" s="226"/>
      <c r="F6" s="226"/>
      <c r="G6" s="226"/>
      <c r="M6" t="s">
        <v>300</v>
      </c>
    </row>
    <row r="7" spans="1:13" x14ac:dyDescent="0.35">
      <c r="A7" s="122" t="s">
        <v>41</v>
      </c>
      <c r="B7" s="122" t="s">
        <v>150</v>
      </c>
      <c r="C7" s="231" t="s">
        <v>304</v>
      </c>
      <c r="D7" s="226"/>
      <c r="E7" s="226"/>
      <c r="F7" s="226"/>
      <c r="G7" s="226"/>
      <c r="M7" t="s">
        <v>301</v>
      </c>
    </row>
    <row r="8" spans="1:13" x14ac:dyDescent="0.35">
      <c r="A8" s="111" t="s">
        <v>154</v>
      </c>
      <c r="B8" s="111" t="s">
        <v>150</v>
      </c>
      <c r="C8" s="233" t="s">
        <v>296</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0" t="s">
        <v>148</v>
      </c>
      <c r="B3" s="240"/>
      <c r="C3" s="240"/>
      <c r="D3" s="240"/>
      <c r="E3" s="240"/>
      <c r="F3" s="240"/>
      <c r="G3" s="240"/>
      <c r="H3" s="112"/>
      <c r="I3" s="112"/>
      <c r="J3" s="112"/>
      <c r="K3" s="112"/>
    </row>
    <row r="4" spans="1:13" x14ac:dyDescent="0.35">
      <c r="A4" s="51" t="s">
        <v>38</v>
      </c>
      <c r="B4" s="51" t="s">
        <v>42</v>
      </c>
      <c r="C4" s="241" t="s">
        <v>43</v>
      </c>
      <c r="D4" s="242"/>
      <c r="E4" s="242"/>
      <c r="F4" s="242"/>
      <c r="G4" s="243"/>
      <c r="M4" s="1" t="s">
        <v>294</v>
      </c>
    </row>
    <row r="5" spans="1:13" x14ac:dyDescent="0.35">
      <c r="A5" s="122" t="s">
        <v>39</v>
      </c>
      <c r="B5" s="122"/>
      <c r="C5" s="231" t="s">
        <v>149</v>
      </c>
      <c r="D5" s="226"/>
      <c r="E5" s="226"/>
      <c r="F5" s="226"/>
      <c r="G5" s="226"/>
      <c r="M5" t="s">
        <v>295</v>
      </c>
    </row>
    <row r="6" spans="1:13" x14ac:dyDescent="0.35">
      <c r="A6" s="122" t="s">
        <v>40</v>
      </c>
      <c r="B6" s="122"/>
      <c r="C6" s="231" t="s">
        <v>149</v>
      </c>
      <c r="D6" s="226"/>
      <c r="E6" s="226"/>
      <c r="F6" s="226"/>
      <c r="G6" s="226"/>
      <c r="M6" t="s">
        <v>300</v>
      </c>
    </row>
    <row r="7" spans="1:13" x14ac:dyDescent="0.35">
      <c r="A7" s="122" t="s">
        <v>41</v>
      </c>
      <c r="B7" s="122"/>
      <c r="C7" s="231" t="s">
        <v>149</v>
      </c>
      <c r="D7" s="226"/>
      <c r="E7" s="226"/>
      <c r="F7" s="226"/>
      <c r="G7" s="226"/>
      <c r="M7" t="s">
        <v>301</v>
      </c>
    </row>
    <row r="8" spans="1:13" x14ac:dyDescent="0.35">
      <c r="A8" s="111" t="s">
        <v>154</v>
      </c>
      <c r="B8" s="111"/>
      <c r="C8" s="233" t="s">
        <v>305</v>
      </c>
      <c r="D8" s="233"/>
      <c r="E8" s="233"/>
      <c r="F8" s="233"/>
      <c r="G8" s="233"/>
    </row>
    <row r="9" spans="1:13" x14ac:dyDescent="0.35">
      <c r="A9" s="122"/>
      <c r="B9" s="122"/>
      <c r="C9" s="232"/>
      <c r="D9" s="232"/>
      <c r="E9" s="232"/>
      <c r="F9" s="232"/>
      <c r="G9" s="232"/>
    </row>
    <row r="10" spans="1:13" x14ac:dyDescent="0.35">
      <c r="A10" s="122"/>
      <c r="B10" s="122"/>
      <c r="C10" s="232"/>
      <c r="D10" s="232"/>
      <c r="E10" s="232"/>
      <c r="F10" s="232"/>
      <c r="G10" s="232"/>
    </row>
    <row r="11" spans="1:13" x14ac:dyDescent="0.35">
      <c r="A11" s="15"/>
      <c r="B11" s="2"/>
      <c r="C11"/>
    </row>
    <row r="12" spans="1:13" x14ac:dyDescent="0.35">
      <c r="A12" s="18" t="s">
        <v>45</v>
      </c>
      <c r="B12" s="244" t="s">
        <v>195</v>
      </c>
      <c r="C12" s="244"/>
      <c r="D12" s="244"/>
      <c r="E12" s="244"/>
      <c r="F12" s="244"/>
    </row>
    <row r="13" spans="1:13" x14ac:dyDescent="0.35">
      <c r="B13" s="245" t="s">
        <v>314</v>
      </c>
      <c r="C13" s="246"/>
      <c r="D13" s="246"/>
      <c r="E13" s="246"/>
      <c r="F13" s="246"/>
    </row>
    <row r="14" spans="1:13" x14ac:dyDescent="0.35">
      <c r="B14" s="247" t="s">
        <v>303</v>
      </c>
      <c r="C14" s="248"/>
      <c r="D14" s="248"/>
      <c r="E14" s="248"/>
      <c r="F14" s="248"/>
    </row>
    <row r="15" spans="1:13" x14ac:dyDescent="0.35">
      <c r="B15" s="249" t="s">
        <v>46</v>
      </c>
      <c r="C15" s="249"/>
      <c r="D15" s="249"/>
      <c r="E15" s="249"/>
      <c r="F15" s="249"/>
    </row>
    <row r="17" spans="1:14" x14ac:dyDescent="0.35">
      <c r="A17" s="1" t="s">
        <v>53</v>
      </c>
      <c r="D17" s="244" t="s">
        <v>151</v>
      </c>
      <c r="E17" s="244"/>
      <c r="F17" s="244"/>
      <c r="G17" s="244"/>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2021-10-16T05:37:29Z</dcterms:modified>
</cp:coreProperties>
</file>