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Futures\InteractiveWaterBudget\OldVersions\"/>
    </mc:Choice>
  </mc:AlternateContent>
  <xr:revisionPtr revIDLastSave="0" documentId="13_ncr:1_{A1253E16-2EAE-4843-8173-42245A8983B2}"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11.0-TradeReserveUser" sheetId="33" r:id="rId3"/>
    <sheet name="Master" sheetId="24" r:id="rId4"/>
    <sheet name="11.0-Trade" sheetId="27" r:id="rId5"/>
    <sheet name="11.0-TradeReserve" sheetId="30" r:id="rId6"/>
    <sheet name="11.0-LawOfRiver" sheetId="26" r:id="rId7"/>
    <sheet name="11.0-Plots" sheetId="19" r:id="rId8"/>
    <sheet name="MillenniumRecover-Trade" sheetId="29" r:id="rId9"/>
    <sheet name="MillenniumRecover-LawOfRiver" sheetId="25" r:id="rId10"/>
    <sheet name="Millennium-Plots" sheetId="28" r:id="rId11"/>
    <sheet name="MillenniumRecover-Delta" sheetId="21" r:id="rId12"/>
    <sheet name="HydrologicScenarios" sheetId="7" r:id="rId13"/>
    <sheet name="Powell-Elevation-Area" sheetId="2" r:id="rId14"/>
    <sheet name="Mead-Elevation-Area" sheetId="10" r:id="rId15"/>
    <sheet name="11.0-LawOfRiverShort" sheetId="1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 i="30" l="1"/>
  <c r="N49" i="33"/>
  <c r="N50" i="33"/>
  <c r="N51" i="33"/>
  <c r="N52" i="33"/>
  <c r="N53" i="33"/>
  <c r="N48" i="33"/>
  <c r="H46" i="33"/>
  <c r="I46" i="33"/>
  <c r="J46" i="33"/>
  <c r="K46" i="33"/>
  <c r="L46" i="33"/>
  <c r="C46" i="33"/>
  <c r="C91" i="30"/>
  <c r="M49" i="33"/>
  <c r="M50" i="33"/>
  <c r="M51" i="33"/>
  <c r="M52" i="33"/>
  <c r="M53" i="33"/>
  <c r="M48" i="33"/>
  <c r="A65" i="33"/>
  <c r="A61" i="33"/>
  <c r="C85" i="33"/>
  <c r="G69" i="33"/>
  <c r="D66" i="33"/>
  <c r="E66" i="33"/>
  <c r="C66" i="33"/>
  <c r="D58" i="33"/>
  <c r="E58" i="33"/>
  <c r="C58" i="33"/>
  <c r="D65" i="33"/>
  <c r="E65" i="33"/>
  <c r="C65" i="33"/>
  <c r="B49" i="33" l="1"/>
  <c r="H29" i="33"/>
  <c r="I29" i="33"/>
  <c r="J29" i="33"/>
  <c r="K29" i="33"/>
  <c r="L29" i="33"/>
  <c r="H30" i="33"/>
  <c r="I30" i="33"/>
  <c r="J30" i="33"/>
  <c r="K30" i="33"/>
  <c r="L30" i="33"/>
  <c r="H31" i="33"/>
  <c r="I31" i="33"/>
  <c r="J31" i="33"/>
  <c r="K31" i="33"/>
  <c r="L31" i="33"/>
  <c r="H32" i="33"/>
  <c r="I32" i="33"/>
  <c r="J32" i="33"/>
  <c r="K32" i="33"/>
  <c r="L32" i="33"/>
  <c r="H33" i="33"/>
  <c r="I33" i="33"/>
  <c r="J33" i="33"/>
  <c r="K33" i="33"/>
  <c r="L33" i="33"/>
  <c r="H34" i="33"/>
  <c r="I34" i="33"/>
  <c r="J34" i="33"/>
  <c r="K34" i="33"/>
  <c r="L34" i="33"/>
  <c r="D35" i="33"/>
  <c r="E35" i="33"/>
  <c r="F35" i="33"/>
  <c r="G35" i="33"/>
  <c r="H35" i="33"/>
  <c r="I35" i="33"/>
  <c r="J35" i="33"/>
  <c r="K35" i="33"/>
  <c r="L35" i="33"/>
  <c r="H47" i="33"/>
  <c r="I47" i="33"/>
  <c r="J47" i="33"/>
  <c r="K47" i="33"/>
  <c r="L47" i="33"/>
  <c r="L50" i="33"/>
  <c r="V65" i="33"/>
  <c r="W65" i="33"/>
  <c r="Y65" i="33"/>
  <c r="Z65" i="33"/>
  <c r="A49" i="33"/>
  <c r="J49" i="33" s="1"/>
  <c r="A50" i="33"/>
  <c r="J50" i="33" s="1"/>
  <c r="A51" i="33"/>
  <c r="H51" i="33" s="1"/>
  <c r="A52" i="33"/>
  <c r="H52" i="33" s="1"/>
  <c r="A53" i="33"/>
  <c r="C53" i="33" s="1"/>
  <c r="A48" i="33"/>
  <c r="H48" i="33" s="1"/>
  <c r="H112" i="33"/>
  <c r="I112" i="33"/>
  <c r="J112" i="33"/>
  <c r="K112" i="33"/>
  <c r="L112" i="33"/>
  <c r="A56" i="33"/>
  <c r="A57" i="33" s="1"/>
  <c r="N57" i="33" s="1"/>
  <c r="A64" i="33"/>
  <c r="A72" i="33"/>
  <c r="A73" i="33" s="1"/>
  <c r="A80" i="33"/>
  <c r="A81" i="33" s="1"/>
  <c r="A88" i="33"/>
  <c r="A89" i="33" s="1"/>
  <c r="A96" i="33"/>
  <c r="A97" i="33" s="1"/>
  <c r="M98" i="33"/>
  <c r="M97" i="33"/>
  <c r="M90" i="33"/>
  <c r="M89" i="33"/>
  <c r="M82" i="33"/>
  <c r="M81" i="33"/>
  <c r="M74" i="33"/>
  <c r="M73" i="33"/>
  <c r="M66" i="33"/>
  <c r="M65" i="33"/>
  <c r="M57" i="33"/>
  <c r="M58" i="33"/>
  <c r="L131" i="33"/>
  <c r="K131" i="33"/>
  <c r="J131" i="33"/>
  <c r="I131" i="33"/>
  <c r="H131" i="33"/>
  <c r="L130" i="33"/>
  <c r="K130" i="33"/>
  <c r="J130" i="33"/>
  <c r="I130" i="33"/>
  <c r="H130" i="33"/>
  <c r="C130" i="33"/>
  <c r="L128" i="33"/>
  <c r="K128" i="33"/>
  <c r="J128" i="33"/>
  <c r="I128" i="33"/>
  <c r="H128" i="33"/>
  <c r="L127" i="33"/>
  <c r="K127" i="33"/>
  <c r="J127" i="33"/>
  <c r="I127" i="33"/>
  <c r="H127" i="33"/>
  <c r="A126" i="33"/>
  <c r="K126" i="33" s="1"/>
  <c r="A125" i="33"/>
  <c r="L125" i="33" s="1"/>
  <c r="A124" i="33"/>
  <c r="I124" i="33" s="1"/>
  <c r="X73" i="33"/>
  <c r="U73" i="33" s="1"/>
  <c r="A123" i="33"/>
  <c r="H123" i="33" s="1"/>
  <c r="X72" i="33"/>
  <c r="U72" i="33" s="1"/>
  <c r="A122" i="33"/>
  <c r="K122" i="33" s="1"/>
  <c r="X71" i="33"/>
  <c r="U71" i="33" s="1"/>
  <c r="A121" i="33"/>
  <c r="H121" i="33" s="1"/>
  <c r="X70" i="33"/>
  <c r="U70" i="33" s="1"/>
  <c r="X69" i="33"/>
  <c r="U69" i="33" s="1"/>
  <c r="A119" i="33"/>
  <c r="H119" i="33" s="1"/>
  <c r="X68" i="33"/>
  <c r="U68" i="33" s="1"/>
  <c r="A118" i="33"/>
  <c r="I118" i="33" s="1"/>
  <c r="X67" i="33"/>
  <c r="U67" i="33" s="1"/>
  <c r="A117" i="33"/>
  <c r="J117" i="33" s="1"/>
  <c r="X66" i="33"/>
  <c r="U66" i="33" s="1"/>
  <c r="U65" i="33" s="1"/>
  <c r="A116" i="33"/>
  <c r="K116" i="33" s="1"/>
  <c r="A115" i="33"/>
  <c r="L115" i="33" s="1"/>
  <c r="A114" i="33"/>
  <c r="C114" i="33" s="1"/>
  <c r="A111" i="33"/>
  <c r="K111" i="33" s="1"/>
  <c r="A110" i="33"/>
  <c r="L110" i="33" s="1"/>
  <c r="A109" i="33"/>
  <c r="N109" i="33" s="1"/>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B38" i="33"/>
  <c r="L37" i="33"/>
  <c r="K37" i="33"/>
  <c r="J37" i="33"/>
  <c r="I37" i="33"/>
  <c r="H37" i="33"/>
  <c r="C37" i="33"/>
  <c r="A35" i="33"/>
  <c r="A34" i="33"/>
  <c r="A33" i="33"/>
  <c r="A32" i="33"/>
  <c r="A31" i="33"/>
  <c r="A30" i="33"/>
  <c r="C29" i="33"/>
  <c r="L28" i="33"/>
  <c r="L38" i="33" s="1"/>
  <c r="K28" i="33"/>
  <c r="K38" i="33" s="1"/>
  <c r="J28" i="33"/>
  <c r="J38" i="33" s="1"/>
  <c r="I28" i="33"/>
  <c r="I38" i="33" s="1"/>
  <c r="H28" i="33"/>
  <c r="H38" i="33" s="1"/>
  <c r="D28" i="33"/>
  <c r="D47" i="33" s="1"/>
  <c r="C28" i="33"/>
  <c r="C47" i="33" s="1"/>
  <c r="D27" i="33"/>
  <c r="D115" i="33" s="1"/>
  <c r="C24" i="33"/>
  <c r="B31" i="33" s="1"/>
  <c r="B24" i="33"/>
  <c r="C39" i="33" l="1"/>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C117" i="33"/>
  <c r="J126" i="33"/>
  <c r="X65"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1"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C42" i="33" s="1"/>
  <c r="H42" i="33"/>
  <c r="H45" i="33"/>
  <c r="I42" i="33"/>
  <c r="K45" i="33"/>
  <c r="I44" i="33"/>
  <c r="C33" i="33"/>
  <c r="C35" i="33"/>
  <c r="K42" i="33"/>
  <c r="I43" i="33"/>
  <c r="L43" i="33"/>
  <c r="C34" i="33"/>
  <c r="C44" i="33" s="1"/>
  <c r="C52" i="33" s="1"/>
  <c r="C51" i="33" s="1"/>
  <c r="L42" i="33"/>
  <c r="L40" i="33"/>
  <c r="K40" i="33"/>
  <c r="I40" i="33"/>
  <c r="H40" i="33"/>
  <c r="J40" i="33"/>
  <c r="C31" i="33"/>
  <c r="J41" i="33"/>
  <c r="L44" i="33"/>
  <c r="I45" i="33"/>
  <c r="B30" i="33"/>
  <c r="L41" i="33"/>
  <c r="H43" i="33"/>
  <c r="H41" i="33"/>
  <c r="J43" i="33"/>
  <c r="D45" i="33"/>
  <c r="I41" i="33"/>
  <c r="H44" i="33"/>
  <c r="D130" i="33"/>
  <c r="D131" i="33" s="1"/>
  <c r="E27" i="33"/>
  <c r="B29" i="21"/>
  <c r="B29" i="25"/>
  <c r="B29" i="29"/>
  <c r="B29" i="26"/>
  <c r="B31" i="30"/>
  <c r="B30" i="30"/>
  <c r="C24" i="30"/>
  <c r="B34" i="30" s="1"/>
  <c r="B24" i="30"/>
  <c r="B29" i="27"/>
  <c r="B30" i="24"/>
  <c r="B29" i="24" s="1"/>
  <c r="B29" i="33" l="1"/>
  <c r="L68" i="33"/>
  <c r="K68" i="33"/>
  <c r="H68" i="33"/>
  <c r="J68" i="33"/>
  <c r="I68" i="33"/>
  <c r="C50" i="33"/>
  <c r="C49" i="33" s="1"/>
  <c r="C48" i="33" s="1"/>
  <c r="C60" i="33" s="1"/>
  <c r="E53" i="33"/>
  <c r="D112" i="33"/>
  <c r="E114" i="33"/>
  <c r="E109" i="33"/>
  <c r="E115" i="33"/>
  <c r="E131" i="33" s="1"/>
  <c r="E110" i="33"/>
  <c r="E126" i="33"/>
  <c r="E111" i="33"/>
  <c r="E118" i="33"/>
  <c r="E106" i="33"/>
  <c r="E108" i="33"/>
  <c r="E119" i="33"/>
  <c r="E107" i="33"/>
  <c r="C112" i="33"/>
  <c r="N58" i="33"/>
  <c r="N66" i="33" s="1"/>
  <c r="N74" i="33" s="1"/>
  <c r="N82" i="33" s="1"/>
  <c r="N90" i="33" s="1"/>
  <c r="A60" i="33"/>
  <c r="A67" i="33"/>
  <c r="A100" i="33"/>
  <c r="A99" i="33"/>
  <c r="N98" i="33"/>
  <c r="A92" i="33"/>
  <c r="A91" i="33"/>
  <c r="C43" i="33"/>
  <c r="A84" i="33"/>
  <c r="A83" i="33"/>
  <c r="A76" i="33"/>
  <c r="A75" i="33"/>
  <c r="A69" i="33"/>
  <c r="E130" i="33"/>
  <c r="E45" i="33"/>
  <c r="E28" i="33"/>
  <c r="E47" i="33" s="1"/>
  <c r="F27" i="33"/>
  <c r="C41" i="33"/>
  <c r="C30" i="33"/>
  <c r="G79" i="30"/>
  <c r="B49" i="30"/>
  <c r="L95" i="30"/>
  <c r="K95" i="30"/>
  <c r="J95" i="30"/>
  <c r="I95" i="30"/>
  <c r="H95" i="30"/>
  <c r="L94" i="30"/>
  <c r="K94" i="30"/>
  <c r="J94" i="30"/>
  <c r="I94" i="30"/>
  <c r="H94" i="30"/>
  <c r="C94" i="30"/>
  <c r="L92" i="30"/>
  <c r="K92" i="30"/>
  <c r="J92" i="30"/>
  <c r="I92" i="30"/>
  <c r="H92" i="30"/>
  <c r="L91" i="30"/>
  <c r="K91" i="30"/>
  <c r="J91" i="30"/>
  <c r="I91" i="30"/>
  <c r="H91" i="30"/>
  <c r="A90" i="30"/>
  <c r="K90" i="30" s="1"/>
  <c r="H89" i="30"/>
  <c r="A89" i="30"/>
  <c r="L89" i="30" s="1"/>
  <c r="K88" i="30"/>
  <c r="A88" i="30"/>
  <c r="J88" i="30" s="1"/>
  <c r="S87" i="30"/>
  <c r="P87" i="30" s="1"/>
  <c r="H87" i="30"/>
  <c r="A87" i="30"/>
  <c r="L87" i="30" s="1"/>
  <c r="S86" i="30"/>
  <c r="P86" i="30"/>
  <c r="L86" i="30"/>
  <c r="H86" i="30"/>
  <c r="A86" i="30"/>
  <c r="K86" i="30" s="1"/>
  <c r="S85" i="30"/>
  <c r="P85" i="30"/>
  <c r="A85" i="30"/>
  <c r="I85" i="30" s="1"/>
  <c r="S84" i="30"/>
  <c r="P84" i="30" s="1"/>
  <c r="S83" i="30"/>
  <c r="P83" i="30" s="1"/>
  <c r="A83" i="30"/>
  <c r="S82" i="30"/>
  <c r="P82" i="30" s="1"/>
  <c r="A82" i="30"/>
  <c r="S81" i="30"/>
  <c r="P81" i="30"/>
  <c r="A81" i="30"/>
  <c r="S80" i="30"/>
  <c r="P80" i="30"/>
  <c r="A80" i="30"/>
  <c r="A79" i="30"/>
  <c r="A78" i="30"/>
  <c r="A76" i="30"/>
  <c r="I76" i="30" s="1"/>
  <c r="A75" i="30"/>
  <c r="K75" i="30" s="1"/>
  <c r="K82" i="30" s="1"/>
  <c r="K74" i="30"/>
  <c r="H74" i="30"/>
  <c r="A74" i="30"/>
  <c r="L74" i="30" s="1"/>
  <c r="K73" i="30"/>
  <c r="A73" i="30"/>
  <c r="J73" i="30" s="1"/>
  <c r="A72" i="30"/>
  <c r="J72" i="30" s="1"/>
  <c r="L71" i="30"/>
  <c r="K71" i="30"/>
  <c r="I71" i="30"/>
  <c r="H71" i="30"/>
  <c r="A71" i="30"/>
  <c r="J71" i="30" s="1"/>
  <c r="L68" i="30"/>
  <c r="K68" i="30"/>
  <c r="J68" i="30"/>
  <c r="I68" i="30"/>
  <c r="H68" i="30"/>
  <c r="M67" i="30"/>
  <c r="A67" i="30"/>
  <c r="M66" i="30"/>
  <c r="A66" i="30"/>
  <c r="M65" i="30"/>
  <c r="A65" i="30"/>
  <c r="M64" i="30"/>
  <c r="A64" i="30"/>
  <c r="E63" i="30"/>
  <c r="D63" i="30"/>
  <c r="M63" i="30" s="1"/>
  <c r="C63" i="30"/>
  <c r="C68" i="30" s="1"/>
  <c r="A63" i="30"/>
  <c r="M62" i="30"/>
  <c r="A62" i="30"/>
  <c r="K60" i="30"/>
  <c r="A60" i="30"/>
  <c r="J60" i="30" s="1"/>
  <c r="A59" i="30"/>
  <c r="L59" i="30" s="1"/>
  <c r="L58" i="30"/>
  <c r="I58" i="30"/>
  <c r="A58" i="30"/>
  <c r="J58" i="30" s="1"/>
  <c r="A57" i="30"/>
  <c r="K57" i="30" s="1"/>
  <c r="A56" i="30"/>
  <c r="L55" i="30"/>
  <c r="K55" i="30"/>
  <c r="I55" i="30"/>
  <c r="H55" i="30"/>
  <c r="C55" i="30"/>
  <c r="A55" i="30"/>
  <c r="J55" i="30" s="1"/>
  <c r="L53" i="30"/>
  <c r="H53" i="30"/>
  <c r="A53" i="30"/>
  <c r="K53" i="30" s="1"/>
  <c r="A52" i="30"/>
  <c r="J52" i="30" s="1"/>
  <c r="A51" i="30"/>
  <c r="L51" i="30" s="1"/>
  <c r="A50" i="30"/>
  <c r="A49" i="30"/>
  <c r="K49" i="30" s="1"/>
  <c r="L48" i="30"/>
  <c r="K48" i="30"/>
  <c r="J48" i="30"/>
  <c r="I48" i="30"/>
  <c r="H48" i="30"/>
  <c r="A48" i="30"/>
  <c r="L46" i="30"/>
  <c r="K46" i="30"/>
  <c r="J46" i="30"/>
  <c r="I46" i="30"/>
  <c r="H46" i="30"/>
  <c r="A45" i="30"/>
  <c r="L45" i="30" s="1"/>
  <c r="A44" i="30"/>
  <c r="J44" i="30" s="1"/>
  <c r="L43" i="30"/>
  <c r="H43" i="30"/>
  <c r="A43" i="30"/>
  <c r="K42" i="30"/>
  <c r="H42" i="30"/>
  <c r="A42" i="30"/>
  <c r="J42" i="30" s="1"/>
  <c r="K41" i="30"/>
  <c r="A41" i="30"/>
  <c r="K40" i="30"/>
  <c r="J40" i="30"/>
  <c r="A40" i="30"/>
  <c r="L39" i="30"/>
  <c r="K39" i="30"/>
  <c r="J39" i="30"/>
  <c r="I39" i="30"/>
  <c r="H39" i="30"/>
  <c r="H38" i="30"/>
  <c r="C38" i="30"/>
  <c r="B38" i="30"/>
  <c r="L37" i="30"/>
  <c r="K37" i="30"/>
  <c r="J37" i="30"/>
  <c r="I37" i="30"/>
  <c r="H37" i="30"/>
  <c r="C37" i="30"/>
  <c r="A35" i="30"/>
  <c r="J35" i="30" s="1"/>
  <c r="A34" i="30"/>
  <c r="K34" i="30" s="1"/>
  <c r="A33" i="30"/>
  <c r="K33" i="30" s="1"/>
  <c r="H32" i="30"/>
  <c r="A32" i="30"/>
  <c r="K32" i="30" s="1"/>
  <c r="K31" i="30"/>
  <c r="A31" i="30"/>
  <c r="J31" i="30" s="1"/>
  <c r="L30" i="30"/>
  <c r="K30" i="30"/>
  <c r="H30" i="30"/>
  <c r="C30" i="30"/>
  <c r="B29" i="30"/>
  <c r="A30" i="30"/>
  <c r="J30" i="30" s="1"/>
  <c r="L29" i="30"/>
  <c r="K29" i="30"/>
  <c r="J29" i="30"/>
  <c r="I29" i="30"/>
  <c r="H29" i="30"/>
  <c r="C29" i="30"/>
  <c r="L28" i="30"/>
  <c r="L38" i="30" s="1"/>
  <c r="K28" i="30"/>
  <c r="K38" i="30" s="1"/>
  <c r="J28" i="30"/>
  <c r="J38" i="30" s="1"/>
  <c r="I28" i="30"/>
  <c r="I38" i="30" s="1"/>
  <c r="H28" i="30"/>
  <c r="D28" i="30"/>
  <c r="C28" i="30"/>
  <c r="D27" i="30"/>
  <c r="L100" i="33" l="1"/>
  <c r="K100" i="33"/>
  <c r="C100" i="33"/>
  <c r="H100" i="33"/>
  <c r="J100" i="33"/>
  <c r="I100" i="33"/>
  <c r="D100" i="33"/>
  <c r="F100" i="33"/>
  <c r="C68" i="33"/>
  <c r="C76" i="33"/>
  <c r="H76" i="33"/>
  <c r="I76" i="33"/>
  <c r="J76" i="33"/>
  <c r="K76" i="33"/>
  <c r="L76" i="33"/>
  <c r="C84" i="33"/>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G100" i="33" s="1"/>
  <c r="F130" i="33"/>
  <c r="C40" i="33"/>
  <c r="C35" i="30"/>
  <c r="I53" i="30"/>
  <c r="K58" i="30"/>
  <c r="L60" i="30"/>
  <c r="I32" i="30"/>
  <c r="I35" i="30"/>
  <c r="I42" i="30"/>
  <c r="C45" i="30"/>
  <c r="H57" i="30"/>
  <c r="H72" i="30"/>
  <c r="K89" i="30"/>
  <c r="H35" i="30"/>
  <c r="L32" i="30"/>
  <c r="K35" i="30"/>
  <c r="J45" i="30"/>
  <c r="J57" i="30"/>
  <c r="I72" i="30"/>
  <c r="L35" i="30"/>
  <c r="L42" i="30"/>
  <c r="I52" i="30"/>
  <c r="L57" i="30"/>
  <c r="C60" i="30"/>
  <c r="K72" i="30"/>
  <c r="K87" i="30"/>
  <c r="H90" i="30"/>
  <c r="I33" i="30"/>
  <c r="K52" i="30"/>
  <c r="H60" i="30"/>
  <c r="L72" i="30"/>
  <c r="L90" i="30"/>
  <c r="C58" i="30"/>
  <c r="I60" i="30"/>
  <c r="L75" i="30"/>
  <c r="H34" i="30"/>
  <c r="H59" i="30"/>
  <c r="I59" i="30"/>
  <c r="L52" i="30"/>
  <c r="H75" i="30"/>
  <c r="H82" i="30" s="1"/>
  <c r="I56" i="30"/>
  <c r="L56" i="30"/>
  <c r="K56" i="30"/>
  <c r="D90" i="30"/>
  <c r="D60" i="30"/>
  <c r="D55" i="30"/>
  <c r="D94" i="30"/>
  <c r="E27" i="30"/>
  <c r="D58" i="30"/>
  <c r="D76" i="30"/>
  <c r="D68" i="30"/>
  <c r="J34" i="30"/>
  <c r="D45" i="30"/>
  <c r="D51" i="30"/>
  <c r="H31" i="30"/>
  <c r="J33" i="30"/>
  <c r="I41" i="30"/>
  <c r="L41" i="30"/>
  <c r="K43" i="30"/>
  <c r="I49" i="30"/>
  <c r="D59" i="30"/>
  <c r="I31" i="30"/>
  <c r="L40" i="30"/>
  <c r="H40" i="30"/>
  <c r="J51" i="30"/>
  <c r="J56" i="30"/>
  <c r="C39" i="30"/>
  <c r="L31" i="30"/>
  <c r="I34" i="30"/>
  <c r="L34" i="30"/>
  <c r="H50" i="30"/>
  <c r="L50" i="30"/>
  <c r="K50" i="30"/>
  <c r="J50" i="30"/>
  <c r="D53" i="30"/>
  <c r="L33" i="30"/>
  <c r="H33" i="30"/>
  <c r="C34" i="30"/>
  <c r="D35" i="30"/>
  <c r="I44" i="30"/>
  <c r="L49" i="30"/>
  <c r="J49" i="30"/>
  <c r="H49" i="30"/>
  <c r="C33" i="30"/>
  <c r="H41" i="30"/>
  <c r="I43" i="30"/>
  <c r="C31" i="30"/>
  <c r="I40" i="30"/>
  <c r="J41" i="30"/>
  <c r="J43" i="30"/>
  <c r="K45" i="30"/>
  <c r="I45" i="30"/>
  <c r="H45" i="30"/>
  <c r="I50" i="30"/>
  <c r="K51" i="30"/>
  <c r="C51" i="30"/>
  <c r="I51" i="30"/>
  <c r="H51" i="30"/>
  <c r="H44" i="30"/>
  <c r="L44" i="30"/>
  <c r="K44" i="30"/>
  <c r="H56" i="30"/>
  <c r="J76" i="30"/>
  <c r="J85" i="30"/>
  <c r="L73" i="30"/>
  <c r="I74" i="30"/>
  <c r="C76" i="30"/>
  <c r="K76" i="30"/>
  <c r="K85" i="30"/>
  <c r="I87" i="30"/>
  <c r="L88" i="30"/>
  <c r="I89" i="30"/>
  <c r="J74" i="30"/>
  <c r="L76" i="30"/>
  <c r="L85" i="30"/>
  <c r="J87" i="30"/>
  <c r="J89" i="30"/>
  <c r="I30" i="30"/>
  <c r="J32" i="30"/>
  <c r="J53" i="30"/>
  <c r="J59" i="30"/>
  <c r="C32" i="30"/>
  <c r="C53" i="30"/>
  <c r="I57" i="30"/>
  <c r="C59" i="30"/>
  <c r="K59" i="30"/>
  <c r="I75" i="30"/>
  <c r="I86" i="30"/>
  <c r="I90" i="30"/>
  <c r="H52" i="30"/>
  <c r="H58" i="30"/>
  <c r="E59" i="30"/>
  <c r="H73" i="30"/>
  <c r="J75" i="30"/>
  <c r="J86" i="30"/>
  <c r="H88" i="30"/>
  <c r="J90" i="30"/>
  <c r="I73" i="30"/>
  <c r="H76" i="30"/>
  <c r="H85" i="30"/>
  <c r="I88" i="30"/>
  <c r="C90" i="30"/>
  <c r="P78" i="24"/>
  <c r="G53" i="33" l="1"/>
  <c r="G99" i="33"/>
  <c r="F131"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0" i="33"/>
  <c r="C44" i="30"/>
  <c r="C52" i="30" s="1"/>
  <c r="C75" i="30" s="1"/>
  <c r="C89" i="30" s="1"/>
  <c r="D34" i="30" s="1"/>
  <c r="C40" i="30"/>
  <c r="C42" i="30"/>
  <c r="C46" i="30"/>
  <c r="B50" i="30" s="1"/>
  <c r="C95" i="30"/>
  <c r="C43" i="30"/>
  <c r="C74" i="30" s="1"/>
  <c r="C88" i="30" s="1"/>
  <c r="D33" i="30" s="1"/>
  <c r="C41" i="30"/>
  <c r="E51" i="30"/>
  <c r="E45" i="30"/>
  <c r="E28" i="30"/>
  <c r="E94" i="30"/>
  <c r="E53" i="30"/>
  <c r="E76" i="30"/>
  <c r="F27" i="30"/>
  <c r="E68" i="30"/>
  <c r="E90" i="30"/>
  <c r="E60" i="30"/>
  <c r="E35" i="30"/>
  <c r="B55" i="24"/>
  <c r="G47" i="33" l="1"/>
  <c r="C70" i="33"/>
  <c r="C122" i="33" s="1"/>
  <c r="D31" i="33" s="1"/>
  <c r="F67" i="33"/>
  <c r="F83" i="33"/>
  <c r="F91" i="33"/>
  <c r="F75" i="33"/>
  <c r="G112" i="33"/>
  <c r="G59" i="33" s="1"/>
  <c r="M106" i="33"/>
  <c r="G131"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50" i="30"/>
  <c r="C49" i="30" s="1"/>
  <c r="C48" i="30" s="1"/>
  <c r="B57" i="30"/>
  <c r="C57" i="30"/>
  <c r="C56" i="30" s="1"/>
  <c r="E58" i="30"/>
  <c r="E55" i="30"/>
  <c r="F94" i="30"/>
  <c r="F35" i="30"/>
  <c r="F76" i="30"/>
  <c r="F60" i="30"/>
  <c r="F68" i="30"/>
  <c r="F90" i="30"/>
  <c r="F28" i="30"/>
  <c r="F55" i="30" s="1"/>
  <c r="F53" i="30"/>
  <c r="F59" i="30"/>
  <c r="F51" i="30"/>
  <c r="F45" i="30"/>
  <c r="G27" i="30"/>
  <c r="K60" i="29"/>
  <c r="K61" i="29" s="1"/>
  <c r="L60" i="29"/>
  <c r="L61" i="29" s="1"/>
  <c r="J60" i="29"/>
  <c r="J61" i="29" s="1"/>
  <c r="I61" i="29"/>
  <c r="I66" i="29"/>
  <c r="I92" i="29"/>
  <c r="C92" i="29"/>
  <c r="A88" i="29"/>
  <c r="C88" i="29" s="1"/>
  <c r="A87" i="29"/>
  <c r="C87" i="29" s="1"/>
  <c r="A86" i="29"/>
  <c r="S85" i="29"/>
  <c r="P85" i="29"/>
  <c r="A85" i="29"/>
  <c r="S84" i="29"/>
  <c r="P84" i="29"/>
  <c r="A84" i="29"/>
  <c r="S83" i="29"/>
  <c r="P83" i="29" s="1"/>
  <c r="A83" i="29"/>
  <c r="S82" i="29"/>
  <c r="P82" i="29" s="1"/>
  <c r="S81" i="29"/>
  <c r="P81" i="29" s="1"/>
  <c r="A81" i="29"/>
  <c r="S80" i="29"/>
  <c r="P80" i="29" s="1"/>
  <c r="A80" i="29"/>
  <c r="S79" i="29"/>
  <c r="P79" i="29"/>
  <c r="A79" i="29"/>
  <c r="S78" i="29"/>
  <c r="P78" i="29"/>
  <c r="A78" i="29"/>
  <c r="A77" i="29"/>
  <c r="A76" i="29"/>
  <c r="I74" i="29"/>
  <c r="C74" i="29"/>
  <c r="A74" i="29"/>
  <c r="I73" i="29"/>
  <c r="C73" i="29"/>
  <c r="A73" i="29"/>
  <c r="A72" i="29"/>
  <c r="A71" i="29"/>
  <c r="A70" i="29"/>
  <c r="A69" i="29"/>
  <c r="C66" i="29"/>
  <c r="M65" i="29"/>
  <c r="A65" i="29"/>
  <c r="M64" i="29"/>
  <c r="A64" i="29"/>
  <c r="M63" i="29"/>
  <c r="A63" i="29"/>
  <c r="M62" i="29"/>
  <c r="A62" i="29"/>
  <c r="A61" i="29"/>
  <c r="A60" i="29"/>
  <c r="A58" i="29"/>
  <c r="K57" i="29"/>
  <c r="I57" i="29"/>
  <c r="C57" i="29"/>
  <c r="A57" i="29"/>
  <c r="A56" i="29"/>
  <c r="A55" i="29"/>
  <c r="A54" i="29"/>
  <c r="A53" i="29"/>
  <c r="I51" i="29"/>
  <c r="C51" i="29"/>
  <c r="A51" i="29"/>
  <c r="D50" i="29"/>
  <c r="A50" i="29"/>
  <c r="C50" i="29" s="1"/>
  <c r="I49" i="29"/>
  <c r="C49" i="29"/>
  <c r="A49" i="29"/>
  <c r="A48" i="29"/>
  <c r="B47" i="29"/>
  <c r="A47" i="29"/>
  <c r="A46" i="29"/>
  <c r="I43" i="29"/>
  <c r="C43" i="29"/>
  <c r="A43" i="29"/>
  <c r="J42" i="29"/>
  <c r="A42" i="29"/>
  <c r="I42" i="29" s="1"/>
  <c r="A41" i="29"/>
  <c r="A40" i="29"/>
  <c r="A39" i="29"/>
  <c r="A38" i="29"/>
  <c r="C37" i="29"/>
  <c r="C36" i="29"/>
  <c r="B36" i="29"/>
  <c r="C35" i="29"/>
  <c r="I33" i="29"/>
  <c r="A33" i="29"/>
  <c r="C33" i="29" s="1"/>
  <c r="I32" i="29"/>
  <c r="C32" i="29"/>
  <c r="A32" i="29"/>
  <c r="A31" i="29"/>
  <c r="C30" i="29"/>
  <c r="A30" i="29"/>
  <c r="C29" i="29"/>
  <c r="A29" i="29"/>
  <c r="B28" i="29"/>
  <c r="B27" i="29" s="1"/>
  <c r="A28" i="29"/>
  <c r="C27" i="29"/>
  <c r="K26" i="29"/>
  <c r="I26" i="29"/>
  <c r="C26" i="29"/>
  <c r="K25" i="29"/>
  <c r="J25" i="29"/>
  <c r="D25" i="29"/>
  <c r="D46" i="33" l="1"/>
  <c r="G67" i="33"/>
  <c r="G75" i="33"/>
  <c r="G83" i="33"/>
  <c r="G91" i="33"/>
  <c r="C62" i="33"/>
  <c r="C121" i="33" s="1"/>
  <c r="D30" i="33" s="1"/>
  <c r="C39" i="29"/>
  <c r="F58" i="30"/>
  <c r="G53" i="30"/>
  <c r="G76" i="30"/>
  <c r="G68" i="30"/>
  <c r="G60" i="30"/>
  <c r="G55" i="30"/>
  <c r="G51" i="30"/>
  <c r="G90" i="30"/>
  <c r="G94" i="30"/>
  <c r="G35" i="30"/>
  <c r="G28" i="30"/>
  <c r="G58" i="30"/>
  <c r="G45" i="30"/>
  <c r="G59" i="30"/>
  <c r="C73" i="30"/>
  <c r="M60" i="29"/>
  <c r="M61" i="29"/>
  <c r="K50" i="29"/>
  <c r="K88" i="29"/>
  <c r="K74" i="29"/>
  <c r="K49" i="29"/>
  <c r="K43" i="29"/>
  <c r="K92" i="29"/>
  <c r="K87" i="29"/>
  <c r="K66" i="29"/>
  <c r="K33" i="29"/>
  <c r="L25" i="29"/>
  <c r="K73" i="29"/>
  <c r="K80" i="29" s="1"/>
  <c r="C44" i="29"/>
  <c r="C55" i="29" s="1"/>
  <c r="C54" i="29" s="1"/>
  <c r="C77" i="29"/>
  <c r="C93" i="29" s="1"/>
  <c r="C40" i="29"/>
  <c r="K51" i="29"/>
  <c r="J33" i="29"/>
  <c r="C42" i="29"/>
  <c r="K56" i="29"/>
  <c r="K32" i="29"/>
  <c r="D88" i="29"/>
  <c r="D58" i="29"/>
  <c r="D74" i="29"/>
  <c r="D92" i="29"/>
  <c r="D49" i="29"/>
  <c r="D43" i="29"/>
  <c r="D26" i="29"/>
  <c r="E25" i="29"/>
  <c r="D87" i="29"/>
  <c r="D66" i="29"/>
  <c r="D73" i="29"/>
  <c r="D57" i="29"/>
  <c r="D51" i="29"/>
  <c r="D42" i="29"/>
  <c r="D56" i="29"/>
  <c r="C38" i="29"/>
  <c r="C31" i="29"/>
  <c r="D33" i="29"/>
  <c r="K42" i="29"/>
  <c r="J32" i="29"/>
  <c r="J50" i="29"/>
  <c r="J88" i="29"/>
  <c r="J74" i="29"/>
  <c r="J92" i="29"/>
  <c r="J49" i="29"/>
  <c r="J43" i="29"/>
  <c r="J26" i="29"/>
  <c r="J66" i="29"/>
  <c r="J87" i="29"/>
  <c r="J73" i="29"/>
  <c r="J51" i="29"/>
  <c r="C28" i="29"/>
  <c r="D32" i="29"/>
  <c r="J57" i="29"/>
  <c r="I87" i="29"/>
  <c r="I53" i="29"/>
  <c r="I58" i="29"/>
  <c r="I88" i="29"/>
  <c r="J53" i="29"/>
  <c r="J58" i="29"/>
  <c r="I50" i="29"/>
  <c r="C53" i="29"/>
  <c r="K53" i="29"/>
  <c r="I56" i="29"/>
  <c r="C58" i="29"/>
  <c r="K58" i="29"/>
  <c r="J56" i="29"/>
  <c r="C56" i="29"/>
  <c r="D61" i="27"/>
  <c r="E61" i="27"/>
  <c r="C61" i="27"/>
  <c r="C66" i="27" s="1"/>
  <c r="L93" i="27"/>
  <c r="K93" i="27"/>
  <c r="J93" i="27"/>
  <c r="I93" i="27"/>
  <c r="H93" i="27"/>
  <c r="L92" i="27"/>
  <c r="K92" i="27"/>
  <c r="J92" i="27"/>
  <c r="I92" i="27"/>
  <c r="H92" i="27"/>
  <c r="C92" i="27"/>
  <c r="L90" i="27"/>
  <c r="K90" i="27"/>
  <c r="J90" i="27"/>
  <c r="I90" i="27"/>
  <c r="H90" i="27"/>
  <c r="L89" i="27"/>
  <c r="K89" i="27"/>
  <c r="J89" i="27"/>
  <c r="I89" i="27"/>
  <c r="H89" i="27"/>
  <c r="A88" i="27"/>
  <c r="L88" i="27" s="1"/>
  <c r="H87" i="27"/>
  <c r="A87" i="27"/>
  <c r="L87" i="27" s="1"/>
  <c r="K86" i="27"/>
  <c r="I86" i="27"/>
  <c r="H86" i="27"/>
  <c r="A86" i="27"/>
  <c r="J86" i="27" s="1"/>
  <c r="S85" i="27"/>
  <c r="P85" i="27" s="1"/>
  <c r="H85" i="27"/>
  <c r="A85" i="27"/>
  <c r="L85" i="27" s="1"/>
  <c r="S84" i="27"/>
  <c r="P84" i="27"/>
  <c r="A84" i="27"/>
  <c r="L84" i="27" s="1"/>
  <c r="S83" i="27"/>
  <c r="P83" i="27"/>
  <c r="A83" i="27"/>
  <c r="I83" i="27" s="1"/>
  <c r="S82" i="27"/>
  <c r="P82" i="27"/>
  <c r="S81" i="27"/>
  <c r="P81" i="27" s="1"/>
  <c r="A81" i="27"/>
  <c r="S80" i="27"/>
  <c r="P80" i="27" s="1"/>
  <c r="A80" i="27"/>
  <c r="S79" i="27"/>
  <c r="P79" i="27"/>
  <c r="A79" i="27"/>
  <c r="S78" i="27"/>
  <c r="P78" i="27"/>
  <c r="A78" i="27"/>
  <c r="A77" i="27"/>
  <c r="A76" i="27"/>
  <c r="L74" i="27"/>
  <c r="K74" i="27"/>
  <c r="I74" i="27"/>
  <c r="C74" i="27"/>
  <c r="A74" i="27"/>
  <c r="J74" i="27" s="1"/>
  <c r="A73" i="27"/>
  <c r="I73" i="27" s="1"/>
  <c r="A72" i="27"/>
  <c r="L72" i="27" s="1"/>
  <c r="H71" i="27"/>
  <c r="A71" i="27"/>
  <c r="L71" i="27" s="1"/>
  <c r="K70" i="27"/>
  <c r="I70" i="27"/>
  <c r="H70" i="27"/>
  <c r="A70" i="27"/>
  <c r="J70" i="27" s="1"/>
  <c r="L69" i="27"/>
  <c r="K69" i="27"/>
  <c r="H69" i="27"/>
  <c r="A69" i="27"/>
  <c r="J69" i="27" s="1"/>
  <c r="L66" i="27"/>
  <c r="K66" i="27"/>
  <c r="J66" i="27"/>
  <c r="I66" i="27"/>
  <c r="H66" i="27"/>
  <c r="M65" i="27"/>
  <c r="A65" i="27"/>
  <c r="M64" i="27"/>
  <c r="A64" i="27"/>
  <c r="M63" i="27"/>
  <c r="A63" i="27"/>
  <c r="M62" i="27"/>
  <c r="A62" i="27"/>
  <c r="A61" i="27"/>
  <c r="M60" i="27"/>
  <c r="A60" i="27"/>
  <c r="L58" i="27"/>
  <c r="I58" i="27"/>
  <c r="D58" i="27"/>
  <c r="A58" i="27"/>
  <c r="K58" i="27" s="1"/>
  <c r="A57" i="27"/>
  <c r="I57" i="27" s="1"/>
  <c r="A56" i="27"/>
  <c r="L56" i="27" s="1"/>
  <c r="J55" i="27"/>
  <c r="H55" i="27"/>
  <c r="A55" i="27"/>
  <c r="L55" i="27" s="1"/>
  <c r="L54" i="27"/>
  <c r="I54" i="27"/>
  <c r="A54" i="27"/>
  <c r="K54" i="27" s="1"/>
  <c r="L53" i="27"/>
  <c r="I53" i="27"/>
  <c r="A53" i="27"/>
  <c r="K53" i="27" s="1"/>
  <c r="A51" i="27"/>
  <c r="I51" i="27" s="1"/>
  <c r="A50" i="27"/>
  <c r="L50" i="27" s="1"/>
  <c r="H49" i="27"/>
  <c r="A49" i="27"/>
  <c r="L49" i="27" s="1"/>
  <c r="K48" i="27"/>
  <c r="H48" i="27"/>
  <c r="A48" i="27"/>
  <c r="J48" i="27" s="1"/>
  <c r="L47" i="27"/>
  <c r="B47" i="27"/>
  <c r="A47" i="27"/>
  <c r="K47" i="27" s="1"/>
  <c r="L46" i="27"/>
  <c r="K46" i="27"/>
  <c r="J46" i="27"/>
  <c r="I46" i="27"/>
  <c r="H46" i="27"/>
  <c r="A46" i="27"/>
  <c r="L44" i="27"/>
  <c r="K44" i="27"/>
  <c r="J44" i="27"/>
  <c r="I44" i="27"/>
  <c r="H44" i="27"/>
  <c r="H43" i="27"/>
  <c r="E43" i="27"/>
  <c r="A43" i="27"/>
  <c r="L43" i="27" s="1"/>
  <c r="K42" i="27"/>
  <c r="I42" i="27"/>
  <c r="H42" i="27"/>
  <c r="C42" i="27"/>
  <c r="A42" i="27"/>
  <c r="J42" i="27" s="1"/>
  <c r="L41" i="27"/>
  <c r="K41" i="27"/>
  <c r="I41" i="27"/>
  <c r="H41" i="27"/>
  <c r="A41" i="27"/>
  <c r="J41" i="27" s="1"/>
  <c r="L40" i="27"/>
  <c r="K40" i="27"/>
  <c r="I40" i="27"/>
  <c r="H40" i="27"/>
  <c r="A40" i="27"/>
  <c r="J40" i="27" s="1"/>
  <c r="I39" i="27"/>
  <c r="A39" i="27"/>
  <c r="K39" i="27" s="1"/>
  <c r="L38" i="27"/>
  <c r="I38" i="27"/>
  <c r="A38" i="27"/>
  <c r="K38" i="27" s="1"/>
  <c r="L37" i="27"/>
  <c r="K37" i="27"/>
  <c r="J37" i="27"/>
  <c r="I37" i="27"/>
  <c r="H37" i="27"/>
  <c r="L36" i="27"/>
  <c r="K36" i="27"/>
  <c r="J36" i="27"/>
  <c r="I36" i="27"/>
  <c r="C36" i="27"/>
  <c r="B36" i="27"/>
  <c r="L35" i="27"/>
  <c r="K35" i="27"/>
  <c r="J35" i="27"/>
  <c r="I35" i="27"/>
  <c r="H35" i="27"/>
  <c r="C35" i="27"/>
  <c r="L33" i="27"/>
  <c r="K33" i="27"/>
  <c r="I33" i="27"/>
  <c r="H33" i="27"/>
  <c r="C33" i="27"/>
  <c r="A33" i="27"/>
  <c r="J33" i="27" s="1"/>
  <c r="I32" i="27"/>
  <c r="A32" i="27"/>
  <c r="K32" i="27" s="1"/>
  <c r="L31" i="27"/>
  <c r="I31" i="27"/>
  <c r="A31" i="27"/>
  <c r="K31" i="27" s="1"/>
  <c r="A30" i="27"/>
  <c r="I30" i="27" s="1"/>
  <c r="L29" i="27"/>
  <c r="K29" i="27"/>
  <c r="J29" i="27"/>
  <c r="H29" i="27"/>
  <c r="C29" i="27"/>
  <c r="A29" i="27"/>
  <c r="I29" i="27" s="1"/>
  <c r="B28" i="27"/>
  <c r="A28" i="27"/>
  <c r="H28" i="27" s="1"/>
  <c r="L27" i="27"/>
  <c r="K27" i="27"/>
  <c r="J27" i="27"/>
  <c r="I27" i="27"/>
  <c r="H27" i="27"/>
  <c r="C27" i="27"/>
  <c r="B27" i="27"/>
  <c r="L26" i="27"/>
  <c r="K26" i="27"/>
  <c r="J26" i="27"/>
  <c r="I26" i="27"/>
  <c r="H26" i="27"/>
  <c r="H36" i="27" s="1"/>
  <c r="E26" i="27"/>
  <c r="C26" i="27"/>
  <c r="E25" i="27"/>
  <c r="D25" i="27"/>
  <c r="I92" i="26"/>
  <c r="C92" i="26"/>
  <c r="A88" i="26"/>
  <c r="C88" i="26" s="1"/>
  <c r="I87" i="26"/>
  <c r="A87" i="26"/>
  <c r="C87" i="26" s="1"/>
  <c r="A86" i="26"/>
  <c r="S85" i="26"/>
  <c r="P85" i="26"/>
  <c r="A85" i="26"/>
  <c r="S84" i="26"/>
  <c r="P84" i="26"/>
  <c r="A84" i="26"/>
  <c r="S83" i="26"/>
  <c r="P83" i="26" s="1"/>
  <c r="A83" i="26"/>
  <c r="S82" i="26"/>
  <c r="P82" i="26" s="1"/>
  <c r="S81" i="26"/>
  <c r="P81" i="26" s="1"/>
  <c r="A81" i="26"/>
  <c r="S80" i="26"/>
  <c r="P80" i="26"/>
  <c r="A80" i="26"/>
  <c r="S79" i="26"/>
  <c r="P79" i="26" s="1"/>
  <c r="A79" i="26"/>
  <c r="S78" i="26"/>
  <c r="P78" i="26"/>
  <c r="A78" i="26"/>
  <c r="A77" i="26"/>
  <c r="A76" i="26"/>
  <c r="C74" i="26"/>
  <c r="A74" i="26"/>
  <c r="I74" i="26" s="1"/>
  <c r="I73" i="26"/>
  <c r="A73" i="26"/>
  <c r="C73" i="26" s="1"/>
  <c r="A72" i="26"/>
  <c r="A71" i="26"/>
  <c r="A70" i="26"/>
  <c r="A69" i="26"/>
  <c r="I66" i="26"/>
  <c r="C66" i="26"/>
  <c r="M65" i="26"/>
  <c r="A65" i="26"/>
  <c r="M64" i="26"/>
  <c r="A64" i="26"/>
  <c r="M63" i="26"/>
  <c r="A63" i="26"/>
  <c r="M62" i="26"/>
  <c r="A62" i="26"/>
  <c r="M61" i="26"/>
  <c r="A61" i="26"/>
  <c r="M60" i="26"/>
  <c r="A60" i="26"/>
  <c r="C58" i="26"/>
  <c r="A58" i="26"/>
  <c r="I57" i="26"/>
  <c r="A57" i="26"/>
  <c r="I56" i="26"/>
  <c r="D56" i="26"/>
  <c r="A56" i="26"/>
  <c r="A55" i="26"/>
  <c r="A54" i="26"/>
  <c r="C53" i="26"/>
  <c r="A53" i="26"/>
  <c r="I51" i="26"/>
  <c r="A51" i="26"/>
  <c r="C51" i="26" s="1"/>
  <c r="I50" i="26"/>
  <c r="C50" i="26"/>
  <c r="A50" i="26"/>
  <c r="I49" i="26"/>
  <c r="D49" i="26"/>
  <c r="C49" i="26"/>
  <c r="A49" i="26"/>
  <c r="A48" i="26"/>
  <c r="B47" i="26"/>
  <c r="A47" i="26"/>
  <c r="A46" i="26"/>
  <c r="D43" i="26"/>
  <c r="C43" i="26"/>
  <c r="A43" i="26"/>
  <c r="I43" i="26" s="1"/>
  <c r="A42" i="26"/>
  <c r="I42" i="26" s="1"/>
  <c r="A41" i="26"/>
  <c r="A40" i="26"/>
  <c r="A39" i="26"/>
  <c r="A38" i="26"/>
  <c r="C36" i="26"/>
  <c r="B36" i="26"/>
  <c r="C35" i="26"/>
  <c r="I33" i="26"/>
  <c r="C33" i="26"/>
  <c r="A33" i="26"/>
  <c r="C32" i="26"/>
  <c r="A32" i="26"/>
  <c r="J32" i="26" s="1"/>
  <c r="C31" i="26"/>
  <c r="A31" i="26"/>
  <c r="A30" i="26"/>
  <c r="C30" i="26" s="1"/>
  <c r="A29" i="26"/>
  <c r="C29" i="26" s="1"/>
  <c r="B28" i="26"/>
  <c r="A28" i="26"/>
  <c r="C28" i="26" s="1"/>
  <c r="C27" i="26"/>
  <c r="B27" i="26"/>
  <c r="I26" i="26"/>
  <c r="D26" i="26"/>
  <c r="C26" i="26"/>
  <c r="C56" i="26" s="1"/>
  <c r="E25" i="26"/>
  <c r="E74" i="26" s="1"/>
  <c r="D25" i="26"/>
  <c r="D50" i="26" s="1"/>
  <c r="I92" i="25"/>
  <c r="E92" i="25"/>
  <c r="C92" i="25"/>
  <c r="E88" i="25"/>
  <c r="C88" i="25"/>
  <c r="A88" i="25"/>
  <c r="I88" i="25" s="1"/>
  <c r="A87" i="25"/>
  <c r="A86" i="25"/>
  <c r="S85" i="25"/>
  <c r="P85" i="25" s="1"/>
  <c r="A85" i="25"/>
  <c r="S84" i="25"/>
  <c r="P84" i="25"/>
  <c r="A84" i="25"/>
  <c r="S83" i="25"/>
  <c r="P83" i="25" s="1"/>
  <c r="A83" i="25"/>
  <c r="S82" i="25"/>
  <c r="P82" i="25"/>
  <c r="S81" i="25"/>
  <c r="P81" i="25" s="1"/>
  <c r="A81" i="25"/>
  <c r="S80" i="25"/>
  <c r="P80" i="25" s="1"/>
  <c r="A80" i="25"/>
  <c r="S79" i="25"/>
  <c r="P79" i="25"/>
  <c r="A79" i="25"/>
  <c r="S78" i="25"/>
  <c r="P78" i="25"/>
  <c r="A78" i="25"/>
  <c r="A77" i="25"/>
  <c r="A76" i="25"/>
  <c r="D74" i="25"/>
  <c r="C74" i="25"/>
  <c r="A74" i="25"/>
  <c r="I74" i="25" s="1"/>
  <c r="A73" i="25"/>
  <c r="A72" i="25"/>
  <c r="A71" i="25"/>
  <c r="A70" i="25"/>
  <c r="A69" i="25"/>
  <c r="I66" i="25"/>
  <c r="F66" i="25"/>
  <c r="E66" i="25"/>
  <c r="C66" i="25"/>
  <c r="M65" i="25"/>
  <c r="A65" i="25"/>
  <c r="M64" i="25"/>
  <c r="A64" i="25"/>
  <c r="M63" i="25"/>
  <c r="A63" i="25"/>
  <c r="M62" i="25"/>
  <c r="A62" i="25"/>
  <c r="M61" i="25"/>
  <c r="A61" i="25"/>
  <c r="M60" i="25"/>
  <c r="A60" i="25"/>
  <c r="D58" i="25"/>
  <c r="C58" i="25"/>
  <c r="A58" i="25"/>
  <c r="A57" i="25"/>
  <c r="C56" i="25"/>
  <c r="A56" i="25"/>
  <c r="A55" i="25"/>
  <c r="A54" i="25"/>
  <c r="I53" i="25"/>
  <c r="D53" i="25"/>
  <c r="A53" i="25"/>
  <c r="A51" i="25"/>
  <c r="I51" i="25" s="1"/>
  <c r="A50" i="25"/>
  <c r="D50" i="25" s="1"/>
  <c r="F49" i="25"/>
  <c r="E49" i="25"/>
  <c r="A49" i="25"/>
  <c r="C49" i="25" s="1"/>
  <c r="A48" i="25"/>
  <c r="B47" i="25"/>
  <c r="A47" i="25"/>
  <c r="A46" i="25"/>
  <c r="E43" i="25"/>
  <c r="A43" i="25"/>
  <c r="C43" i="25" s="1"/>
  <c r="A42" i="25"/>
  <c r="A41" i="25"/>
  <c r="A40" i="25"/>
  <c r="A39" i="25"/>
  <c r="A38" i="25"/>
  <c r="C36" i="25"/>
  <c r="B36" i="25"/>
  <c r="C35" i="25"/>
  <c r="I33" i="25"/>
  <c r="C33" i="25"/>
  <c r="A33" i="25"/>
  <c r="A32" i="25"/>
  <c r="C31" i="25"/>
  <c r="A31" i="25"/>
  <c r="A30" i="25"/>
  <c r="B27" i="25"/>
  <c r="A29" i="25"/>
  <c r="B28" i="25"/>
  <c r="A28" i="25"/>
  <c r="C28" i="25" s="1"/>
  <c r="C27" i="25"/>
  <c r="I26" i="25"/>
  <c r="F26" i="25"/>
  <c r="E26" i="25"/>
  <c r="E53" i="25" s="1"/>
  <c r="D26" i="25"/>
  <c r="C26" i="25"/>
  <c r="C53" i="25" s="1"/>
  <c r="J25" i="25"/>
  <c r="F25" i="25"/>
  <c r="F43" i="25" s="1"/>
  <c r="E25" i="25"/>
  <c r="E74" i="25" s="1"/>
  <c r="D25" i="25"/>
  <c r="I92" i="24"/>
  <c r="C92" i="24"/>
  <c r="A88" i="24"/>
  <c r="C88" i="24" s="1"/>
  <c r="A87" i="24"/>
  <c r="A86" i="24"/>
  <c r="S85" i="24"/>
  <c r="P85" i="24"/>
  <c r="A85" i="24"/>
  <c r="S84" i="24"/>
  <c r="P84" i="24"/>
  <c r="A84" i="24"/>
  <c r="S83" i="24"/>
  <c r="P83" i="24" s="1"/>
  <c r="A83" i="24"/>
  <c r="S82" i="24"/>
  <c r="P82" i="24" s="1"/>
  <c r="S81" i="24"/>
  <c r="P81" i="24" s="1"/>
  <c r="A81" i="24"/>
  <c r="S80" i="24"/>
  <c r="P80" i="24"/>
  <c r="A80" i="24"/>
  <c r="S79" i="24"/>
  <c r="P79" i="24"/>
  <c r="A79" i="24"/>
  <c r="S78" i="24"/>
  <c r="A78" i="24"/>
  <c r="A77" i="24"/>
  <c r="A76" i="24"/>
  <c r="I74" i="24"/>
  <c r="C74" i="24"/>
  <c r="A74" i="24"/>
  <c r="A73" i="24"/>
  <c r="A72" i="24"/>
  <c r="A71" i="24"/>
  <c r="A70" i="24"/>
  <c r="A69" i="24"/>
  <c r="I66" i="24"/>
  <c r="C66" i="24"/>
  <c r="M65" i="24"/>
  <c r="A65" i="24"/>
  <c r="M64" i="24"/>
  <c r="A64" i="24"/>
  <c r="M63" i="24"/>
  <c r="A63" i="24"/>
  <c r="M62" i="24"/>
  <c r="A62" i="24"/>
  <c r="M61" i="24"/>
  <c r="A61" i="24"/>
  <c r="M60" i="24"/>
  <c r="A60" i="24"/>
  <c r="I58" i="24"/>
  <c r="A58" i="24"/>
  <c r="A57" i="24"/>
  <c r="A56" i="24"/>
  <c r="A55" i="24"/>
  <c r="A54" i="24"/>
  <c r="A53" i="24"/>
  <c r="I51" i="24"/>
  <c r="A51" i="24"/>
  <c r="C51" i="24" s="1"/>
  <c r="A50" i="24"/>
  <c r="C50" i="24" s="1"/>
  <c r="A49" i="24"/>
  <c r="C49" i="24" s="1"/>
  <c r="A48" i="24"/>
  <c r="B47" i="24"/>
  <c r="A47" i="24"/>
  <c r="A46" i="24"/>
  <c r="I43" i="24"/>
  <c r="C43" i="24"/>
  <c r="A43" i="24"/>
  <c r="A42" i="24"/>
  <c r="A41" i="24"/>
  <c r="A40" i="24"/>
  <c r="A39" i="24"/>
  <c r="A38" i="24"/>
  <c r="C36" i="24"/>
  <c r="C37" i="24" s="1"/>
  <c r="C39" i="24" s="1"/>
  <c r="B36" i="24"/>
  <c r="C35" i="24"/>
  <c r="I33" i="24"/>
  <c r="A33" i="24"/>
  <c r="C33" i="24" s="1"/>
  <c r="A32" i="24"/>
  <c r="C32" i="24" s="1"/>
  <c r="A31" i="24"/>
  <c r="C31" i="24" s="1"/>
  <c r="A30" i="24"/>
  <c r="C30" i="24" s="1"/>
  <c r="A29" i="24"/>
  <c r="C29" i="24" s="1"/>
  <c r="B28" i="24"/>
  <c r="B27" i="24" s="1"/>
  <c r="A28" i="24"/>
  <c r="C27" i="24"/>
  <c r="I26" i="24"/>
  <c r="C26" i="24"/>
  <c r="M61" i="21"/>
  <c r="E25" i="21"/>
  <c r="E26" i="21" s="1"/>
  <c r="E56" i="21" s="1"/>
  <c r="F25" i="21"/>
  <c r="G25" i="21"/>
  <c r="D25" i="21"/>
  <c r="D92" i="21"/>
  <c r="C92" i="21"/>
  <c r="E88" i="21"/>
  <c r="A88" i="21"/>
  <c r="A87" i="21"/>
  <c r="A86" i="21"/>
  <c r="S85" i="21"/>
  <c r="P85" i="21" s="1"/>
  <c r="A85" i="21"/>
  <c r="S84" i="21"/>
  <c r="P84" i="21"/>
  <c r="A84" i="21"/>
  <c r="S83" i="21"/>
  <c r="P83" i="21"/>
  <c r="A83" i="21"/>
  <c r="S82" i="21"/>
  <c r="P82" i="21"/>
  <c r="S81" i="21"/>
  <c r="P81" i="21" s="1"/>
  <c r="A81" i="21"/>
  <c r="S80" i="21"/>
  <c r="P80" i="21" s="1"/>
  <c r="A80" i="21"/>
  <c r="S79" i="21"/>
  <c r="P79" i="21"/>
  <c r="A79" i="21"/>
  <c r="S78" i="21"/>
  <c r="P78" i="21"/>
  <c r="A78" i="21"/>
  <c r="A77" i="21"/>
  <c r="A76" i="21"/>
  <c r="E74" i="21"/>
  <c r="C74" i="21"/>
  <c r="A74" i="21"/>
  <c r="A73" i="21"/>
  <c r="A72" i="21"/>
  <c r="A71" i="21"/>
  <c r="A70" i="21"/>
  <c r="A69" i="21"/>
  <c r="E66" i="21"/>
  <c r="D66" i="21"/>
  <c r="C66" i="21"/>
  <c r="M65" i="21"/>
  <c r="A65" i="21"/>
  <c r="M64" i="21"/>
  <c r="A64" i="21"/>
  <c r="M63" i="21"/>
  <c r="A63" i="21"/>
  <c r="M62" i="21"/>
  <c r="A62" i="21"/>
  <c r="A61" i="21"/>
  <c r="M60" i="21"/>
  <c r="A60" i="21"/>
  <c r="A58" i="21"/>
  <c r="B57" i="21"/>
  <c r="A57" i="21"/>
  <c r="A56" i="21"/>
  <c r="A55" i="21"/>
  <c r="A54" i="21"/>
  <c r="C53" i="21"/>
  <c r="A53" i="21"/>
  <c r="A51" i="21"/>
  <c r="E50" i="21"/>
  <c r="A50" i="21"/>
  <c r="A49" i="21"/>
  <c r="D49" i="21" s="1"/>
  <c r="A48" i="21"/>
  <c r="B47" i="21"/>
  <c r="A47" i="21"/>
  <c r="A46" i="21"/>
  <c r="D43" i="21"/>
  <c r="A43" i="21"/>
  <c r="A42" i="21"/>
  <c r="A41" i="21"/>
  <c r="A40" i="21"/>
  <c r="A39" i="21"/>
  <c r="A38" i="21"/>
  <c r="C36" i="21"/>
  <c r="B36" i="21"/>
  <c r="C35" i="21"/>
  <c r="E33" i="21"/>
  <c r="D33" i="21"/>
  <c r="C33" i="21"/>
  <c r="A33" i="21"/>
  <c r="A32" i="21"/>
  <c r="C31" i="21"/>
  <c r="A31" i="21"/>
  <c r="A30" i="21"/>
  <c r="A29" i="21"/>
  <c r="B28" i="21"/>
  <c r="A28" i="21"/>
  <c r="C27" i="21"/>
  <c r="B27" i="21"/>
  <c r="D26" i="21"/>
  <c r="D53" i="21" s="1"/>
  <c r="C26" i="21"/>
  <c r="C80" i="30" l="1"/>
  <c r="C87" i="30" s="1"/>
  <c r="D32" i="30" s="1"/>
  <c r="C71" i="30"/>
  <c r="C85" i="30" s="1"/>
  <c r="C72" i="30"/>
  <c r="C86" i="30" s="1"/>
  <c r="D31" i="30" s="1"/>
  <c r="E74" i="29"/>
  <c r="E49" i="29"/>
  <c r="E43" i="29"/>
  <c r="E92" i="29"/>
  <c r="E87" i="29"/>
  <c r="E66" i="29"/>
  <c r="E33" i="29"/>
  <c r="E57" i="29"/>
  <c r="E51" i="29"/>
  <c r="E73" i="29"/>
  <c r="E80" i="29" s="1"/>
  <c r="E48" i="29"/>
  <c r="E42" i="29"/>
  <c r="E50" i="29"/>
  <c r="E88" i="29"/>
  <c r="F25" i="29"/>
  <c r="E26" i="29"/>
  <c r="E32" i="29"/>
  <c r="D53" i="29"/>
  <c r="C41" i="29"/>
  <c r="C72" i="29" s="1"/>
  <c r="C86" i="29" s="1"/>
  <c r="D31" i="29" s="1"/>
  <c r="E58" i="29"/>
  <c r="L88" i="29"/>
  <c r="L58" i="29"/>
  <c r="L74" i="29"/>
  <c r="L92" i="29"/>
  <c r="L49" i="29"/>
  <c r="L43" i="29"/>
  <c r="L26" i="29"/>
  <c r="L87" i="29"/>
  <c r="L66" i="29"/>
  <c r="L73" i="29"/>
  <c r="L57" i="29"/>
  <c r="L51" i="29"/>
  <c r="L42" i="29"/>
  <c r="L56" i="29"/>
  <c r="L50" i="29"/>
  <c r="L48" i="29"/>
  <c r="L32" i="29"/>
  <c r="L33" i="29"/>
  <c r="B55" i="29"/>
  <c r="B48" i="29"/>
  <c r="E47" i="29" s="1"/>
  <c r="M61" i="27"/>
  <c r="C44" i="27"/>
  <c r="C77" i="27"/>
  <c r="C93" i="27" s="1"/>
  <c r="I28" i="27"/>
  <c r="L39" i="27"/>
  <c r="J73" i="27"/>
  <c r="J83" i="27"/>
  <c r="E88" i="27"/>
  <c r="F25" i="27"/>
  <c r="J28" i="27"/>
  <c r="C30" i="27"/>
  <c r="K30" i="27"/>
  <c r="H31" i="27"/>
  <c r="E32" i="27"/>
  <c r="C37" i="27"/>
  <c r="H38" i="27"/>
  <c r="D42" i="27"/>
  <c r="L42" i="27"/>
  <c r="I43" i="27"/>
  <c r="H47" i="27"/>
  <c r="L48" i="27"/>
  <c r="I49" i="27"/>
  <c r="C51" i="27"/>
  <c r="K51" i="27"/>
  <c r="H53" i="27"/>
  <c r="I55" i="27"/>
  <c r="C57" i="27"/>
  <c r="K57" i="27"/>
  <c r="H58" i="27"/>
  <c r="L70" i="27"/>
  <c r="I71" i="27"/>
  <c r="C73" i="27"/>
  <c r="K73" i="27"/>
  <c r="K80" i="27" s="1"/>
  <c r="H74" i="27"/>
  <c r="K83" i="27"/>
  <c r="I85" i="27"/>
  <c r="L86" i="27"/>
  <c r="I87" i="27"/>
  <c r="K28" i="27"/>
  <c r="E42" i="27"/>
  <c r="J43" i="27"/>
  <c r="I47" i="27"/>
  <c r="J49" i="27"/>
  <c r="D51" i="27"/>
  <c r="L51" i="27"/>
  <c r="D57" i="27"/>
  <c r="L57" i="27"/>
  <c r="J71" i="27"/>
  <c r="D73" i="27"/>
  <c r="L73" i="27"/>
  <c r="L83" i="27"/>
  <c r="J85" i="27"/>
  <c r="J87" i="27"/>
  <c r="L32" i="27"/>
  <c r="E56" i="27"/>
  <c r="C28" i="27"/>
  <c r="L30" i="27"/>
  <c r="L28" i="27"/>
  <c r="J31" i="27"/>
  <c r="D33" i="27"/>
  <c r="J38" i="27"/>
  <c r="C43" i="27"/>
  <c r="K43" i="27"/>
  <c r="J47" i="27"/>
  <c r="C49" i="27"/>
  <c r="K49" i="27"/>
  <c r="H50" i="27"/>
  <c r="E51" i="27"/>
  <c r="J53" i="27"/>
  <c r="K55" i="27"/>
  <c r="H56" i="27"/>
  <c r="E57" i="27"/>
  <c r="J58" i="27"/>
  <c r="D66" i="27"/>
  <c r="I69" i="27"/>
  <c r="K71" i="27"/>
  <c r="H72" i="27"/>
  <c r="E73" i="27"/>
  <c r="E80" i="27" s="1"/>
  <c r="H84" i="27"/>
  <c r="K85" i="27"/>
  <c r="C87" i="27"/>
  <c r="K87" i="27"/>
  <c r="H88" i="27"/>
  <c r="J30" i="27"/>
  <c r="D32" i="27"/>
  <c r="E50" i="27"/>
  <c r="J51" i="27"/>
  <c r="J57" i="27"/>
  <c r="D26" i="27"/>
  <c r="C31" i="27"/>
  <c r="H32" i="27"/>
  <c r="E33" i="27"/>
  <c r="H39" i="27"/>
  <c r="D43" i="27"/>
  <c r="D49" i="27"/>
  <c r="I50" i="27"/>
  <c r="C53" i="27"/>
  <c r="H54" i="27"/>
  <c r="I56" i="27"/>
  <c r="F57" i="27"/>
  <c r="C58" i="27"/>
  <c r="E66" i="27"/>
  <c r="I72" i="27"/>
  <c r="I84" i="27"/>
  <c r="D87" i="27"/>
  <c r="I88" i="27"/>
  <c r="E49" i="27"/>
  <c r="J50" i="27"/>
  <c r="J56" i="27"/>
  <c r="J72" i="27"/>
  <c r="D74" i="27"/>
  <c r="J84" i="27"/>
  <c r="E87" i="27"/>
  <c r="J88" i="27"/>
  <c r="D92" i="27"/>
  <c r="H30" i="27"/>
  <c r="I48" i="27"/>
  <c r="C50" i="27"/>
  <c r="K50" i="27"/>
  <c r="H51" i="27"/>
  <c r="E53" i="27"/>
  <c r="J54" i="27"/>
  <c r="C56" i="27"/>
  <c r="K56" i="27"/>
  <c r="H57" i="27"/>
  <c r="E58" i="27"/>
  <c r="K72" i="27"/>
  <c r="H73" i="27"/>
  <c r="H80" i="27" s="1"/>
  <c r="E74" i="27"/>
  <c r="H83" i="27"/>
  <c r="K84" i="27"/>
  <c r="C88" i="27"/>
  <c r="K88" i="27"/>
  <c r="E92" i="27"/>
  <c r="J32" i="27"/>
  <c r="J39" i="27"/>
  <c r="C32" i="27"/>
  <c r="C39" i="27"/>
  <c r="D50" i="27"/>
  <c r="D56" i="27"/>
  <c r="D88" i="27"/>
  <c r="C44" i="26"/>
  <c r="C77" i="26"/>
  <c r="C93" i="26" s="1"/>
  <c r="E88" i="26"/>
  <c r="D32" i="26"/>
  <c r="C42" i="26"/>
  <c r="E50" i="26"/>
  <c r="J51" i="26"/>
  <c r="J57" i="26"/>
  <c r="J73" i="26"/>
  <c r="E32" i="26"/>
  <c r="J33" i="26"/>
  <c r="C37" i="26"/>
  <c r="C40" i="26" s="1"/>
  <c r="D42" i="26"/>
  <c r="C57" i="26"/>
  <c r="J66" i="26"/>
  <c r="J87" i="26"/>
  <c r="J26" i="26"/>
  <c r="E42" i="26"/>
  <c r="J43" i="26"/>
  <c r="J49" i="26"/>
  <c r="D51" i="26"/>
  <c r="I53" i="26"/>
  <c r="D57" i="26"/>
  <c r="I58" i="26"/>
  <c r="D73" i="26"/>
  <c r="J92" i="26"/>
  <c r="D33" i="26"/>
  <c r="E51" i="26"/>
  <c r="J53" i="26"/>
  <c r="E57" i="26"/>
  <c r="J58" i="26"/>
  <c r="D66" i="26"/>
  <c r="E73" i="26"/>
  <c r="E80" i="26" s="1"/>
  <c r="J74" i="26"/>
  <c r="D87" i="26"/>
  <c r="I88" i="26"/>
  <c r="E33" i="26"/>
  <c r="E66" i="26"/>
  <c r="E87" i="26"/>
  <c r="J88" i="26"/>
  <c r="D92" i="26"/>
  <c r="J42" i="26"/>
  <c r="F25" i="26"/>
  <c r="E26" i="26"/>
  <c r="I32" i="26"/>
  <c r="E43" i="26"/>
  <c r="E49" i="26"/>
  <c r="J50" i="26"/>
  <c r="D53" i="26"/>
  <c r="D58" i="26"/>
  <c r="D74" i="26"/>
  <c r="E92" i="26"/>
  <c r="E53" i="26"/>
  <c r="E58" i="26"/>
  <c r="D88" i="26"/>
  <c r="C50" i="25"/>
  <c r="E50" i="25"/>
  <c r="C29" i="25"/>
  <c r="G25" i="25"/>
  <c r="G58" i="25" s="1"/>
  <c r="C30" i="25"/>
  <c r="E56" i="25"/>
  <c r="C39" i="25"/>
  <c r="J88" i="25"/>
  <c r="J50" i="25"/>
  <c r="J74" i="25"/>
  <c r="J92" i="25"/>
  <c r="J66" i="25"/>
  <c r="J49" i="25"/>
  <c r="J43" i="25"/>
  <c r="J26" i="25"/>
  <c r="J33" i="25"/>
  <c r="K25" i="25"/>
  <c r="J51" i="25"/>
  <c r="J58" i="25"/>
  <c r="F92" i="25"/>
  <c r="F53" i="25"/>
  <c r="F33" i="25"/>
  <c r="F51" i="25"/>
  <c r="F58" i="25"/>
  <c r="F88" i="25"/>
  <c r="F50" i="25"/>
  <c r="F74" i="25"/>
  <c r="C32" i="25"/>
  <c r="C37" i="25"/>
  <c r="I43" i="25"/>
  <c r="I49" i="25"/>
  <c r="C51" i="25"/>
  <c r="F56" i="25"/>
  <c r="D51" i="25"/>
  <c r="C57" i="25"/>
  <c r="D33" i="25"/>
  <c r="E51" i="25"/>
  <c r="D57" i="25"/>
  <c r="I58" i="25"/>
  <c r="I57" i="25"/>
  <c r="E33" i="25"/>
  <c r="D43" i="25"/>
  <c r="D49" i="25"/>
  <c r="I50" i="25"/>
  <c r="I56" i="25"/>
  <c r="E57" i="25"/>
  <c r="D66" i="25"/>
  <c r="F57" i="25"/>
  <c r="D92" i="25"/>
  <c r="D56" i="25"/>
  <c r="E58" i="25"/>
  <c r="D88" i="25"/>
  <c r="I49" i="24"/>
  <c r="D50" i="24"/>
  <c r="C73" i="24"/>
  <c r="C87" i="24" s="1"/>
  <c r="D32" i="24" s="1"/>
  <c r="C40" i="24"/>
  <c r="C42" i="24"/>
  <c r="C44" i="24"/>
  <c r="B48" i="24" s="1"/>
  <c r="C93" i="24"/>
  <c r="C41" i="24"/>
  <c r="J33" i="24"/>
  <c r="J51" i="24"/>
  <c r="I57" i="24"/>
  <c r="J26" i="24"/>
  <c r="C28" i="24"/>
  <c r="C38" i="24" s="1"/>
  <c r="J43" i="24"/>
  <c r="J49" i="24"/>
  <c r="D51" i="24"/>
  <c r="I53" i="24"/>
  <c r="C57" i="24"/>
  <c r="J66" i="24"/>
  <c r="D33" i="24"/>
  <c r="J53" i="24"/>
  <c r="J92" i="24"/>
  <c r="E58" i="24"/>
  <c r="D26" i="24"/>
  <c r="D43" i="24"/>
  <c r="D49" i="24"/>
  <c r="I50" i="24"/>
  <c r="C53" i="24"/>
  <c r="I56" i="24"/>
  <c r="J58" i="24"/>
  <c r="D66" i="24"/>
  <c r="J74" i="24"/>
  <c r="I88" i="24"/>
  <c r="J50" i="24"/>
  <c r="J56" i="24"/>
  <c r="C58" i="24"/>
  <c r="K58" i="24"/>
  <c r="J88" i="24"/>
  <c r="D92" i="24"/>
  <c r="C56" i="24"/>
  <c r="C72" i="24" s="1"/>
  <c r="C86" i="24" s="1"/>
  <c r="D31" i="24" s="1"/>
  <c r="D58" i="24"/>
  <c r="D74" i="24"/>
  <c r="D88" i="24"/>
  <c r="E92" i="21"/>
  <c r="G33" i="21"/>
  <c r="G50" i="21"/>
  <c r="G66" i="21"/>
  <c r="F92" i="21"/>
  <c r="F33" i="21"/>
  <c r="F66" i="21"/>
  <c r="F26" i="21"/>
  <c r="F53" i="21" s="1"/>
  <c r="G56" i="21"/>
  <c r="G92" i="21"/>
  <c r="G26" i="21"/>
  <c r="G53" i="21" s="1"/>
  <c r="F51" i="21"/>
  <c r="H25" i="21"/>
  <c r="F58" i="21"/>
  <c r="F74" i="21"/>
  <c r="E51" i="21"/>
  <c r="C51" i="21"/>
  <c r="G51" i="21"/>
  <c r="C29" i="21"/>
  <c r="C49" i="21"/>
  <c r="C72" i="21" s="1"/>
  <c r="C86" i="21" s="1"/>
  <c r="D31" i="21" s="1"/>
  <c r="G49" i="21"/>
  <c r="F49" i="21"/>
  <c r="E49" i="21"/>
  <c r="D57" i="21"/>
  <c r="G57" i="21"/>
  <c r="C28" i="21"/>
  <c r="H49" i="21"/>
  <c r="D51" i="21"/>
  <c r="C57" i="21"/>
  <c r="C30" i="21"/>
  <c r="E57" i="21"/>
  <c r="C43" i="21"/>
  <c r="G43" i="21"/>
  <c r="F43" i="21"/>
  <c r="E43" i="21"/>
  <c r="G58" i="21"/>
  <c r="E58" i="21"/>
  <c r="D58" i="21"/>
  <c r="C58" i="21"/>
  <c r="E53" i="21"/>
  <c r="C37" i="21"/>
  <c r="C41" i="21" s="1"/>
  <c r="D74" i="21"/>
  <c r="F88" i="21"/>
  <c r="C50" i="21"/>
  <c r="C56" i="21"/>
  <c r="C32" i="21"/>
  <c r="D50" i="21"/>
  <c r="D56" i="21"/>
  <c r="G88" i="21"/>
  <c r="F50" i="21"/>
  <c r="F56" i="21"/>
  <c r="G74" i="21"/>
  <c r="C88" i="21"/>
  <c r="D88" i="21"/>
  <c r="E46" i="29" l="1"/>
  <c r="D95" i="30"/>
  <c r="D46" i="30"/>
  <c r="D57" i="30" s="1"/>
  <c r="D56" i="30" s="1"/>
  <c r="D30" i="30"/>
  <c r="F92" i="29"/>
  <c r="F49" i="29"/>
  <c r="F43" i="29"/>
  <c r="F26" i="29"/>
  <c r="F53" i="29" s="1"/>
  <c r="G25" i="29"/>
  <c r="F87" i="29"/>
  <c r="F66" i="29"/>
  <c r="F73" i="29"/>
  <c r="F57" i="29"/>
  <c r="F51" i="29"/>
  <c r="F48" i="29"/>
  <c r="F42" i="29"/>
  <c r="F32" i="29"/>
  <c r="F88" i="29"/>
  <c r="F74" i="29"/>
  <c r="F33" i="29"/>
  <c r="F58" i="29"/>
  <c r="F50" i="29"/>
  <c r="F47" i="29"/>
  <c r="F46" i="29" s="1"/>
  <c r="E56" i="29"/>
  <c r="L47" i="29"/>
  <c r="L46" i="29" s="1"/>
  <c r="C47" i="29"/>
  <c r="D48" i="29"/>
  <c r="J47" i="29"/>
  <c r="J46" i="29" s="1"/>
  <c r="C48" i="29"/>
  <c r="C71" i="29" s="1"/>
  <c r="K47" i="29"/>
  <c r="K48" i="29"/>
  <c r="D47" i="29"/>
  <c r="D46" i="29" s="1"/>
  <c r="I48" i="29"/>
  <c r="J48" i="29"/>
  <c r="I47" i="29"/>
  <c r="I46" i="29" s="1"/>
  <c r="L53" i="29"/>
  <c r="E53" i="29"/>
  <c r="C72" i="27"/>
  <c r="C86" i="27" s="1"/>
  <c r="D31" i="27" s="1"/>
  <c r="B48" i="27"/>
  <c r="F48" i="27" s="1"/>
  <c r="B55" i="27"/>
  <c r="F92" i="27"/>
  <c r="F74" i="27"/>
  <c r="F58" i="27"/>
  <c r="F87" i="27"/>
  <c r="F49" i="27"/>
  <c r="F43" i="27"/>
  <c r="F26" i="27"/>
  <c r="F53" i="27" s="1"/>
  <c r="F66" i="27"/>
  <c r="F73" i="27"/>
  <c r="F51" i="27"/>
  <c r="F32" i="27"/>
  <c r="F42" i="27"/>
  <c r="G25" i="27"/>
  <c r="F33" i="27"/>
  <c r="F88" i="27"/>
  <c r="F50" i="27"/>
  <c r="D53" i="27"/>
  <c r="C55" i="27"/>
  <c r="C54" i="27" s="1"/>
  <c r="C41" i="27"/>
  <c r="C40" i="27"/>
  <c r="C38" i="27"/>
  <c r="C55" i="26"/>
  <c r="C54" i="26" s="1"/>
  <c r="B55" i="26"/>
  <c r="B48" i="26"/>
  <c r="F47" i="26" s="1"/>
  <c r="K50" i="26"/>
  <c r="K32" i="26"/>
  <c r="K88" i="26"/>
  <c r="K74" i="26"/>
  <c r="K58" i="26"/>
  <c r="K47" i="26"/>
  <c r="K92" i="26"/>
  <c r="K49" i="26"/>
  <c r="K43" i="26"/>
  <c r="K26" i="26"/>
  <c r="K87" i="26"/>
  <c r="K66" i="26"/>
  <c r="K33" i="26"/>
  <c r="K73" i="26"/>
  <c r="K80" i="26" s="1"/>
  <c r="K51" i="26"/>
  <c r="K48" i="26"/>
  <c r="K46" i="26"/>
  <c r="K42" i="26"/>
  <c r="C41" i="26"/>
  <c r="C72" i="26" s="1"/>
  <c r="C86" i="26" s="1"/>
  <c r="D31" i="26" s="1"/>
  <c r="J56" i="26"/>
  <c r="K57" i="26"/>
  <c r="E56" i="26"/>
  <c r="C38" i="26"/>
  <c r="C39" i="26"/>
  <c r="F92" i="26"/>
  <c r="F49" i="26"/>
  <c r="F43" i="26"/>
  <c r="F26" i="26"/>
  <c r="G25" i="26"/>
  <c r="F87" i="26"/>
  <c r="F66" i="26"/>
  <c r="F33" i="26"/>
  <c r="F73" i="26"/>
  <c r="F57" i="26"/>
  <c r="F51" i="26"/>
  <c r="F42" i="26"/>
  <c r="F32" i="26"/>
  <c r="F50" i="26"/>
  <c r="F74" i="26"/>
  <c r="F58" i="26"/>
  <c r="F53" i="26"/>
  <c r="F88" i="26"/>
  <c r="C41" i="25"/>
  <c r="C72" i="25" s="1"/>
  <c r="C86" i="25" s="1"/>
  <c r="D31" i="25" s="1"/>
  <c r="C38" i="25"/>
  <c r="C40" i="25"/>
  <c r="C42" i="25"/>
  <c r="C73" i="25"/>
  <c r="C87" i="25" s="1"/>
  <c r="D32" i="25" s="1"/>
  <c r="J56" i="25"/>
  <c r="J53" i="25"/>
  <c r="C44" i="25"/>
  <c r="C77" i="25"/>
  <c r="C93" i="25" s="1"/>
  <c r="J57" i="25"/>
  <c r="K88" i="25"/>
  <c r="K74" i="25"/>
  <c r="K58" i="25"/>
  <c r="K92" i="25"/>
  <c r="K53" i="25"/>
  <c r="L25" i="25"/>
  <c r="K66" i="25"/>
  <c r="K49" i="25"/>
  <c r="K43" i="25"/>
  <c r="K26" i="25"/>
  <c r="K33" i="25"/>
  <c r="K51" i="25"/>
  <c r="K50" i="25"/>
  <c r="K56" i="25"/>
  <c r="G66" i="25"/>
  <c r="G49" i="25"/>
  <c r="G43" i="25"/>
  <c r="G26" i="25"/>
  <c r="G53" i="25" s="1"/>
  <c r="H25" i="25"/>
  <c r="G51" i="25"/>
  <c r="G88" i="25"/>
  <c r="G50" i="25"/>
  <c r="G74" i="25"/>
  <c r="G92" i="25"/>
  <c r="G57" i="25"/>
  <c r="G33" i="25"/>
  <c r="E74" i="24"/>
  <c r="E92" i="24"/>
  <c r="E47" i="24"/>
  <c r="E88" i="24"/>
  <c r="E66" i="24"/>
  <c r="E49" i="24"/>
  <c r="E43" i="24"/>
  <c r="E26" i="24"/>
  <c r="E57" i="24" s="1"/>
  <c r="E33" i="24"/>
  <c r="E51" i="24"/>
  <c r="E56" i="24"/>
  <c r="E50" i="24"/>
  <c r="D56" i="24"/>
  <c r="D53" i="24"/>
  <c r="J57" i="24"/>
  <c r="K88" i="24"/>
  <c r="K50" i="24"/>
  <c r="K74" i="24"/>
  <c r="K92" i="24"/>
  <c r="K66" i="24"/>
  <c r="K49" i="24"/>
  <c r="K43" i="24"/>
  <c r="K26" i="24"/>
  <c r="K33" i="24"/>
  <c r="K51" i="24"/>
  <c r="D57" i="24"/>
  <c r="E48" i="24"/>
  <c r="C55" i="24"/>
  <c r="C54" i="24" s="1"/>
  <c r="H56" i="21"/>
  <c r="H57" i="21"/>
  <c r="H50" i="21"/>
  <c r="F57" i="21"/>
  <c r="H88" i="21"/>
  <c r="H26" i="21"/>
  <c r="H92" i="21"/>
  <c r="H66" i="21"/>
  <c r="H33" i="21"/>
  <c r="H74" i="21"/>
  <c r="H58" i="21"/>
  <c r="H43" i="21"/>
  <c r="H51" i="21"/>
  <c r="C39" i="21"/>
  <c r="C38" i="21"/>
  <c r="C40" i="21"/>
  <c r="C42" i="21"/>
  <c r="C73" i="21"/>
  <c r="C87" i="21" s="1"/>
  <c r="D32" i="21" s="1"/>
  <c r="C77" i="21"/>
  <c r="C93" i="21" s="1"/>
  <c r="C44" i="21"/>
  <c r="D29" i="30" l="1"/>
  <c r="C92" i="30"/>
  <c r="C78" i="29"/>
  <c r="C85" i="29"/>
  <c r="D30" i="29" s="1"/>
  <c r="F56" i="29"/>
  <c r="G87" i="29"/>
  <c r="G66" i="29"/>
  <c r="G33" i="29"/>
  <c r="G57" i="29"/>
  <c r="G51" i="29"/>
  <c r="G73" i="29"/>
  <c r="G48" i="29"/>
  <c r="G42" i="29"/>
  <c r="G50" i="29"/>
  <c r="G88" i="29"/>
  <c r="G74" i="29"/>
  <c r="G47" i="29"/>
  <c r="G92" i="29"/>
  <c r="G49" i="29"/>
  <c r="G26" i="29"/>
  <c r="G43" i="29"/>
  <c r="G32" i="29"/>
  <c r="H25" i="29"/>
  <c r="G53" i="29"/>
  <c r="G58" i="29"/>
  <c r="C46" i="29"/>
  <c r="C69" i="29" s="1"/>
  <c r="C70" i="29"/>
  <c r="C84" i="29" s="1"/>
  <c r="D29" i="29" s="1"/>
  <c r="K46" i="29"/>
  <c r="G87" i="27"/>
  <c r="G49" i="27"/>
  <c r="G43" i="27"/>
  <c r="G26" i="27"/>
  <c r="G33" i="27"/>
  <c r="G66" i="27"/>
  <c r="G73" i="27"/>
  <c r="G51" i="27"/>
  <c r="G48" i="27"/>
  <c r="G42" i="27"/>
  <c r="G53" i="27"/>
  <c r="G32" i="27"/>
  <c r="G58" i="27"/>
  <c r="G88" i="27"/>
  <c r="G50" i="27"/>
  <c r="G92" i="27"/>
  <c r="G74" i="27"/>
  <c r="G47" i="27"/>
  <c r="G46" i="27" s="1"/>
  <c r="G57" i="27"/>
  <c r="F56" i="27"/>
  <c r="D47" i="27"/>
  <c r="D46" i="27" s="1"/>
  <c r="C48" i="27"/>
  <c r="C71" i="27" s="1"/>
  <c r="E48" i="27"/>
  <c r="D48" i="27"/>
  <c r="C47" i="27"/>
  <c r="E47" i="27"/>
  <c r="E46" i="27" s="1"/>
  <c r="F47" i="27"/>
  <c r="F46" i="27" s="1"/>
  <c r="F48" i="26"/>
  <c r="F46" i="26" s="1"/>
  <c r="F56" i="26"/>
  <c r="L88" i="26"/>
  <c r="L74" i="26"/>
  <c r="L47" i="26"/>
  <c r="L46" i="26" s="1"/>
  <c r="L26" i="26"/>
  <c r="L92" i="26"/>
  <c r="L49" i="26"/>
  <c r="L43" i="26"/>
  <c r="L87" i="26"/>
  <c r="L66" i="26"/>
  <c r="L33" i="26"/>
  <c r="L50" i="26"/>
  <c r="L73" i="26"/>
  <c r="L51" i="26"/>
  <c r="L56" i="26"/>
  <c r="L48" i="26"/>
  <c r="L42" i="26"/>
  <c r="L32" i="26"/>
  <c r="L57" i="26"/>
  <c r="L58" i="26"/>
  <c r="L53" i="26"/>
  <c r="K53" i="26"/>
  <c r="G87" i="26"/>
  <c r="G66" i="26"/>
  <c r="G33" i="26"/>
  <c r="G73" i="26"/>
  <c r="G51" i="26"/>
  <c r="G43" i="26"/>
  <c r="G48" i="26"/>
  <c r="G42" i="26"/>
  <c r="G32" i="26"/>
  <c r="G50" i="26"/>
  <c r="G92" i="26"/>
  <c r="G88" i="26"/>
  <c r="G49" i="26"/>
  <c r="G26" i="26"/>
  <c r="G56" i="26" s="1"/>
  <c r="G74" i="26"/>
  <c r="G58" i="26"/>
  <c r="G47" i="26"/>
  <c r="G46" i="26" s="1"/>
  <c r="G57" i="26"/>
  <c r="K56" i="26"/>
  <c r="C47" i="26"/>
  <c r="J48" i="26"/>
  <c r="E47" i="26"/>
  <c r="I48" i="26"/>
  <c r="D47" i="26"/>
  <c r="I47" i="26"/>
  <c r="I46" i="26" s="1"/>
  <c r="E48" i="26"/>
  <c r="C48" i="26"/>
  <c r="C71" i="26" s="1"/>
  <c r="D48" i="26"/>
  <c r="J47" i="26"/>
  <c r="J46" i="26" s="1"/>
  <c r="H33" i="25"/>
  <c r="H88" i="25"/>
  <c r="H50" i="25"/>
  <c r="H74" i="25"/>
  <c r="H58" i="25"/>
  <c r="H92" i="25"/>
  <c r="H66" i="25"/>
  <c r="H51" i="25"/>
  <c r="H43" i="25"/>
  <c r="H49" i="25"/>
  <c r="H26" i="25"/>
  <c r="L88" i="25"/>
  <c r="L50" i="25"/>
  <c r="L74" i="25"/>
  <c r="L92" i="25"/>
  <c r="L53" i="25"/>
  <c r="L66" i="25"/>
  <c r="L49" i="25"/>
  <c r="L43" i="25"/>
  <c r="L26" i="25"/>
  <c r="L33" i="25"/>
  <c r="L51" i="25"/>
  <c r="L58" i="25"/>
  <c r="L56" i="25"/>
  <c r="L57" i="25"/>
  <c r="B48" i="25"/>
  <c r="H47" i="25" s="1"/>
  <c r="B55" i="25"/>
  <c r="C55" i="25"/>
  <c r="C54" i="25" s="1"/>
  <c r="K57" i="25"/>
  <c r="G56" i="25"/>
  <c r="K47" i="24"/>
  <c r="K48" i="24"/>
  <c r="E46" i="24"/>
  <c r="F92" i="24"/>
  <c r="F66" i="24"/>
  <c r="F49" i="24"/>
  <c r="F43" i="24"/>
  <c r="F26" i="24"/>
  <c r="F53" i="24"/>
  <c r="F47" i="24"/>
  <c r="F46" i="24" s="1"/>
  <c r="F33" i="24"/>
  <c r="F51" i="24"/>
  <c r="F48" i="24"/>
  <c r="F74" i="24"/>
  <c r="F88" i="24"/>
  <c r="F56" i="24"/>
  <c r="F50" i="24"/>
  <c r="F58" i="24"/>
  <c r="F57" i="24"/>
  <c r="L88" i="24"/>
  <c r="L74" i="24"/>
  <c r="L92" i="24"/>
  <c r="L47" i="24"/>
  <c r="L66" i="24"/>
  <c r="L49" i="24"/>
  <c r="L43" i="24"/>
  <c r="L26" i="24"/>
  <c r="L33" i="24"/>
  <c r="L51" i="24"/>
  <c r="L48" i="24"/>
  <c r="L46" i="24"/>
  <c r="L50" i="24"/>
  <c r="L57" i="24"/>
  <c r="L53" i="24"/>
  <c r="L58" i="24"/>
  <c r="L56" i="24"/>
  <c r="C48" i="24"/>
  <c r="C71" i="24" s="1"/>
  <c r="J48" i="24"/>
  <c r="D48" i="24"/>
  <c r="D47" i="24"/>
  <c r="D46" i="24" s="1"/>
  <c r="I48" i="24"/>
  <c r="C47" i="24"/>
  <c r="I47" i="24"/>
  <c r="J47" i="24"/>
  <c r="J46" i="24" s="1"/>
  <c r="E53" i="24"/>
  <c r="K53" i="24"/>
  <c r="K57" i="24"/>
  <c r="K56" i="24"/>
  <c r="I92" i="21"/>
  <c r="I66" i="21"/>
  <c r="I33" i="21"/>
  <c r="I26" i="21"/>
  <c r="I56" i="21" s="1"/>
  <c r="J25" i="21"/>
  <c r="I50" i="21"/>
  <c r="I47" i="21"/>
  <c r="I74" i="21"/>
  <c r="I51" i="21"/>
  <c r="I88" i="21"/>
  <c r="I43" i="21"/>
  <c r="I49" i="21"/>
  <c r="I58" i="21"/>
  <c r="H53" i="21"/>
  <c r="C55" i="21"/>
  <c r="C54" i="21" s="1"/>
  <c r="B48" i="21"/>
  <c r="I48" i="21" s="1"/>
  <c r="B55" i="21"/>
  <c r="F48" i="21" l="1"/>
  <c r="G48" i="21"/>
  <c r="F47" i="21"/>
  <c r="F46" i="21" s="1"/>
  <c r="G47" i="21"/>
  <c r="G46" i="21" s="1"/>
  <c r="H47" i="21"/>
  <c r="H48" i="21"/>
  <c r="G46" i="29"/>
  <c r="D38" i="30"/>
  <c r="D37" i="30"/>
  <c r="D77" i="29"/>
  <c r="D93" i="29" s="1"/>
  <c r="D44" i="29"/>
  <c r="D55" i="29" s="1"/>
  <c r="D54" i="29" s="1"/>
  <c r="H73" i="29"/>
  <c r="H80" i="29" s="1"/>
  <c r="H57" i="29"/>
  <c r="H51" i="29"/>
  <c r="H48" i="29"/>
  <c r="H42" i="29"/>
  <c r="H32" i="29"/>
  <c r="H50" i="29"/>
  <c r="H88" i="29"/>
  <c r="H74" i="29"/>
  <c r="H92" i="29"/>
  <c r="H49" i="29"/>
  <c r="H87" i="29"/>
  <c r="H66" i="29"/>
  <c r="H47" i="29"/>
  <c r="H46" i="29" s="1"/>
  <c r="H26" i="29"/>
  <c r="H53" i="29"/>
  <c r="H43" i="29"/>
  <c r="H33" i="29"/>
  <c r="H58" i="29"/>
  <c r="H56" i="29"/>
  <c r="C76" i="29"/>
  <c r="C83" i="29" s="1"/>
  <c r="G56" i="29"/>
  <c r="C46" i="27"/>
  <c r="C69" i="27" s="1"/>
  <c r="C70" i="27"/>
  <c r="C84" i="27" s="1"/>
  <c r="D29" i="27" s="1"/>
  <c r="G56" i="27"/>
  <c r="C78" i="27"/>
  <c r="C85" i="27" s="1"/>
  <c r="D30" i="27" s="1"/>
  <c r="D46" i="26"/>
  <c r="E46" i="26"/>
  <c r="G53" i="26"/>
  <c r="C46" i="26"/>
  <c r="C69" i="26" s="1"/>
  <c r="C70" i="26"/>
  <c r="C84" i="26" s="1"/>
  <c r="D29" i="26" s="1"/>
  <c r="D77" i="26" s="1"/>
  <c r="C78" i="26"/>
  <c r="C85" i="26" s="1"/>
  <c r="D30" i="26" s="1"/>
  <c r="H73" i="26"/>
  <c r="H80" i="26" s="1"/>
  <c r="H57" i="26"/>
  <c r="H51" i="26"/>
  <c r="H33" i="26"/>
  <c r="H48" i="26"/>
  <c r="H46" i="26"/>
  <c r="H42" i="26"/>
  <c r="H32" i="26"/>
  <c r="H50" i="26"/>
  <c r="H66" i="26"/>
  <c r="H88" i="26"/>
  <c r="H87" i="26"/>
  <c r="H74" i="26"/>
  <c r="H47" i="26"/>
  <c r="H92" i="26"/>
  <c r="H49" i="26"/>
  <c r="H43" i="26"/>
  <c r="H26" i="26"/>
  <c r="H58" i="26"/>
  <c r="H53" i="26"/>
  <c r="L48" i="25"/>
  <c r="H48" i="25"/>
  <c r="H46" i="25" s="1"/>
  <c r="D47" i="25"/>
  <c r="E47" i="25"/>
  <c r="C48" i="25"/>
  <c r="C71" i="25" s="1"/>
  <c r="F48" i="25"/>
  <c r="I48" i="25"/>
  <c r="J47" i="25"/>
  <c r="J48" i="25"/>
  <c r="D48" i="25"/>
  <c r="I47" i="25"/>
  <c r="E48" i="25"/>
  <c r="F47" i="25"/>
  <c r="C47" i="25"/>
  <c r="G47" i="25"/>
  <c r="K48" i="25"/>
  <c r="K47" i="25"/>
  <c r="G48" i="25"/>
  <c r="H53" i="25"/>
  <c r="H56" i="25"/>
  <c r="L47" i="25"/>
  <c r="H57" i="25"/>
  <c r="K46" i="24"/>
  <c r="I46" i="24"/>
  <c r="G66" i="24"/>
  <c r="G33" i="24"/>
  <c r="G51" i="24"/>
  <c r="G49" i="24"/>
  <c r="G48" i="24"/>
  <c r="G88" i="24"/>
  <c r="G50" i="24"/>
  <c r="G92" i="24"/>
  <c r="G53" i="24"/>
  <c r="G47" i="24"/>
  <c r="G74" i="24"/>
  <c r="G58" i="24"/>
  <c r="G43" i="24"/>
  <c r="G26" i="24"/>
  <c r="G57" i="24"/>
  <c r="C46" i="24"/>
  <c r="C69" i="24" s="1"/>
  <c r="C70" i="24"/>
  <c r="C84" i="24" s="1"/>
  <c r="D29" i="24" s="1"/>
  <c r="C85" i="24"/>
  <c r="D30" i="24" s="1"/>
  <c r="I46" i="21"/>
  <c r="J26" i="21"/>
  <c r="J56" i="21" s="1"/>
  <c r="J92" i="21"/>
  <c r="J66" i="21"/>
  <c r="K25" i="21"/>
  <c r="J49" i="21"/>
  <c r="J58" i="21"/>
  <c r="J47" i="21"/>
  <c r="J51" i="21"/>
  <c r="J74" i="21"/>
  <c r="J57" i="21"/>
  <c r="J48" i="21"/>
  <c r="J88" i="21"/>
  <c r="J33" i="21"/>
  <c r="J43" i="21"/>
  <c r="J50" i="21"/>
  <c r="I57" i="21"/>
  <c r="I53" i="21"/>
  <c r="C47" i="21"/>
  <c r="E48" i="21"/>
  <c r="C48" i="21"/>
  <c r="C71" i="21" s="1"/>
  <c r="D48" i="21"/>
  <c r="E47" i="21"/>
  <c r="E46" i="21" s="1"/>
  <c r="D47" i="21"/>
  <c r="H46" i="21" l="1"/>
  <c r="D46" i="21"/>
  <c r="C85" i="21"/>
  <c r="D30" i="21" s="1"/>
  <c r="C78" i="21"/>
  <c r="I46" i="25"/>
  <c r="D39" i="30"/>
  <c r="D44" i="30" s="1"/>
  <c r="C89" i="29"/>
  <c r="D27" i="29" s="1"/>
  <c r="D28" i="29"/>
  <c r="C90" i="29"/>
  <c r="D44" i="27"/>
  <c r="D55" i="27" s="1"/>
  <c r="D54" i="27" s="1"/>
  <c r="D77" i="27"/>
  <c r="D93" i="27" s="1"/>
  <c r="C83" i="27"/>
  <c r="D44" i="26"/>
  <c r="D55" i="26" s="1"/>
  <c r="D54" i="26" s="1"/>
  <c r="D93" i="26"/>
  <c r="H56" i="26"/>
  <c r="C76" i="26"/>
  <c r="C83" i="26" s="1"/>
  <c r="J46" i="25"/>
  <c r="L46" i="25"/>
  <c r="E46" i="25"/>
  <c r="K46" i="25"/>
  <c r="G46" i="25"/>
  <c r="C46" i="25"/>
  <c r="C69" i="25" s="1"/>
  <c r="C70" i="25"/>
  <c r="C84" i="25" s="1"/>
  <c r="D29" i="25" s="1"/>
  <c r="F46" i="25"/>
  <c r="C78" i="25"/>
  <c r="C85" i="25" s="1"/>
  <c r="D30" i="25" s="1"/>
  <c r="D46" i="25"/>
  <c r="G46" i="24"/>
  <c r="H51" i="24"/>
  <c r="H49" i="24"/>
  <c r="H48" i="24"/>
  <c r="H88" i="24"/>
  <c r="H50" i="24"/>
  <c r="H74" i="24"/>
  <c r="H58" i="24"/>
  <c r="H92" i="24"/>
  <c r="H47" i="24"/>
  <c r="H46" i="24" s="1"/>
  <c r="H66" i="24"/>
  <c r="H43" i="24"/>
  <c r="H26" i="24"/>
  <c r="H33" i="24"/>
  <c r="D93" i="24"/>
  <c r="D44" i="24"/>
  <c r="D55" i="24" s="1"/>
  <c r="D54" i="24" s="1"/>
  <c r="C83" i="24"/>
  <c r="G56" i="24"/>
  <c r="J46" i="21"/>
  <c r="J53" i="21"/>
  <c r="K48" i="21"/>
  <c r="K33" i="21"/>
  <c r="K26" i="21"/>
  <c r="K53" i="21"/>
  <c r="K92" i="21"/>
  <c r="K74" i="21"/>
  <c r="L25" i="21"/>
  <c r="K66" i="21"/>
  <c r="K43" i="21"/>
  <c r="K49" i="21"/>
  <c r="K58" i="21"/>
  <c r="K50" i="21"/>
  <c r="K57" i="21"/>
  <c r="K47" i="21"/>
  <c r="K51" i="21"/>
  <c r="K56" i="21"/>
  <c r="K88" i="21"/>
  <c r="C46" i="21"/>
  <c r="C69" i="21" s="1"/>
  <c r="C70" i="21"/>
  <c r="C84" i="21" s="1"/>
  <c r="D29" i="21" s="1"/>
  <c r="K46" i="21" l="1"/>
  <c r="D52" i="30"/>
  <c r="D41" i="30"/>
  <c r="D40" i="30"/>
  <c r="D42" i="30"/>
  <c r="D43" i="30"/>
  <c r="D74" i="30" s="1"/>
  <c r="D88" i="30" s="1"/>
  <c r="E33" i="30" s="1"/>
  <c r="D35" i="29"/>
  <c r="D36" i="29"/>
  <c r="C89" i="27"/>
  <c r="D27" i="27" s="1"/>
  <c r="D28" i="27"/>
  <c r="C89" i="26"/>
  <c r="D27" i="26" s="1"/>
  <c r="D28" i="26"/>
  <c r="C90" i="26"/>
  <c r="D77" i="25"/>
  <c r="D93" i="25" s="1"/>
  <c r="D44" i="25"/>
  <c r="D55" i="25" s="1"/>
  <c r="D54" i="25" s="1"/>
  <c r="C76" i="25"/>
  <c r="C83" i="25"/>
  <c r="H53" i="24"/>
  <c r="H57" i="24"/>
  <c r="H56" i="24"/>
  <c r="C89" i="24"/>
  <c r="D27" i="24" s="1"/>
  <c r="D28" i="24"/>
  <c r="L92" i="21"/>
  <c r="L51" i="21"/>
  <c r="L26" i="21"/>
  <c r="L57" i="21" s="1"/>
  <c r="L66" i="21"/>
  <c r="L33" i="21"/>
  <c r="L58" i="21"/>
  <c r="L50" i="21"/>
  <c r="L56" i="21"/>
  <c r="L74" i="21"/>
  <c r="L48" i="21"/>
  <c r="L47" i="21"/>
  <c r="L49" i="21"/>
  <c r="L43" i="21"/>
  <c r="L88" i="21"/>
  <c r="C76" i="21"/>
  <c r="D77" i="21"/>
  <c r="D93" i="21" s="1"/>
  <c r="D44" i="21"/>
  <c r="C90" i="27" l="1"/>
  <c r="D75" i="30"/>
  <c r="D89" i="30" s="1"/>
  <c r="E34" i="30" s="1"/>
  <c r="D50" i="30"/>
  <c r="D49" i="30" s="1"/>
  <c r="D71" i="30" s="1"/>
  <c r="D37" i="29"/>
  <c r="D35" i="27"/>
  <c r="D36" i="27"/>
  <c r="D36" i="26"/>
  <c r="D35" i="26"/>
  <c r="C89" i="25"/>
  <c r="D27" i="25" s="1"/>
  <c r="D28" i="25"/>
  <c r="D35" i="24"/>
  <c r="D36" i="24"/>
  <c r="C90" i="24"/>
  <c r="L46" i="21"/>
  <c r="L53" i="21"/>
  <c r="D55" i="21"/>
  <c r="C83" i="21"/>
  <c r="D85" i="30" l="1"/>
  <c r="E30" i="30" s="1"/>
  <c r="D72" i="30"/>
  <c r="D86" i="30" s="1"/>
  <c r="E31" i="30" s="1"/>
  <c r="D73" i="30"/>
  <c r="D80" i="30" s="1"/>
  <c r="D87" i="30" s="1"/>
  <c r="E32" i="30" s="1"/>
  <c r="D39" i="29"/>
  <c r="D70" i="29" s="1"/>
  <c r="D84" i="29" s="1"/>
  <c r="E29" i="29" s="1"/>
  <c r="D40" i="29"/>
  <c r="D71" i="29" s="1"/>
  <c r="D38" i="29"/>
  <c r="D41" i="29"/>
  <c r="D72" i="29" s="1"/>
  <c r="D86" i="29" s="1"/>
  <c r="E31" i="29" s="1"/>
  <c r="D37" i="27"/>
  <c r="D37" i="26"/>
  <c r="C90" i="25"/>
  <c r="D35" i="25"/>
  <c r="D36" i="25"/>
  <c r="D37" i="24"/>
  <c r="D54" i="21"/>
  <c r="C89" i="21"/>
  <c r="D28" i="21"/>
  <c r="D91" i="30" l="1"/>
  <c r="E29" i="30" s="1"/>
  <c r="E95" i="30"/>
  <c r="E46" i="30"/>
  <c r="E57" i="30" s="1"/>
  <c r="E56" i="30" s="1"/>
  <c r="D69" i="29"/>
  <c r="D78" i="29"/>
  <c r="D85" i="29"/>
  <c r="E30" i="29" s="1"/>
  <c r="E77" i="29"/>
  <c r="E93" i="29" s="1"/>
  <c r="E44" i="29"/>
  <c r="E55" i="29" s="1"/>
  <c r="E54" i="29" s="1"/>
  <c r="D41" i="27"/>
  <c r="D72" i="27" s="1"/>
  <c r="D86" i="27" s="1"/>
  <c r="E31" i="27" s="1"/>
  <c r="D38" i="27"/>
  <c r="D40" i="27"/>
  <c r="D71" i="27" s="1"/>
  <c r="D39" i="27"/>
  <c r="D70" i="27" s="1"/>
  <c r="D84" i="27" s="1"/>
  <c r="E29" i="27" s="1"/>
  <c r="D41" i="26"/>
  <c r="D72" i="26" s="1"/>
  <c r="D86" i="26" s="1"/>
  <c r="E31" i="26" s="1"/>
  <c r="D40" i="26"/>
  <c r="D71" i="26" s="1"/>
  <c r="D39" i="26"/>
  <c r="D70" i="26" s="1"/>
  <c r="D84" i="26" s="1"/>
  <c r="E29" i="26" s="1"/>
  <c r="D38" i="26"/>
  <c r="D37" i="25"/>
  <c r="D39" i="24"/>
  <c r="D70" i="24" s="1"/>
  <c r="D84" i="24" s="1"/>
  <c r="E29" i="24" s="1"/>
  <c r="D42" i="24"/>
  <c r="D73" i="24" s="1"/>
  <c r="D87" i="24" s="1"/>
  <c r="E32" i="24" s="1"/>
  <c r="D41" i="24"/>
  <c r="D72" i="24" s="1"/>
  <c r="D86" i="24" s="1"/>
  <c r="E31" i="24" s="1"/>
  <c r="D40" i="24"/>
  <c r="D71" i="24" s="1"/>
  <c r="D38" i="24"/>
  <c r="D27" i="21"/>
  <c r="C90" i="2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92" i="30" l="1"/>
  <c r="E37" i="30"/>
  <c r="E38" i="30"/>
  <c r="D76" i="29"/>
  <c r="D83" i="29" s="1"/>
  <c r="E77" i="27"/>
  <c r="E93" i="27" s="1"/>
  <c r="E44" i="27"/>
  <c r="E55" i="27" s="1"/>
  <c r="E54" i="27" s="1"/>
  <c r="D78" i="27"/>
  <c r="D85" i="27" s="1"/>
  <c r="E30" i="27" s="1"/>
  <c r="D69" i="27"/>
  <c r="D69" i="26"/>
  <c r="E77" i="26"/>
  <c r="E93" i="26" s="1"/>
  <c r="E44" i="26"/>
  <c r="E55" i="26" s="1"/>
  <c r="E54" i="26" s="1"/>
  <c r="D78" i="26"/>
  <c r="D85" i="26"/>
  <c r="E30" i="26" s="1"/>
  <c r="D38" i="25"/>
  <c r="D41" i="25"/>
  <c r="D72" i="25" s="1"/>
  <c r="D86" i="25" s="1"/>
  <c r="E31" i="25" s="1"/>
  <c r="D39" i="25"/>
  <c r="D70" i="25" s="1"/>
  <c r="D84" i="25" s="1"/>
  <c r="E29" i="25" s="1"/>
  <c r="D42" i="25"/>
  <c r="D73" i="25" s="1"/>
  <c r="D87" i="25" s="1"/>
  <c r="E32" i="25" s="1"/>
  <c r="D40" i="25"/>
  <c r="D71" i="25" s="1"/>
  <c r="D69" i="24"/>
  <c r="D85" i="24"/>
  <c r="E30" i="24" s="1"/>
  <c r="E93" i="24"/>
  <c r="E44" i="24"/>
  <c r="E55" i="24" s="1"/>
  <c r="E54" i="24" s="1"/>
  <c r="D35" i="21"/>
  <c r="D36" i="21"/>
  <c r="D38" i="16"/>
  <c r="D37" i="16" s="1"/>
  <c r="C37" i="16"/>
  <c r="C32" i="16"/>
  <c r="C33" i="16"/>
  <c r="C55" i="16" s="1"/>
  <c r="D26" i="16" s="1"/>
  <c r="C34" i="16"/>
  <c r="C47" i="16" s="1"/>
  <c r="C56" i="16" s="1"/>
  <c r="D51" i="16"/>
  <c r="E22" i="16"/>
  <c r="E39" i="30" l="1"/>
  <c r="E44" i="30" s="1"/>
  <c r="D89" i="29"/>
  <c r="E27" i="29" s="1"/>
  <c r="E28" i="29"/>
  <c r="D83" i="27"/>
  <c r="D76" i="26"/>
  <c r="D83" i="26"/>
  <c r="D78" i="25"/>
  <c r="D85" i="25" s="1"/>
  <c r="E30" i="25" s="1"/>
  <c r="E44" i="25"/>
  <c r="E55" i="25" s="1"/>
  <c r="E54" i="25" s="1"/>
  <c r="E77" i="25"/>
  <c r="E93" i="25" s="1"/>
  <c r="D69" i="25"/>
  <c r="D83" i="24"/>
  <c r="D37" i="21"/>
  <c r="D50" i="16"/>
  <c r="D60" i="16" s="1"/>
  <c r="E59" i="16"/>
  <c r="E23" i="16"/>
  <c r="E35" i="16"/>
  <c r="E36" i="16" s="1"/>
  <c r="F22" i="16"/>
  <c r="E51" i="16"/>
  <c r="E52" i="30" l="1"/>
  <c r="E50" i="30" s="1"/>
  <c r="E41" i="30"/>
  <c r="E43" i="30"/>
  <c r="E74" i="30" s="1"/>
  <c r="E88" i="30" s="1"/>
  <c r="F33" i="30" s="1"/>
  <c r="E40" i="30"/>
  <c r="E42" i="30"/>
  <c r="E35" i="29"/>
  <c r="E36" i="29"/>
  <c r="D90" i="29"/>
  <c r="D89" i="27"/>
  <c r="E27" i="27" s="1"/>
  <c r="E28" i="27"/>
  <c r="E28" i="26"/>
  <c r="D89" i="26"/>
  <c r="E27" i="26" s="1"/>
  <c r="D90" i="26"/>
  <c r="D76" i="25"/>
  <c r="D83" i="25" s="1"/>
  <c r="D89" i="24"/>
  <c r="E27" i="24" s="1"/>
  <c r="E28" i="24"/>
  <c r="D40" i="21"/>
  <c r="D71" i="21" s="1"/>
  <c r="D38" i="21"/>
  <c r="D39" i="21"/>
  <c r="D70" i="21" s="1"/>
  <c r="D84" i="21" s="1"/>
  <c r="E29" i="21" s="1"/>
  <c r="D41" i="21"/>
  <c r="D72" i="21" s="1"/>
  <c r="D86" i="21" s="1"/>
  <c r="E31" i="21" s="1"/>
  <c r="D42" i="21"/>
  <c r="D73" i="21" s="1"/>
  <c r="C49" i="16"/>
  <c r="C54" i="16" s="1"/>
  <c r="E38" i="16"/>
  <c r="E37" i="16" s="1"/>
  <c r="F35" i="16"/>
  <c r="G22" i="16"/>
  <c r="F51" i="16"/>
  <c r="F23" i="16"/>
  <c r="F36" i="16"/>
  <c r="F38" i="16" s="1"/>
  <c r="F59" i="16"/>
  <c r="E73" i="30" l="1"/>
  <c r="E80" i="30" s="1"/>
  <c r="E87" i="30" s="1"/>
  <c r="F32" i="30" s="1"/>
  <c r="E75" i="30"/>
  <c r="E89" i="30" s="1"/>
  <c r="F34" i="30" s="1"/>
  <c r="E49" i="30"/>
  <c r="E37" i="29"/>
  <c r="D90" i="27"/>
  <c r="E35" i="27"/>
  <c r="E36" i="27"/>
  <c r="E35" i="26"/>
  <c r="E36" i="26"/>
  <c r="D89" i="25"/>
  <c r="E27" i="25" s="1"/>
  <c r="E28" i="25"/>
  <c r="D90" i="24"/>
  <c r="E35" i="24"/>
  <c r="E36" i="24"/>
  <c r="D78" i="21"/>
  <c r="D85" i="21" s="1"/>
  <c r="E30" i="21" s="1"/>
  <c r="D87" i="21"/>
  <c r="E32" i="21" s="1"/>
  <c r="E44" i="21"/>
  <c r="E77" i="21"/>
  <c r="E93" i="21" s="1"/>
  <c r="D69" i="21"/>
  <c r="D76" i="21" s="1"/>
  <c r="D25" i="16"/>
  <c r="C57" i="16"/>
  <c r="D24" i="16" s="1"/>
  <c r="D29" i="16" s="1"/>
  <c r="F37" i="16"/>
  <c r="G51" i="16"/>
  <c r="H22" i="16"/>
  <c r="G35" i="16"/>
  <c r="G23" i="16"/>
  <c r="G36" i="16"/>
  <c r="G59" i="16"/>
  <c r="E71" i="30" l="1"/>
  <c r="E85" i="30" s="1"/>
  <c r="F30" i="30" s="1"/>
  <c r="E48" i="30"/>
  <c r="E72" i="30"/>
  <c r="E86" i="30" s="1"/>
  <c r="F31" i="30" s="1"/>
  <c r="E40" i="29"/>
  <c r="E71" i="29" s="1"/>
  <c r="E39" i="29"/>
  <c r="E70" i="29" s="1"/>
  <c r="E84" i="29" s="1"/>
  <c r="F29" i="29" s="1"/>
  <c r="E41" i="29"/>
  <c r="E72" i="29" s="1"/>
  <c r="E86" i="29" s="1"/>
  <c r="F31" i="29" s="1"/>
  <c r="E38" i="29"/>
  <c r="E37" i="27"/>
  <c r="E37" i="26"/>
  <c r="D90" i="25"/>
  <c r="E35" i="25"/>
  <c r="E36" i="25"/>
  <c r="E37" i="24"/>
  <c r="E55" i="21"/>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E91" i="30" l="1"/>
  <c r="E92" i="30" s="1"/>
  <c r="F46" i="30"/>
  <c r="F57" i="30" s="1"/>
  <c r="F56" i="30" s="1"/>
  <c r="F95" i="30"/>
  <c r="E69" i="29"/>
  <c r="F77" i="29"/>
  <c r="F93" i="29" s="1"/>
  <c r="F44" i="29"/>
  <c r="F55" i="29" s="1"/>
  <c r="F54" i="29" s="1"/>
  <c r="E78" i="29"/>
  <c r="E85" i="29" s="1"/>
  <c r="F30" i="29" s="1"/>
  <c r="E40" i="27"/>
  <c r="E71" i="27" s="1"/>
  <c r="E41" i="27"/>
  <c r="E72" i="27" s="1"/>
  <c r="E86" i="27" s="1"/>
  <c r="F31" i="27" s="1"/>
  <c r="E38" i="27"/>
  <c r="E39" i="27"/>
  <c r="E70" i="27" s="1"/>
  <c r="E84" i="27" s="1"/>
  <c r="F29" i="27" s="1"/>
  <c r="E41" i="26"/>
  <c r="E72" i="26" s="1"/>
  <c r="E86" i="26" s="1"/>
  <c r="F31" i="26" s="1"/>
  <c r="E39" i="26"/>
  <c r="E70" i="26" s="1"/>
  <c r="E84" i="26" s="1"/>
  <c r="F29" i="26" s="1"/>
  <c r="E38" i="26"/>
  <c r="E40" i="26"/>
  <c r="E71" i="26" s="1"/>
  <c r="E37" i="25"/>
  <c r="E38" i="24"/>
  <c r="E39" i="24"/>
  <c r="E70" i="24" s="1"/>
  <c r="E84" i="24" s="1"/>
  <c r="F29" i="24" s="1"/>
  <c r="E40" i="24"/>
  <c r="E71" i="24" s="1"/>
  <c r="E42" i="24"/>
  <c r="E73" i="24" s="1"/>
  <c r="E41" i="24"/>
  <c r="E72" i="24" s="1"/>
  <c r="E86" i="24" s="1"/>
  <c r="F31" i="24" s="1"/>
  <c r="E54" i="21"/>
  <c r="D83" i="21"/>
  <c r="D32" i="16"/>
  <c r="D45" i="16" s="1"/>
  <c r="D49" i="16" s="1"/>
  <c r="D54" i="16" s="1"/>
  <c r="D34" i="16"/>
  <c r="D47" i="16" s="1"/>
  <c r="D56" i="16" s="1"/>
  <c r="D33" i="16"/>
  <c r="D46" i="16" s="1"/>
  <c r="D55" i="16" s="1"/>
  <c r="E26" i="16" s="1"/>
  <c r="E50" i="16" s="1"/>
  <c r="E60" i="16" s="1"/>
  <c r="H38" i="16"/>
  <c r="H37" i="16" s="1"/>
  <c r="I23" i="16"/>
  <c r="I59" i="16"/>
  <c r="I51" i="16"/>
  <c r="I35" i="16"/>
  <c r="I36" i="16" s="1"/>
  <c r="J22" i="16"/>
  <c r="F29" i="30" l="1"/>
  <c r="F38" i="30" s="1"/>
  <c r="E76" i="29"/>
  <c r="F77" i="27"/>
  <c r="F93" i="27" s="1"/>
  <c r="F44" i="27"/>
  <c r="F55" i="27" s="1"/>
  <c r="F54" i="27" s="1"/>
  <c r="E69" i="27"/>
  <c r="E78" i="27"/>
  <c r="E85" i="27"/>
  <c r="F30" i="27" s="1"/>
  <c r="E78" i="26"/>
  <c r="E85" i="26" s="1"/>
  <c r="F30" i="26" s="1"/>
  <c r="E69" i="26"/>
  <c r="F77" i="26"/>
  <c r="F93" i="26" s="1"/>
  <c r="F44" i="26"/>
  <c r="F55" i="26" s="1"/>
  <c r="F54" i="26" s="1"/>
  <c r="E41" i="25"/>
  <c r="E72" i="25" s="1"/>
  <c r="E86" i="25" s="1"/>
  <c r="F31" i="25" s="1"/>
  <c r="E42" i="25"/>
  <c r="E73" i="25" s="1"/>
  <c r="E38" i="25"/>
  <c r="E39" i="25"/>
  <c r="E70" i="25" s="1"/>
  <c r="E84" i="25" s="1"/>
  <c r="F29" i="25" s="1"/>
  <c r="E40" i="25"/>
  <c r="E71" i="25" s="1"/>
  <c r="E69" i="24"/>
  <c r="E85" i="24"/>
  <c r="F30" i="24" s="1"/>
  <c r="E80" i="24"/>
  <c r="E87" i="24"/>
  <c r="F32" i="24" s="1"/>
  <c r="F93" i="24"/>
  <c r="F44" i="24"/>
  <c r="F55" i="24" s="1"/>
  <c r="F54" i="24" s="1"/>
  <c r="D89" i="21"/>
  <c r="E28" i="21"/>
  <c r="I38" i="16"/>
  <c r="I37" i="16" s="1"/>
  <c r="D57" i="16"/>
  <c r="E24" i="16" s="1"/>
  <c r="E25" i="16"/>
  <c r="J36" i="16"/>
  <c r="J38" i="16" s="1"/>
  <c r="J23" i="16"/>
  <c r="J35" i="16"/>
  <c r="J59" i="16"/>
  <c r="K22" i="16"/>
  <c r="J51" i="16"/>
  <c r="F37" i="30" l="1"/>
  <c r="F39" i="30" s="1"/>
  <c r="F44" i="30" s="1"/>
  <c r="E83" i="29"/>
  <c r="E83" i="27"/>
  <c r="E76" i="26"/>
  <c r="E83" i="26" s="1"/>
  <c r="E78" i="25"/>
  <c r="E85" i="25" s="1"/>
  <c r="F30" i="25" s="1"/>
  <c r="F77" i="25"/>
  <c r="F93" i="25" s="1"/>
  <c r="F44" i="25"/>
  <c r="F55" i="25" s="1"/>
  <c r="F54" i="25" s="1"/>
  <c r="E69" i="25"/>
  <c r="E80" i="25"/>
  <c r="E87" i="25" s="1"/>
  <c r="F32" i="25" s="1"/>
  <c r="E83" i="24"/>
  <c r="E27" i="21"/>
  <c r="D90" i="21"/>
  <c r="J37" i="16"/>
  <c r="K36" i="16"/>
  <c r="K59" i="16"/>
  <c r="K23" i="16"/>
  <c r="K35" i="16"/>
  <c r="L22" i="16"/>
  <c r="K51" i="16"/>
  <c r="E27" i="16"/>
  <c r="E29" i="16"/>
  <c r="E31" i="16" s="1"/>
  <c r="E30" i="16"/>
  <c r="F52" i="30" l="1"/>
  <c r="F50" i="30" s="1"/>
  <c r="F42" i="30"/>
  <c r="F43" i="30"/>
  <c r="F74" i="30" s="1"/>
  <c r="F88" i="30" s="1"/>
  <c r="G33" i="30" s="1"/>
  <c r="F41" i="30"/>
  <c r="F40" i="30"/>
  <c r="E89" i="29"/>
  <c r="F28" i="29"/>
  <c r="E89" i="27"/>
  <c r="F27" i="27" s="1"/>
  <c r="F28" i="27"/>
  <c r="E89" i="26"/>
  <c r="F27" i="26" s="1"/>
  <c r="F28" i="26"/>
  <c r="E76" i="25"/>
  <c r="E83" i="25" s="1"/>
  <c r="E89" i="24"/>
  <c r="F27" i="24" s="1"/>
  <c r="F28" i="24"/>
  <c r="E35" i="21"/>
  <c r="E36" i="21"/>
  <c r="L36" i="16"/>
  <c r="L59" i="16"/>
  <c r="L23" i="16"/>
  <c r="L35" i="16"/>
  <c r="L38" i="16"/>
  <c r="L51" i="16"/>
  <c r="L37" i="16"/>
  <c r="K38" i="16"/>
  <c r="K37" i="16" s="1"/>
  <c r="E33" i="16"/>
  <c r="E46" i="16" s="1"/>
  <c r="E55" i="16" s="1"/>
  <c r="F26" i="16" s="1"/>
  <c r="E32" i="16"/>
  <c r="E45" i="16" s="1"/>
  <c r="E34" i="16"/>
  <c r="E47" i="16" s="1"/>
  <c r="E56" i="16" s="1"/>
  <c r="E90" i="27" l="1"/>
  <c r="F73" i="30"/>
  <c r="F80" i="30" s="1"/>
  <c r="F87" i="30" s="1"/>
  <c r="G32" i="30" s="1"/>
  <c r="F75" i="30"/>
  <c r="F89" i="30" s="1"/>
  <c r="G34" i="30" s="1"/>
  <c r="F49" i="30"/>
  <c r="F27" i="29"/>
  <c r="E90" i="29"/>
  <c r="F35" i="27"/>
  <c r="F36" i="27"/>
  <c r="E90" i="26"/>
  <c r="F35" i="26"/>
  <c r="F36" i="26"/>
  <c r="E89" i="25"/>
  <c r="F27" i="25" s="1"/>
  <c r="F28" i="25"/>
  <c r="E90" i="24"/>
  <c r="F35" i="24"/>
  <c r="F36" i="24"/>
  <c r="E37" i="21"/>
  <c r="E49" i="16"/>
  <c r="E54" i="16" s="1"/>
  <c r="F50" i="16"/>
  <c r="F60" i="16" s="1"/>
  <c r="F48" i="30" l="1"/>
  <c r="F71" i="30" s="1"/>
  <c r="F85" i="30" s="1"/>
  <c r="G30" i="30" s="1"/>
  <c r="F72" i="30"/>
  <c r="F86" i="30" s="1"/>
  <c r="G31" i="30" s="1"/>
  <c r="G95" i="30" s="1"/>
  <c r="F35" i="29"/>
  <c r="F36" i="29"/>
  <c r="F37" i="27"/>
  <c r="F37" i="26"/>
  <c r="E90" i="25"/>
  <c r="F35" i="25"/>
  <c r="F36" i="25"/>
  <c r="F37" i="24"/>
  <c r="E38" i="21"/>
  <c r="E40" i="21"/>
  <c r="E71" i="21" s="1"/>
  <c r="E42" i="21"/>
  <c r="E73" i="21" s="1"/>
  <c r="E80" i="21" s="1"/>
  <c r="E41" i="21"/>
  <c r="E72" i="21" s="1"/>
  <c r="E86" i="21" s="1"/>
  <c r="F31" i="21" s="1"/>
  <c r="E39" i="21"/>
  <c r="E70" i="21" s="1"/>
  <c r="E84" i="21" s="1"/>
  <c r="F29" i="21" s="1"/>
  <c r="E57" i="16"/>
  <c r="F24" i="16" s="1"/>
  <c r="F25" i="16"/>
  <c r="F91" i="30" l="1"/>
  <c r="G29" i="30" s="1"/>
  <c r="G46" i="30"/>
  <c r="G57" i="30" s="1"/>
  <c r="G56" i="30" s="1"/>
  <c r="F37" i="29"/>
  <c r="F39" i="27"/>
  <c r="F70" i="27" s="1"/>
  <c r="F84" i="27" s="1"/>
  <c r="G29" i="27" s="1"/>
  <c r="F41" i="27"/>
  <c r="F72" i="27" s="1"/>
  <c r="F86" i="27" s="1"/>
  <c r="G31" i="27" s="1"/>
  <c r="F40" i="27"/>
  <c r="F71" i="27" s="1"/>
  <c r="F38" i="27"/>
  <c r="F40" i="26"/>
  <c r="F71" i="26" s="1"/>
  <c r="F38" i="26"/>
  <c r="F41" i="26"/>
  <c r="F72" i="26" s="1"/>
  <c r="F86" i="26" s="1"/>
  <c r="G31" i="26" s="1"/>
  <c r="F39" i="26"/>
  <c r="F70" i="26" s="1"/>
  <c r="F84" i="26" s="1"/>
  <c r="G29" i="26" s="1"/>
  <c r="F37" i="25"/>
  <c r="F40" i="24"/>
  <c r="F71" i="24" s="1"/>
  <c r="F39" i="24"/>
  <c r="F70" i="24" s="1"/>
  <c r="F84" i="24" s="1"/>
  <c r="G29" i="24" s="1"/>
  <c r="F38" i="24"/>
  <c r="F41" i="24"/>
  <c r="F72" i="24" s="1"/>
  <c r="F86" i="24" s="1"/>
  <c r="G31" i="24" s="1"/>
  <c r="F42" i="24"/>
  <c r="F73" i="24" s="1"/>
  <c r="F87" i="24" s="1"/>
  <c r="G32" i="24" s="1"/>
  <c r="E78" i="21"/>
  <c r="E85" i="21" s="1"/>
  <c r="F30" i="21" s="1"/>
  <c r="E87" i="21"/>
  <c r="F32" i="21" s="1"/>
  <c r="F77" i="21"/>
  <c r="F93" i="21" s="1"/>
  <c r="F44" i="21"/>
  <c r="E69" i="21"/>
  <c r="F27" i="16"/>
  <c r="F29" i="16"/>
  <c r="F31" i="16" s="1"/>
  <c r="F30" i="16"/>
  <c r="F92" i="30" l="1"/>
  <c r="G37" i="30"/>
  <c r="G38" i="30"/>
  <c r="F40" i="29"/>
  <c r="F71" i="29" s="1"/>
  <c r="F39" i="29"/>
  <c r="F70" i="29" s="1"/>
  <c r="F84" i="29" s="1"/>
  <c r="G29" i="29" s="1"/>
  <c r="F38" i="29"/>
  <c r="F41" i="29"/>
  <c r="F72" i="29" s="1"/>
  <c r="F86" i="29" s="1"/>
  <c r="G31" i="29" s="1"/>
  <c r="F69" i="27"/>
  <c r="F78" i="27"/>
  <c r="F85" i="27" s="1"/>
  <c r="G30" i="27" s="1"/>
  <c r="G77" i="27"/>
  <c r="G93" i="27" s="1"/>
  <c r="G44" i="27"/>
  <c r="G55" i="27" s="1"/>
  <c r="G54" i="27" s="1"/>
  <c r="G77" i="26"/>
  <c r="G93" i="26" s="1"/>
  <c r="G44" i="26"/>
  <c r="G55" i="26" s="1"/>
  <c r="G54" i="26" s="1"/>
  <c r="F69" i="26"/>
  <c r="F78" i="26"/>
  <c r="F85" i="26" s="1"/>
  <c r="G30" i="26" s="1"/>
  <c r="F38" i="25"/>
  <c r="F41" i="25"/>
  <c r="F72" i="25" s="1"/>
  <c r="F86" i="25" s="1"/>
  <c r="G31" i="25" s="1"/>
  <c r="F42" i="25"/>
  <c r="F73" i="25" s="1"/>
  <c r="F87" i="25" s="1"/>
  <c r="G32" i="25" s="1"/>
  <c r="F39" i="25"/>
  <c r="F70" i="25" s="1"/>
  <c r="F84" i="25" s="1"/>
  <c r="G29" i="25" s="1"/>
  <c r="F40" i="25"/>
  <c r="F71" i="25" s="1"/>
  <c r="F69" i="24"/>
  <c r="G93" i="24"/>
  <c r="G44" i="24"/>
  <c r="G55" i="24" s="1"/>
  <c r="G54" i="24" s="1"/>
  <c r="F85" i="24"/>
  <c r="G30" i="24" s="1"/>
  <c r="F55" i="21"/>
  <c r="E76" i="21"/>
  <c r="E83" i="21" s="1"/>
  <c r="F32" i="16"/>
  <c r="F45" i="16" s="1"/>
  <c r="F34" i="16"/>
  <c r="F47" i="16" s="1"/>
  <c r="F56" i="16" s="1"/>
  <c r="F33" i="16"/>
  <c r="F46" i="16" s="1"/>
  <c r="F55" i="16" s="1"/>
  <c r="G26" i="16" s="1"/>
  <c r="G39" i="30" l="1"/>
  <c r="G44" i="30" s="1"/>
  <c r="F69" i="29"/>
  <c r="G77" i="29"/>
  <c r="G93" i="29" s="1"/>
  <c r="G44" i="29"/>
  <c r="G55" i="29" s="1"/>
  <c r="G54" i="29" s="1"/>
  <c r="F78" i="29"/>
  <c r="F85" i="29"/>
  <c r="G30" i="29" s="1"/>
  <c r="F83" i="27"/>
  <c r="F76" i="26"/>
  <c r="F83" i="26" s="1"/>
  <c r="F78" i="25"/>
  <c r="F85" i="25" s="1"/>
  <c r="G30" i="25" s="1"/>
  <c r="G77" i="25"/>
  <c r="G93" i="25" s="1"/>
  <c r="G44" i="25"/>
  <c r="G55" i="25" s="1"/>
  <c r="G54" i="25" s="1"/>
  <c r="F69" i="25"/>
  <c r="F54" i="21"/>
  <c r="E89" i="21"/>
  <c r="F27" i="21" s="1"/>
  <c r="F28" i="21"/>
  <c r="G50" i="16"/>
  <c r="F49" i="16"/>
  <c r="F54" i="16" s="1"/>
  <c r="G52" i="30" l="1"/>
  <c r="G50" i="30" s="1"/>
  <c r="G43" i="30"/>
  <c r="G74" i="30" s="1"/>
  <c r="G88" i="30" s="1"/>
  <c r="G42" i="30"/>
  <c r="G41" i="30"/>
  <c r="G40" i="30"/>
  <c r="F76" i="29"/>
  <c r="F83" i="29"/>
  <c r="F89" i="27"/>
  <c r="G27" i="27" s="1"/>
  <c r="G28" i="27"/>
  <c r="F89" i="26"/>
  <c r="G27" i="26" s="1"/>
  <c r="G28" i="26"/>
  <c r="F90" i="26"/>
  <c r="F76" i="25"/>
  <c r="F83" i="25" s="1"/>
  <c r="F83" i="24"/>
  <c r="E90" i="21"/>
  <c r="F35" i="21"/>
  <c r="F36" i="21"/>
  <c r="F57" i="16"/>
  <c r="G24" i="16" s="1"/>
  <c r="G25" i="16"/>
  <c r="H50" i="16"/>
  <c r="G60" i="16"/>
  <c r="G73" i="30" l="1"/>
  <c r="G80" i="30" s="1"/>
  <c r="G87" i="30" s="1"/>
  <c r="G75" i="30"/>
  <c r="G89" i="30" s="1"/>
  <c r="G49" i="30"/>
  <c r="F89" i="29"/>
  <c r="G27" i="29" s="1"/>
  <c r="G28" i="29"/>
  <c r="F90" i="29"/>
  <c r="G35" i="27"/>
  <c r="G36" i="27"/>
  <c r="F90" i="27"/>
  <c r="G35" i="26"/>
  <c r="G36" i="26"/>
  <c r="F89" i="25"/>
  <c r="G27" i="25" s="1"/>
  <c r="G28" i="25"/>
  <c r="F89" i="24"/>
  <c r="G28" i="24"/>
  <c r="F37" i="21"/>
  <c r="I50" i="16"/>
  <c r="H60" i="16"/>
  <c r="G27" i="16"/>
  <c r="G29" i="16"/>
  <c r="G31" i="16" s="1"/>
  <c r="G30" i="16"/>
  <c r="G48" i="30" l="1"/>
  <c r="G71" i="30" s="1"/>
  <c r="G85" i="30" s="1"/>
  <c r="G72" i="30"/>
  <c r="G86" i="30" s="1"/>
  <c r="G35" i="29"/>
  <c r="G36" i="29"/>
  <c r="G37" i="27"/>
  <c r="G37" i="26"/>
  <c r="G35" i="25"/>
  <c r="G36" i="25"/>
  <c r="F90" i="25"/>
  <c r="G27" i="24"/>
  <c r="F90" i="24"/>
  <c r="F42" i="21"/>
  <c r="F73" i="21" s="1"/>
  <c r="F87" i="21" s="1"/>
  <c r="G32" i="21" s="1"/>
  <c r="F41" i="21"/>
  <c r="F72" i="21" s="1"/>
  <c r="F86" i="21" s="1"/>
  <c r="G31" i="21" s="1"/>
  <c r="F39" i="21"/>
  <c r="F70" i="21" s="1"/>
  <c r="F84" i="21" s="1"/>
  <c r="G29" i="21" s="1"/>
  <c r="F38" i="21"/>
  <c r="F40" i="21"/>
  <c r="F71" i="21" s="1"/>
  <c r="G33" i="16"/>
  <c r="G46" i="16" s="1"/>
  <c r="G55" i="16" s="1"/>
  <c r="H26" i="16" s="1"/>
  <c r="G32" i="16"/>
  <c r="G45" i="16" s="1"/>
  <c r="G34" i="16"/>
  <c r="G47" i="16" s="1"/>
  <c r="G56" i="16" s="1"/>
  <c r="J50" i="16"/>
  <c r="I60" i="16"/>
  <c r="G91" i="30" l="1"/>
  <c r="G92" i="30" s="1"/>
  <c r="G37" i="29"/>
  <c r="G38" i="27"/>
  <c r="G40" i="27"/>
  <c r="G71" i="27" s="1"/>
  <c r="G39" i="27"/>
  <c r="G70" i="27" s="1"/>
  <c r="G84" i="27" s="1"/>
  <c r="G41" i="27"/>
  <c r="G72" i="27" s="1"/>
  <c r="G86" i="27" s="1"/>
  <c r="G38" i="26"/>
  <c r="G39" i="26"/>
  <c r="G70" i="26" s="1"/>
  <c r="G84" i="26" s="1"/>
  <c r="H29" i="26" s="1"/>
  <c r="G40" i="26"/>
  <c r="G71" i="26" s="1"/>
  <c r="G41" i="26"/>
  <c r="G72" i="26" s="1"/>
  <c r="G86" i="26" s="1"/>
  <c r="H31" i="26" s="1"/>
  <c r="G37" i="25"/>
  <c r="G35" i="24"/>
  <c r="G36" i="24"/>
  <c r="F78" i="21"/>
  <c r="F85" i="21" s="1"/>
  <c r="G30" i="21" s="1"/>
  <c r="F69" i="21"/>
  <c r="G77" i="21"/>
  <c r="G93" i="21" s="1"/>
  <c r="G44" i="21"/>
  <c r="K50" i="16"/>
  <c r="J60" i="16"/>
  <c r="G49" i="16"/>
  <c r="G54" i="16" s="1"/>
  <c r="G38" i="29" l="1"/>
  <c r="G40" i="29"/>
  <c r="G71" i="29" s="1"/>
  <c r="G41" i="29"/>
  <c r="G72" i="29" s="1"/>
  <c r="G86" i="29" s="1"/>
  <c r="H31" i="29" s="1"/>
  <c r="G39" i="29"/>
  <c r="G70" i="29" s="1"/>
  <c r="G84" i="29" s="1"/>
  <c r="H29" i="29" s="1"/>
  <c r="G78" i="27"/>
  <c r="G85" i="27" s="1"/>
  <c r="G69" i="27"/>
  <c r="H93" i="26"/>
  <c r="H44" i="26"/>
  <c r="H55" i="26" s="1"/>
  <c r="H54" i="26" s="1"/>
  <c r="G78" i="26"/>
  <c r="G85" i="26" s="1"/>
  <c r="H30" i="26" s="1"/>
  <c r="G69" i="26"/>
  <c r="G41" i="25"/>
  <c r="G72" i="25" s="1"/>
  <c r="G86" i="25" s="1"/>
  <c r="H31" i="25" s="1"/>
  <c r="G42" i="25"/>
  <c r="G73" i="25" s="1"/>
  <c r="G87" i="25" s="1"/>
  <c r="H32" i="25" s="1"/>
  <c r="G40" i="25"/>
  <c r="G71" i="25" s="1"/>
  <c r="G39" i="25"/>
  <c r="G70" i="25" s="1"/>
  <c r="G84" i="25" s="1"/>
  <c r="H29" i="25" s="1"/>
  <c r="G38" i="25"/>
  <c r="G37" i="24"/>
  <c r="G55" i="21"/>
  <c r="F76" i="21"/>
  <c r="F83" i="21" s="1"/>
  <c r="G57" i="16"/>
  <c r="H24" i="16" s="1"/>
  <c r="H25" i="16"/>
  <c r="L50" i="16"/>
  <c r="L60" i="16" s="1"/>
  <c r="K60" i="16"/>
  <c r="H77" i="29" l="1"/>
  <c r="H93" i="29" s="1"/>
  <c r="H44" i="29"/>
  <c r="H55" i="29" s="1"/>
  <c r="H54" i="29" s="1"/>
  <c r="G78" i="29"/>
  <c r="G85" i="29" s="1"/>
  <c r="H30" i="29" s="1"/>
  <c r="G69" i="29"/>
  <c r="G83" i="27"/>
  <c r="G89" i="27" s="1"/>
  <c r="G76" i="26"/>
  <c r="G83" i="26" s="1"/>
  <c r="G69" i="25"/>
  <c r="H77" i="25"/>
  <c r="H93" i="25" s="1"/>
  <c r="H44" i="25"/>
  <c r="H55" i="25" s="1"/>
  <c r="H54" i="25" s="1"/>
  <c r="G78" i="25"/>
  <c r="G85" i="25"/>
  <c r="H30" i="25" s="1"/>
  <c r="G39" i="24"/>
  <c r="G70" i="24" s="1"/>
  <c r="G84" i="24" s="1"/>
  <c r="H29" i="24" s="1"/>
  <c r="G41" i="24"/>
  <c r="G72" i="24" s="1"/>
  <c r="G86" i="24" s="1"/>
  <c r="H31" i="24" s="1"/>
  <c r="G40" i="24"/>
  <c r="G71" i="24" s="1"/>
  <c r="G42" i="24"/>
  <c r="G73" i="24" s="1"/>
  <c r="G87" i="24" s="1"/>
  <c r="H32" i="24" s="1"/>
  <c r="G38" i="24"/>
  <c r="F89" i="21"/>
  <c r="G27" i="21" s="1"/>
  <c r="G28" i="21"/>
  <c r="G54" i="21"/>
  <c r="H27" i="16"/>
  <c r="H29" i="16"/>
  <c r="H30" i="16"/>
  <c r="G76" i="29" l="1"/>
  <c r="G83" i="29" s="1"/>
  <c r="G90" i="27"/>
  <c r="G89" i="26"/>
  <c r="H27" i="26" s="1"/>
  <c r="H28" i="26"/>
  <c r="G90" i="26"/>
  <c r="G76" i="25"/>
  <c r="G83" i="25" s="1"/>
  <c r="G69" i="24"/>
  <c r="G85" i="24"/>
  <c r="H30" i="24" s="1"/>
  <c r="H93" i="24"/>
  <c r="H44" i="24"/>
  <c r="H55" i="24" s="1"/>
  <c r="H54" i="24" s="1"/>
  <c r="F90" i="21"/>
  <c r="G35" i="21"/>
  <c r="G36" i="21"/>
  <c r="H31" i="16"/>
  <c r="H34" i="16" s="1"/>
  <c r="H47" i="16" s="1"/>
  <c r="H56" i="16" s="1"/>
  <c r="G89" i="29" l="1"/>
  <c r="H27" i="29" s="1"/>
  <c r="H28" i="29"/>
  <c r="H35" i="26"/>
  <c r="H36" i="26"/>
  <c r="G89" i="25"/>
  <c r="H27" i="25" s="1"/>
  <c r="H28" i="25"/>
  <c r="G83" i="24"/>
  <c r="G37" i="21"/>
  <c r="H33" i="16"/>
  <c r="H46" i="16" s="1"/>
  <c r="H55" i="16" s="1"/>
  <c r="I26" i="16" s="1"/>
  <c r="H32" i="16"/>
  <c r="H45" i="16" s="1"/>
  <c r="H54" i="16" s="1"/>
  <c r="G90" i="29" l="1"/>
  <c r="H35" i="29"/>
  <c r="H36" i="29"/>
  <c r="H37" i="26"/>
  <c r="H35" i="25"/>
  <c r="H36" i="25"/>
  <c r="G90" i="25"/>
  <c r="G89" i="24"/>
  <c r="H27" i="24" s="1"/>
  <c r="H28" i="24"/>
  <c r="G40" i="21"/>
  <c r="G71" i="21" s="1"/>
  <c r="G42" i="21"/>
  <c r="G73" i="21" s="1"/>
  <c r="G87" i="21" s="1"/>
  <c r="H32" i="21" s="1"/>
  <c r="G38" i="21"/>
  <c r="G41" i="21"/>
  <c r="G72" i="21" s="1"/>
  <c r="G86" i="21" s="1"/>
  <c r="H31" i="21" s="1"/>
  <c r="G39" i="21"/>
  <c r="G70" i="21" s="1"/>
  <c r="G84" i="21" s="1"/>
  <c r="H29" i="21" s="1"/>
  <c r="H57" i="16"/>
  <c r="I24" i="16" s="1"/>
  <c r="I27" i="16" s="1"/>
  <c r="I25" i="16"/>
  <c r="H37" i="29" l="1"/>
  <c r="H38" i="26"/>
  <c r="H39" i="26"/>
  <c r="H70" i="26" s="1"/>
  <c r="H84" i="26" s="1"/>
  <c r="I29" i="26" s="1"/>
  <c r="H41" i="26"/>
  <c r="H72" i="26" s="1"/>
  <c r="H86" i="26" s="1"/>
  <c r="I31" i="26" s="1"/>
  <c r="H40" i="26"/>
  <c r="H71" i="26" s="1"/>
  <c r="H37" i="25"/>
  <c r="G90" i="24"/>
  <c r="H35" i="24"/>
  <c r="H36" i="24"/>
  <c r="G78" i="21"/>
  <c r="G85" i="21" s="1"/>
  <c r="H30" i="21" s="1"/>
  <c r="H77" i="21"/>
  <c r="H93" i="21" s="1"/>
  <c r="H44" i="21"/>
  <c r="G69" i="21"/>
  <c r="I30" i="16"/>
  <c r="I29" i="16"/>
  <c r="I31" i="16" s="1"/>
  <c r="I34" i="16" s="1"/>
  <c r="I47" i="16" s="1"/>
  <c r="I56" i="16" s="1"/>
  <c r="H39" i="29" l="1"/>
  <c r="H70" i="29" s="1"/>
  <c r="H84" i="29" s="1"/>
  <c r="I29" i="29" s="1"/>
  <c r="H41" i="29"/>
  <c r="H72" i="29" s="1"/>
  <c r="H86" i="29" s="1"/>
  <c r="I31" i="29" s="1"/>
  <c r="H40" i="29"/>
  <c r="H71" i="29" s="1"/>
  <c r="H38" i="29"/>
  <c r="H85" i="26"/>
  <c r="I30" i="26" s="1"/>
  <c r="I44" i="26"/>
  <c r="I55" i="26" s="1"/>
  <c r="I54" i="26" s="1"/>
  <c r="I93" i="26"/>
  <c r="H69" i="26"/>
  <c r="H42" i="25"/>
  <c r="H73" i="25" s="1"/>
  <c r="H41" i="25"/>
  <c r="H72" i="25" s="1"/>
  <c r="H86" i="25" s="1"/>
  <c r="I31" i="25" s="1"/>
  <c r="H39" i="25"/>
  <c r="H70" i="25" s="1"/>
  <c r="H84" i="25" s="1"/>
  <c r="I29" i="25" s="1"/>
  <c r="H38" i="25"/>
  <c r="H40" i="25"/>
  <c r="H71" i="25" s="1"/>
  <c r="H37" i="24"/>
  <c r="G76" i="21"/>
  <c r="G83" i="21" s="1"/>
  <c r="H55" i="21"/>
  <c r="I32" i="16"/>
  <c r="I45" i="16" s="1"/>
  <c r="I54" i="16" s="1"/>
  <c r="J25" i="16" s="1"/>
  <c r="I33" i="16"/>
  <c r="I46" i="16" s="1"/>
  <c r="I55" i="16" s="1"/>
  <c r="J26" i="16" s="1"/>
  <c r="H69" i="29" l="1"/>
  <c r="H78" i="29"/>
  <c r="H85" i="29" s="1"/>
  <c r="I30" i="29" s="1"/>
  <c r="I44" i="29"/>
  <c r="I55" i="29" s="1"/>
  <c r="I54" i="29" s="1"/>
  <c r="I77" i="29"/>
  <c r="I93" i="29" s="1"/>
  <c r="H83" i="26"/>
  <c r="H78" i="25"/>
  <c r="H85" i="25" s="1"/>
  <c r="I30" i="25" s="1"/>
  <c r="H69" i="25"/>
  <c r="I44" i="25"/>
  <c r="I55" i="25" s="1"/>
  <c r="I54" i="25" s="1"/>
  <c r="I77" i="25"/>
  <c r="I93" i="25" s="1"/>
  <c r="H80" i="25"/>
  <c r="H87" i="25"/>
  <c r="I32" i="25" s="1"/>
  <c r="H40" i="24"/>
  <c r="H71" i="24" s="1"/>
  <c r="H38" i="24"/>
  <c r="H42" i="24"/>
  <c r="H73" i="24" s="1"/>
  <c r="H41" i="24"/>
  <c r="H72" i="24" s="1"/>
  <c r="H86" i="24" s="1"/>
  <c r="I31" i="24" s="1"/>
  <c r="H39" i="24"/>
  <c r="H70" i="24" s="1"/>
  <c r="H84" i="24" s="1"/>
  <c r="I29" i="24" s="1"/>
  <c r="G89" i="21"/>
  <c r="H27" i="21" s="1"/>
  <c r="H28" i="21"/>
  <c r="H54" i="21"/>
  <c r="I57" i="16"/>
  <c r="J24" i="16" s="1"/>
  <c r="J27" i="16" s="1"/>
  <c r="H76" i="29" l="1"/>
  <c r="H83" i="29" s="1"/>
  <c r="I28" i="26"/>
  <c r="H89" i="26"/>
  <c r="I27" i="26" s="1"/>
  <c r="H90" i="26"/>
  <c r="H76" i="25"/>
  <c r="H83" i="25" s="1"/>
  <c r="I44" i="24"/>
  <c r="I55" i="24" s="1"/>
  <c r="I54" i="24" s="1"/>
  <c r="I93" i="24"/>
  <c r="H80" i="24"/>
  <c r="H87" i="24"/>
  <c r="I32" i="24" s="1"/>
  <c r="H69" i="24"/>
  <c r="H85" i="24"/>
  <c r="I30" i="24" s="1"/>
  <c r="G90" i="21"/>
  <c r="H35" i="21"/>
  <c r="H36" i="21"/>
  <c r="J30" i="16"/>
  <c r="J29" i="16"/>
  <c r="J31" i="16" s="1"/>
  <c r="J34" i="16" s="1"/>
  <c r="J47" i="16" s="1"/>
  <c r="J56" i="16" s="1"/>
  <c r="I28" i="29" l="1"/>
  <c r="H89" i="29"/>
  <c r="I27" i="29" s="1"/>
  <c r="I35" i="26"/>
  <c r="I36" i="26"/>
  <c r="I28" i="25"/>
  <c r="H89" i="25"/>
  <c r="I27" i="25" s="1"/>
  <c r="H83" i="24"/>
  <c r="H37" i="21"/>
  <c r="J32" i="16"/>
  <c r="J45" i="16" s="1"/>
  <c r="J54" i="16" s="1"/>
  <c r="K25" i="16" s="1"/>
  <c r="J33" i="16"/>
  <c r="J46" i="16" s="1"/>
  <c r="J55" i="16" s="1"/>
  <c r="K26" i="16" s="1"/>
  <c r="H90" i="29" l="1"/>
  <c r="I35" i="29"/>
  <c r="I36" i="29"/>
  <c r="I37" i="26"/>
  <c r="H90" i="25"/>
  <c r="I35" i="25"/>
  <c r="I36" i="25"/>
  <c r="I28" i="24"/>
  <c r="H89" i="24"/>
  <c r="I27" i="24" s="1"/>
  <c r="H39" i="21"/>
  <c r="H70" i="21" s="1"/>
  <c r="H84" i="21" s="1"/>
  <c r="I29" i="21" s="1"/>
  <c r="H38" i="21"/>
  <c r="H40" i="21"/>
  <c r="H71" i="21" s="1"/>
  <c r="H42" i="21"/>
  <c r="H73" i="21" s="1"/>
  <c r="H41" i="21"/>
  <c r="H72" i="21" s="1"/>
  <c r="H86" i="21" s="1"/>
  <c r="I31" i="21" s="1"/>
  <c r="J57" i="16"/>
  <c r="K24" i="16" s="1"/>
  <c r="K27" i="16" s="1"/>
  <c r="I37" i="29" l="1"/>
  <c r="I40" i="26"/>
  <c r="I71" i="26" s="1"/>
  <c r="I39" i="26"/>
  <c r="I70" i="26" s="1"/>
  <c r="I84" i="26" s="1"/>
  <c r="J29" i="26" s="1"/>
  <c r="I41" i="26"/>
  <c r="I72" i="26" s="1"/>
  <c r="I86" i="26" s="1"/>
  <c r="J31" i="26" s="1"/>
  <c r="I38" i="26"/>
  <c r="I37" i="25"/>
  <c r="I35" i="24"/>
  <c r="I36" i="24"/>
  <c r="H90" i="24"/>
  <c r="H78" i="21"/>
  <c r="H85" i="21" s="1"/>
  <c r="I30" i="21" s="1"/>
  <c r="H80" i="21"/>
  <c r="H87" i="21" s="1"/>
  <c r="I32" i="21" s="1"/>
  <c r="H69" i="21"/>
  <c r="I77" i="21"/>
  <c r="I93" i="21" s="1"/>
  <c r="I44" i="21"/>
  <c r="K29" i="16"/>
  <c r="K30" i="16"/>
  <c r="I41" i="29" l="1"/>
  <c r="I72" i="29" s="1"/>
  <c r="I86" i="29" s="1"/>
  <c r="J31" i="29" s="1"/>
  <c r="I39" i="29"/>
  <c r="I70" i="29" s="1"/>
  <c r="I84" i="29" s="1"/>
  <c r="J29" i="29" s="1"/>
  <c r="I38" i="29"/>
  <c r="I40" i="29"/>
  <c r="I71" i="29" s="1"/>
  <c r="I69" i="26"/>
  <c r="J44" i="26"/>
  <c r="J55" i="26" s="1"/>
  <c r="J54" i="26" s="1"/>
  <c r="J93" i="26"/>
  <c r="I85" i="26"/>
  <c r="J30" i="26" s="1"/>
  <c r="I38" i="25"/>
  <c r="I42" i="25"/>
  <c r="I73" i="25" s="1"/>
  <c r="I87" i="25" s="1"/>
  <c r="J32" i="25" s="1"/>
  <c r="I40" i="25"/>
  <c r="I71" i="25" s="1"/>
  <c r="I41" i="25"/>
  <c r="I72" i="25" s="1"/>
  <c r="I86" i="25" s="1"/>
  <c r="J31" i="25" s="1"/>
  <c r="I39" i="25"/>
  <c r="I70" i="25" s="1"/>
  <c r="I84" i="25" s="1"/>
  <c r="J29" i="25" s="1"/>
  <c r="I37" i="24"/>
  <c r="I55" i="21"/>
  <c r="H76" i="21"/>
  <c r="H83" i="21" s="1"/>
  <c r="K31" i="16"/>
  <c r="K32" i="16" s="1"/>
  <c r="K45" i="16" s="1"/>
  <c r="K54" i="16" s="1"/>
  <c r="L25" i="16" s="1"/>
  <c r="I78" i="29" l="1"/>
  <c r="I85" i="29"/>
  <c r="J30" i="29" s="1"/>
  <c r="I69" i="29"/>
  <c r="J77" i="29"/>
  <c r="J93" i="29" s="1"/>
  <c r="J44" i="29"/>
  <c r="J55" i="29" s="1"/>
  <c r="J54" i="29" s="1"/>
  <c r="I83" i="26"/>
  <c r="J77" i="25"/>
  <c r="J93" i="25" s="1"/>
  <c r="J44" i="25"/>
  <c r="J55" i="25" s="1"/>
  <c r="J54" i="25" s="1"/>
  <c r="I78" i="25"/>
  <c r="I85" i="25" s="1"/>
  <c r="J30" i="25" s="1"/>
  <c r="I69" i="25"/>
  <c r="I41" i="24"/>
  <c r="I72" i="24" s="1"/>
  <c r="I86" i="24" s="1"/>
  <c r="J31" i="24" s="1"/>
  <c r="I40" i="24"/>
  <c r="I71" i="24" s="1"/>
  <c r="I42" i="24"/>
  <c r="I73" i="24" s="1"/>
  <c r="I87" i="24" s="1"/>
  <c r="J32" i="24" s="1"/>
  <c r="I38" i="24"/>
  <c r="I39" i="24"/>
  <c r="I70" i="24" s="1"/>
  <c r="I84" i="24" s="1"/>
  <c r="J29" i="24" s="1"/>
  <c r="I54" i="21"/>
  <c r="H89" i="21"/>
  <c r="I27" i="21" s="1"/>
  <c r="I28" i="21"/>
  <c r="K33" i="16"/>
  <c r="K46" i="16" s="1"/>
  <c r="K55" i="16" s="1"/>
  <c r="L26" i="16" s="1"/>
  <c r="K34" i="16"/>
  <c r="K47" i="16" s="1"/>
  <c r="K56" i="16" s="1"/>
  <c r="I76" i="29" l="1"/>
  <c r="I83" i="29" s="1"/>
  <c r="I89" i="26"/>
  <c r="J27" i="26" s="1"/>
  <c r="J28" i="26"/>
  <c r="I90" i="26"/>
  <c r="I76" i="25"/>
  <c r="I83" i="25" s="1"/>
  <c r="J93" i="24"/>
  <c r="J44" i="24"/>
  <c r="J55" i="24" s="1"/>
  <c r="J54" i="24" s="1"/>
  <c r="I69" i="24"/>
  <c r="I85" i="24"/>
  <c r="J30" i="24" s="1"/>
  <c r="H90" i="21"/>
  <c r="I35" i="21"/>
  <c r="I36" i="21"/>
  <c r="K57" i="16"/>
  <c r="L24" i="16" s="1"/>
  <c r="L30" i="16" s="1"/>
  <c r="I89" i="29" l="1"/>
  <c r="J27" i="29" s="1"/>
  <c r="J28" i="29"/>
  <c r="I90" i="29"/>
  <c r="J35" i="26"/>
  <c r="J36" i="26"/>
  <c r="I89" i="25"/>
  <c r="J27" i="25" s="1"/>
  <c r="J28" i="25"/>
  <c r="I83" i="24"/>
  <c r="I37" i="21"/>
  <c r="L27" i="16"/>
  <c r="L29" i="16"/>
  <c r="L31" i="16" s="1"/>
  <c r="L32" i="16" s="1"/>
  <c r="L45" i="16" s="1"/>
  <c r="L54" i="16" s="1"/>
  <c r="J35" i="29" l="1"/>
  <c r="J36" i="29"/>
  <c r="J37" i="26"/>
  <c r="I90" i="25"/>
  <c r="J35" i="25"/>
  <c r="J36" i="25"/>
  <c r="I89" i="24"/>
  <c r="J27" i="24" s="1"/>
  <c r="J28" i="24"/>
  <c r="I41" i="21"/>
  <c r="I72" i="21" s="1"/>
  <c r="I86" i="21" s="1"/>
  <c r="J31" i="21" s="1"/>
  <c r="I42" i="21"/>
  <c r="I73" i="21" s="1"/>
  <c r="I87" i="21" s="1"/>
  <c r="J32" i="21" s="1"/>
  <c r="I38" i="21"/>
  <c r="I39" i="21"/>
  <c r="I70" i="21" s="1"/>
  <c r="I84" i="21" s="1"/>
  <c r="J29" i="21" s="1"/>
  <c r="I40" i="21"/>
  <c r="I71" i="21" s="1"/>
  <c r="L33" i="16"/>
  <c r="L46" i="16" s="1"/>
  <c r="L55" i="16" s="1"/>
  <c r="L34" i="16"/>
  <c r="L47" i="16" s="1"/>
  <c r="L56" i="16" s="1"/>
  <c r="J37" i="29" l="1"/>
  <c r="J40" i="26"/>
  <c r="J71" i="26" s="1"/>
  <c r="J41" i="26"/>
  <c r="J72" i="26" s="1"/>
  <c r="J86" i="26" s="1"/>
  <c r="K31" i="26" s="1"/>
  <c r="J39" i="26"/>
  <c r="J70" i="26" s="1"/>
  <c r="J84" i="26" s="1"/>
  <c r="K29" i="26" s="1"/>
  <c r="J38" i="26"/>
  <c r="J37" i="25"/>
  <c r="I90" i="24"/>
  <c r="J35" i="24"/>
  <c r="J36" i="24"/>
  <c r="I78" i="21"/>
  <c r="I85" i="21" s="1"/>
  <c r="J30" i="21" s="1"/>
  <c r="J77" i="21"/>
  <c r="J93" i="21" s="1"/>
  <c r="J44" i="21"/>
  <c r="I69" i="21"/>
  <c r="L57" i="16"/>
  <c r="J40" i="29" l="1"/>
  <c r="J71" i="29" s="1"/>
  <c r="J38" i="29"/>
  <c r="J39" i="29"/>
  <c r="J70" i="29" s="1"/>
  <c r="J84" i="29" s="1"/>
  <c r="K29" i="29" s="1"/>
  <c r="J41" i="29"/>
  <c r="J72" i="29" s="1"/>
  <c r="J86" i="29" s="1"/>
  <c r="K31" i="29" s="1"/>
  <c r="J69" i="26"/>
  <c r="K93" i="26"/>
  <c r="K44" i="26"/>
  <c r="K55" i="26" s="1"/>
  <c r="K54" i="26" s="1"/>
  <c r="J85" i="26"/>
  <c r="K30" i="26" s="1"/>
  <c r="J41" i="25"/>
  <c r="J72" i="25" s="1"/>
  <c r="J86" i="25" s="1"/>
  <c r="K31" i="25" s="1"/>
  <c r="J40" i="25"/>
  <c r="J71" i="25" s="1"/>
  <c r="J39" i="25"/>
  <c r="J70" i="25" s="1"/>
  <c r="J84" i="25" s="1"/>
  <c r="K29" i="25" s="1"/>
  <c r="J38" i="25"/>
  <c r="J42" i="25"/>
  <c r="J73" i="25" s="1"/>
  <c r="J87" i="25" s="1"/>
  <c r="K32" i="25" s="1"/>
  <c r="J37" i="24"/>
  <c r="I76" i="21"/>
  <c r="I83" i="21" s="1"/>
  <c r="J55" i="2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77" i="29" l="1"/>
  <c r="K93" i="29" s="1"/>
  <c r="K44" i="29"/>
  <c r="K55" i="29" s="1"/>
  <c r="K54" i="29" s="1"/>
  <c r="J69" i="29"/>
  <c r="J78" i="29"/>
  <c r="J85" i="29"/>
  <c r="K30" i="29" s="1"/>
  <c r="J83" i="26"/>
  <c r="J69" i="25"/>
  <c r="K77" i="25"/>
  <c r="K93" i="25" s="1"/>
  <c r="K44" i="25"/>
  <c r="K55" i="25" s="1"/>
  <c r="K54" i="25" s="1"/>
  <c r="J78" i="25"/>
  <c r="J85" i="25"/>
  <c r="K30" i="25" s="1"/>
  <c r="J42" i="24"/>
  <c r="J73" i="24" s="1"/>
  <c r="J87" i="24" s="1"/>
  <c r="K32" i="24" s="1"/>
  <c r="J39" i="24"/>
  <c r="J70" i="24" s="1"/>
  <c r="J84" i="24" s="1"/>
  <c r="K29" i="24" s="1"/>
  <c r="J41" i="24"/>
  <c r="J72" i="24" s="1"/>
  <c r="J86" i="24" s="1"/>
  <c r="K31" i="24" s="1"/>
  <c r="J40" i="24"/>
  <c r="J71" i="24" s="1"/>
  <c r="J38" i="24"/>
  <c r="J54" i="21"/>
  <c r="I89" i="21"/>
  <c r="J27" i="21" s="1"/>
  <c r="J28" i="21"/>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J76" i="29" l="1"/>
  <c r="J89" i="26"/>
  <c r="K27" i="26" s="1"/>
  <c r="K28" i="26"/>
  <c r="J76" i="25"/>
  <c r="J83" i="25" s="1"/>
  <c r="J69" i="24"/>
  <c r="J85" i="24"/>
  <c r="K30" i="24" s="1"/>
  <c r="K93" i="24"/>
  <c r="K44" i="24"/>
  <c r="K55" i="24" s="1"/>
  <c r="K54" i="24" s="1"/>
  <c r="J35" i="21"/>
  <c r="J36" i="21"/>
  <c r="I90" i="21"/>
  <c r="V11" i="7"/>
  <c r="W11" i="7"/>
  <c r="V6" i="7"/>
  <c r="W6" i="7"/>
  <c r="J83" i="29" l="1"/>
  <c r="K35" i="26"/>
  <c r="K36" i="26"/>
  <c r="J90" i="26"/>
  <c r="J89" i="25"/>
  <c r="K27" i="25" s="1"/>
  <c r="K28" i="25"/>
  <c r="J83" i="24"/>
  <c r="J37" i="21"/>
  <c r="V8" i="7"/>
  <c r="W8" i="7"/>
  <c r="K28" i="29" l="1"/>
  <c r="J89" i="29"/>
  <c r="K37" i="26"/>
  <c r="J90" i="25"/>
  <c r="K35" i="25"/>
  <c r="K36" i="25"/>
  <c r="J89" i="24"/>
  <c r="K27" i="24" s="1"/>
  <c r="K28" i="24"/>
  <c r="J41" i="21"/>
  <c r="J72" i="21" s="1"/>
  <c r="J86" i="21" s="1"/>
  <c r="K31" i="21" s="1"/>
  <c r="J42" i="21"/>
  <c r="J73" i="21" s="1"/>
  <c r="J87" i="21" s="1"/>
  <c r="K32" i="21" s="1"/>
  <c r="J39" i="21"/>
  <c r="J70" i="21" s="1"/>
  <c r="J84" i="21" s="1"/>
  <c r="K29" i="21" s="1"/>
  <c r="J38" i="21"/>
  <c r="J40" i="21"/>
  <c r="J71" i="21"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27" i="29" l="1"/>
  <c r="J90" i="29"/>
  <c r="K40" i="26"/>
  <c r="K71" i="26" s="1"/>
  <c r="K39" i="26"/>
  <c r="K70" i="26" s="1"/>
  <c r="K84" i="26" s="1"/>
  <c r="L29" i="26" s="1"/>
  <c r="K38" i="26"/>
  <c r="K41" i="26"/>
  <c r="K72" i="26" s="1"/>
  <c r="K86" i="26" s="1"/>
  <c r="L31" i="26" s="1"/>
  <c r="K37" i="25"/>
  <c r="J90" i="24"/>
  <c r="K35" i="24"/>
  <c r="K36" i="24"/>
  <c r="J78" i="21"/>
  <c r="J85" i="21" s="1"/>
  <c r="K30" i="21" s="1"/>
  <c r="J69" i="21"/>
  <c r="K77" i="21"/>
  <c r="K93" i="21" s="1"/>
  <c r="K44" i="21"/>
  <c r="V10" i="7"/>
  <c r="W10" i="7"/>
  <c r="K13" i="2"/>
  <c r="L13" i="2" s="1"/>
  <c r="K8" i="2"/>
  <c r="K36" i="29" l="1"/>
  <c r="K35" i="29"/>
  <c r="K69" i="26"/>
  <c r="L93" i="26"/>
  <c r="L44" i="26"/>
  <c r="L55" i="26" s="1"/>
  <c r="L54" i="26" s="1"/>
  <c r="K85" i="26"/>
  <c r="L30" i="26" s="1"/>
  <c r="K38" i="25"/>
  <c r="K42" i="25"/>
  <c r="K73" i="25" s="1"/>
  <c r="K40" i="25"/>
  <c r="K71" i="25" s="1"/>
  <c r="K39" i="25"/>
  <c r="K70" i="25" s="1"/>
  <c r="K84" i="25" s="1"/>
  <c r="L29" i="25" s="1"/>
  <c r="K41" i="25"/>
  <c r="K72" i="25" s="1"/>
  <c r="K86" i="25" s="1"/>
  <c r="L31" i="25" s="1"/>
  <c r="K37" i="24"/>
  <c r="K55" i="21"/>
  <c r="J76" i="21"/>
  <c r="J83" i="21" s="1"/>
  <c r="N13" i="2"/>
  <c r="O13" i="2"/>
  <c r="M13" i="2"/>
  <c r="K37" i="29" l="1"/>
  <c r="K83" i="26"/>
  <c r="L77" i="25"/>
  <c r="L93" i="25" s="1"/>
  <c r="L44" i="25"/>
  <c r="L55" i="25" s="1"/>
  <c r="L54" i="25" s="1"/>
  <c r="K78" i="25"/>
  <c r="K85" i="25"/>
  <c r="L30" i="25" s="1"/>
  <c r="K80" i="25"/>
  <c r="K87" i="25"/>
  <c r="L32" i="25" s="1"/>
  <c r="K69" i="25"/>
  <c r="K41" i="24"/>
  <c r="K72" i="24" s="1"/>
  <c r="K86" i="24" s="1"/>
  <c r="L31" i="24" s="1"/>
  <c r="K40" i="24"/>
  <c r="K71" i="24" s="1"/>
  <c r="K39" i="24"/>
  <c r="K70" i="24" s="1"/>
  <c r="K84" i="24" s="1"/>
  <c r="L29" i="24" s="1"/>
  <c r="K38" i="24"/>
  <c r="K42" i="24"/>
  <c r="K73" i="24" s="1"/>
  <c r="K54" i="21"/>
  <c r="J89" i="21"/>
  <c r="K27" i="21" s="1"/>
  <c r="K28" i="21"/>
  <c r="P13" i="2"/>
  <c r="K39" i="29" l="1"/>
  <c r="K70" i="29" s="1"/>
  <c r="K84" i="29" s="1"/>
  <c r="L29" i="29" s="1"/>
  <c r="K38" i="29"/>
  <c r="K40" i="29"/>
  <c r="K71" i="29" s="1"/>
  <c r="K41" i="29"/>
  <c r="K72" i="29" s="1"/>
  <c r="K86" i="29" s="1"/>
  <c r="L31" i="29" s="1"/>
  <c r="K89" i="26"/>
  <c r="L27" i="26" s="1"/>
  <c r="L28" i="26"/>
  <c r="K90" i="26"/>
  <c r="K76" i="25"/>
  <c r="K83" i="25" s="1"/>
  <c r="K80" i="24"/>
  <c r="K87" i="24"/>
  <c r="L32" i="24" s="1"/>
  <c r="K69" i="24"/>
  <c r="L93" i="24"/>
  <c r="L44" i="24"/>
  <c r="L55" i="24" s="1"/>
  <c r="L54" i="24" s="1"/>
  <c r="K85" i="24"/>
  <c r="L30" i="24" s="1"/>
  <c r="K35" i="21"/>
  <c r="K36" i="21"/>
  <c r="J90" i="21"/>
  <c r="K78" i="29" l="1"/>
  <c r="K85" i="29" s="1"/>
  <c r="L30" i="29" s="1"/>
  <c r="K69" i="29"/>
  <c r="L77" i="29"/>
  <c r="L93" i="29" s="1"/>
  <c r="L44" i="29"/>
  <c r="L55" i="29" s="1"/>
  <c r="L54" i="29" s="1"/>
  <c r="L35" i="26"/>
  <c r="L36" i="26"/>
  <c r="K89" i="25"/>
  <c r="L27" i="25" s="1"/>
  <c r="L28" i="25"/>
  <c r="K83" i="24"/>
  <c r="K37" i="21"/>
  <c r="K76" i="29" l="1"/>
  <c r="K83" i="29" s="1"/>
  <c r="L37" i="26"/>
  <c r="K90" i="25"/>
  <c r="L35" i="25"/>
  <c r="L36" i="25"/>
  <c r="K89" i="24"/>
  <c r="L27" i="24" s="1"/>
  <c r="L28" i="24"/>
  <c r="K41" i="21"/>
  <c r="K72" i="21" s="1"/>
  <c r="K86" i="21" s="1"/>
  <c r="L31" i="21" s="1"/>
  <c r="K42" i="21"/>
  <c r="K73" i="21" s="1"/>
  <c r="K40" i="21"/>
  <c r="K71" i="21" s="1"/>
  <c r="K39" i="21"/>
  <c r="K70" i="21" s="1"/>
  <c r="K84" i="21" s="1"/>
  <c r="L29" i="21" s="1"/>
  <c r="L77" i="21" s="1"/>
  <c r="K38" i="21"/>
  <c r="K89" i="29" l="1"/>
  <c r="L27" i="29" s="1"/>
  <c r="L28" i="29"/>
  <c r="L38" i="26"/>
  <c r="L39" i="26"/>
  <c r="L70" i="26" s="1"/>
  <c r="L84" i="26" s="1"/>
  <c r="L41" i="26"/>
  <c r="L72" i="26" s="1"/>
  <c r="L86" i="26" s="1"/>
  <c r="L40" i="26"/>
  <c r="L71" i="26" s="1"/>
  <c r="L37" i="25"/>
  <c r="K90" i="24"/>
  <c r="L35" i="24"/>
  <c r="L36" i="24"/>
  <c r="K80" i="21"/>
  <c r="K87" i="21" s="1"/>
  <c r="L32" i="21" s="1"/>
  <c r="K78" i="21"/>
  <c r="K85" i="21" s="1"/>
  <c r="L30" i="21" s="1"/>
  <c r="K69" i="21"/>
  <c r="L93" i="21"/>
  <c r="L44" i="21"/>
  <c r="K90" i="29" l="1"/>
  <c r="L35" i="29"/>
  <c r="L36" i="29"/>
  <c r="L85" i="26"/>
  <c r="L69" i="26"/>
  <c r="L40" i="25"/>
  <c r="L71" i="25" s="1"/>
  <c r="L38" i="25"/>
  <c r="L42" i="25"/>
  <c r="L73" i="25" s="1"/>
  <c r="L87" i="25" s="1"/>
  <c r="L41" i="25"/>
  <c r="L72" i="25" s="1"/>
  <c r="L86" i="25" s="1"/>
  <c r="L39" i="25"/>
  <c r="L70" i="25" s="1"/>
  <c r="L84" i="25" s="1"/>
  <c r="L37" i="24"/>
  <c r="L55" i="21"/>
  <c r="K76" i="21"/>
  <c r="K83" i="21" s="1"/>
  <c r="L37" i="29" l="1"/>
  <c r="L83" i="26"/>
  <c r="L89" i="26" s="1"/>
  <c r="L69" i="25"/>
  <c r="L78" i="25"/>
  <c r="L85" i="25" s="1"/>
  <c r="L41" i="24"/>
  <c r="L72" i="24" s="1"/>
  <c r="L86" i="24" s="1"/>
  <c r="L40" i="24"/>
  <c r="L71" i="24" s="1"/>
  <c r="L39" i="24"/>
  <c r="L70" i="24" s="1"/>
  <c r="L84" i="24" s="1"/>
  <c r="L38" i="24"/>
  <c r="L42" i="24"/>
  <c r="L73" i="24" s="1"/>
  <c r="L87" i="24" s="1"/>
  <c r="K89" i="21"/>
  <c r="L27" i="21" s="1"/>
  <c r="L28" i="21"/>
  <c r="L54" i="21"/>
  <c r="L41" i="29" l="1"/>
  <c r="L72" i="29" s="1"/>
  <c r="L86" i="29" s="1"/>
  <c r="L39" i="29"/>
  <c r="L70" i="29" s="1"/>
  <c r="L84" i="29" s="1"/>
  <c r="L38" i="29"/>
  <c r="L40" i="29"/>
  <c r="L71" i="29" s="1"/>
  <c r="L90" i="26"/>
  <c r="L76" i="25"/>
  <c r="L83" i="25" s="1"/>
  <c r="L89" i="25" s="1"/>
  <c r="L69" i="24"/>
  <c r="L85" i="24"/>
  <c r="K90" i="21"/>
  <c r="L35" i="21"/>
  <c r="L36" i="21"/>
  <c r="L78" i="29" l="1"/>
  <c r="L85" i="29" s="1"/>
  <c r="L69" i="29"/>
  <c r="L90" i="25"/>
  <c r="L83" i="24"/>
  <c r="L89" i="24" s="1"/>
  <c r="L37" i="21"/>
  <c r="L76" i="29" l="1"/>
  <c r="L83" i="29" s="1"/>
  <c r="L89" i="29" s="1"/>
  <c r="L90" i="24"/>
  <c r="L40" i="21"/>
  <c r="L71" i="21" s="1"/>
  <c r="L42" i="21"/>
  <c r="L73" i="21" s="1"/>
  <c r="L87" i="21" s="1"/>
  <c r="L38" i="21"/>
  <c r="L39" i="21"/>
  <c r="L70" i="21" s="1"/>
  <c r="L84" i="21" s="1"/>
  <c r="L41" i="21"/>
  <c r="L72" i="21" s="1"/>
  <c r="L86" i="21" s="1"/>
  <c r="L90" i="29" l="1"/>
  <c r="L78" i="21"/>
  <c r="L85" i="21" s="1"/>
  <c r="L69" i="21"/>
  <c r="L76" i="21" s="1"/>
  <c r="L83" i="21" l="1"/>
  <c r="L89" i="21" s="1"/>
  <c r="L90" i="21" l="1"/>
  <c r="C91" i="33" l="1"/>
  <c r="C59" i="33" l="1"/>
  <c r="C75" i="33"/>
  <c r="C67" i="33"/>
  <c r="C127" i="33"/>
  <c r="D29" i="33" s="1"/>
  <c r="C83" i="33"/>
  <c r="C128" i="33" l="1"/>
  <c r="D38" i="33" l="1"/>
  <c r="D37" i="33"/>
  <c r="D39" i="33" l="1"/>
  <c r="D42" i="33" l="1"/>
  <c r="D43" i="33"/>
  <c r="D44" i="33"/>
  <c r="D40" i="33"/>
  <c r="D41" i="33"/>
  <c r="D52" i="33" l="1"/>
  <c r="D92" i="33" s="1"/>
  <c r="D51" i="33" l="1"/>
  <c r="D94" i="33"/>
  <c r="D125" i="33" s="1"/>
  <c r="E34" i="33" s="1"/>
  <c r="D50" i="33" l="1"/>
  <c r="D84" i="33"/>
  <c r="D85" i="33" l="1"/>
  <c r="D117" i="33" s="1"/>
  <c r="D49" i="33"/>
  <c r="D76" i="33"/>
  <c r="D86" i="33" l="1"/>
  <c r="D124" i="33" s="1"/>
  <c r="E33" i="33" s="1"/>
  <c r="D116" i="33"/>
  <c r="D48" i="33"/>
  <c r="D68" i="33"/>
  <c r="D70" i="33" s="1"/>
  <c r="D122" i="33" s="1"/>
  <c r="D78" i="33" l="1"/>
  <c r="D123" i="33" s="1"/>
  <c r="E32" i="33" s="1"/>
  <c r="E31" i="33"/>
  <c r="D60" i="33"/>
  <c r="E46" i="33" l="1"/>
  <c r="D62" i="33"/>
  <c r="D121" i="33" s="1"/>
  <c r="E30" i="33" s="1"/>
  <c r="D127" i="33" l="1"/>
  <c r="E29" i="33" s="1"/>
  <c r="D128" i="33" l="1"/>
  <c r="E37" i="33"/>
  <c r="E38" i="33"/>
  <c r="E39" i="33" l="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F46" i="33" l="1"/>
  <c r="E127" i="33"/>
  <c r="F29" i="33" s="1"/>
  <c r="E128" i="33" l="1"/>
  <c r="F38" i="33" l="1"/>
  <c r="F37" i="33"/>
  <c r="F39" i="33" s="1"/>
  <c r="F40" i="33" s="1"/>
  <c r="F41" i="33" l="1"/>
  <c r="F44" i="33"/>
  <c r="F52" i="33" s="1"/>
  <c r="F92" i="33" s="1"/>
  <c r="F42" i="33"/>
  <c r="F43" i="33"/>
  <c r="F51" i="33" l="1"/>
  <c r="F94" i="33"/>
  <c r="F125" i="33" s="1"/>
  <c r="G34" i="33" s="1"/>
  <c r="F50" i="33" l="1"/>
  <c r="F84" i="33"/>
  <c r="F85" i="33" l="1"/>
  <c r="F117" i="33" s="1"/>
  <c r="F49" i="33"/>
  <c r="F76" i="33"/>
  <c r="F86" i="33" l="1"/>
  <c r="F124" i="33" s="1"/>
  <c r="G33" i="33" s="1"/>
  <c r="F116" i="33"/>
  <c r="F48" i="33"/>
  <c r="F68" i="33"/>
  <c r="F70" i="33" s="1"/>
  <c r="F122" i="33" s="1"/>
  <c r="F78" i="33" l="1"/>
  <c r="F123" i="33" s="1"/>
  <c r="G32" i="33" s="1"/>
  <c r="G31" i="33"/>
  <c r="F60" i="33"/>
  <c r="F62" i="33" s="1"/>
  <c r="F121" i="33" s="1"/>
  <c r="G30" i="33" s="1"/>
  <c r="G46" i="33" l="1"/>
  <c r="F127" i="33"/>
  <c r="G29" i="33" s="1"/>
  <c r="F128" i="33" l="1"/>
  <c r="G38"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8" i="33" s="1"/>
</calcChain>
</file>

<file path=xl/sharedStrings.xml><?xml version="1.0" encoding="utf-8"?>
<sst xmlns="http://schemas.openxmlformats.org/spreadsheetml/2006/main" count="918" uniqueCount="249">
  <si>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</si>
  <si>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</si>
  <si>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</si>
  <si>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</si>
  <si>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</si>
  <si>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</si>
  <si>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</si>
  <si>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</si>
  <si>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</si>
  <si>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</si>
  <si>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</si>
  <si>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</si>
  <si>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</si>
  <si>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</si>
  <si>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</si>
  <si>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</si>
  <si>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</si>
  <si>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</si>
  <si>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</si>
  <si>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</si>
  <si>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</si>
  <si>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</si>
  <si>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</si>
  <si>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</si>
  <si>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</si>
  <si>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</si>
  <si>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</si>
  <si>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</si>
  <si>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</si>
  <si>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</si>
  <si>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</si>
  <si>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</si>
  <si>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</si>
  <si>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</si>
  <si>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</si>
  <si>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</si>
  <si>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</si>
  <si>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</si>
  <si>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Overview</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</si>
  <si>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</si>
  <si>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</si>
  <si>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</si>
  <si>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</si>
  <si>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</si>
  <si>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</si>
  <si>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</si>
  <si>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</si>
  <si>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</si>
  <si>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</si>
  <si>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</si>
  <si>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</si>
  <si>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</si>
  <si>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</si>
  <si>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</si>
  <si>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</si>
  <si>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</si>
  <si>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</si>
  <si>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</si>
  <si>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</si>
  <si>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</si>
  <si>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</si>
  <si>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</si>
  <si>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</si>
  <si>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</si>
  <si>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</si>
  <si>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</si>
  <si>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</si>
  <si>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</si>
  <si>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</si>
  <si>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</si>
  <si>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</si>
  <si>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</si>
  <si>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</si>
  <si>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</si>
  <si>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</si>
  <si>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</si>
  <si>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</si>
  <si>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</si>
  <si>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</si>
  <si>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</si>
  <si>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</si>
  <si>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</si>
  <si>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</si>
  <si>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</si>
  <si>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</si>
  <si>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</si>
  <si>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</si>
  <si>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</si>
  <si>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</si>
  <si>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</si>
  <si>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</si>
  <si>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</si>
  <si>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</si>
  <si>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</si>
  <si>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</si>
  <si>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</si>
  <si>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</si>
  <si>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</si>
  <si>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</si>
  <si>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</si>
  <si>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</si>
  <si>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</si>
  <si>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</si>
  <si>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</si>
  <si>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</si>
  <si>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</si>
  <si>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</si>
  <si>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</si>
  <si>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</si>
  <si>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Directions to complete the Interactive Water Budget:</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</si>
  <si>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</si>
  <si>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</si>
  <si>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</si>
  <si>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</si>
  <si>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</si>
  <si>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</si>
  <si>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</si>
  <si>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</si>
  <si>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</si>
  <si>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</si>
  <si>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</si>
  <si>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</si>
  <si>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</si>
  <si>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</si>
  <si>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</si>
  <si>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</si>
  <si>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</si>
  <si>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</si>
  <si>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</si>
  <si>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</si>
  <si>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</si>
  <si>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</si>
  <si>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</si>
  <si>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</si>
  <si>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</si>
  <si>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</si>
  <si>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</si>
  <si>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</si>
  <si>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</si>
  <si>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</si>
  <si>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</si>
  <si>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</si>
  <si>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</si>
  <si>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</si>
  <si>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</si>
  <si>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</si>
  <si>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</si>
  <si>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</si>
  <si>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</si>
  <si>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Repeat Steps #6-#11 for as many years  (columns D, E, F, …) as desired. Stop when you no longer gain new insights about the system.</t>
  </si>
  <si>
    <t>Role play again (steps #2-12) for different management decisions, hydrologic scenarios, or different political decisions regarding physical split of combined storage, allocations of natural flow, etc.</t>
  </si>
  <si>
    <t>David E. Rosenberg (2021). "Interactive Water Budget and Role Play for Lake Powell, Colorado River." Utah State University, Logan, UT. https://github.com/dzeke/ColoradoRiverFutures/tree/master/InteractiveWaterBudget</t>
  </si>
  <si>
    <t>A completed role play with Lee Ferry natural flow of 11.0 maf every year for 5 years and all political decisions follow the existing Law of the River operations (DCP, Equalization, Curtailment)</t>
  </si>
  <si>
    <t>Plots of Lower and Upper Basin Consumptive Use and Account Balances that compare results for 11.0-Trade and 11.0-LawOfRiver operations</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</si>
  <si>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</si>
  <si>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</si>
  <si>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</si>
  <si>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</si>
  <si>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Total Cutback (af/year)</t>
  </si>
  <si>
    <t xml:space="preserve">    Net transactions (should be zero)</t>
  </si>
  <si>
    <t xml:space="preserve">    Price ($/acre-foot)</t>
  </si>
  <si>
    <t>U.S. Treaty Comittment to Mexico</t>
  </si>
  <si>
    <t>Split of Lake Powell Natural Inflow</t>
  </si>
  <si>
    <t>Split of Grand Canyon Tributary Flow</t>
  </si>
  <si>
    <t>Remain</t>
  </si>
  <si>
    <t>Mohave &amp; Havasu Evap &amp; ET</t>
  </si>
  <si>
    <t>Colorado River Delta</t>
  </si>
  <si>
    <t>Sales (+) and Purchases (-) [in maf]</t>
  </si>
  <si>
    <t>Total ($ Mill)</t>
  </si>
  <si>
    <t>Define the Roles (water users), the person playing, and each user's strategy in Cells A5 to C11 (Up to 6 players):</t>
  </si>
  <si>
    <t>On the new worksheet, name each role (water user) and assign to a person (Rows 4-11). There can be up to 6 users. Leave a cell in Column A empty to exclude the user.</t>
  </si>
  <si>
    <t>This interactive water budget allows a facilitator and representatives of water users to role play Lake Powell and Lake Mead management year by year. A facilitator decides the hydrology to use (see HydrologicScenarios worksheet) and reveals natural inflow to Lake Powell and intervening flows along the Grand Canyon reach between Lake Powell and Lake Mead year-by-year to the players. Each player has a water storage account in the combined Lake Powell-Lake Mead system. Each year, each player’s account is credited with a portion of that year’s natural flow. The credit depends on the political decision about how to partition natural flow among the players and subtracts the player's share of reservoir evaporation. The player’s share of reservoir evaporation is prorated by their and aggregate account balances. Each year, each player decides the volume to consumptively use (deduct from their account) and water to store/conserve (remains in the account). A player’s consumptive use must stay within their available water. Additionally, players can voluntarily sell or buy stored water to the Lower Basin player with compensation so long as another play is willing to buy/sell at an agreed price. Sales and purchases move water from one account to another; they do not change physical storage. Finally, the interactive water budget calculates each player’s end-of-the-year account balance. The tool also applies a political decision of how to physically split and move the total storage – sum of all account balances – between Lake Powell and Lake Mead. The players then move to the next year and repeat the decision steps.</t>
  </si>
  <si>
    <t>Facilitator chooses a Hydrologic Scenario in Row 18. Facilitator may or may not reveal the hydrologic scenario to the players. See HydrologicScenarios worksheet for some potential hydrologies.</t>
  </si>
  <si>
    <t>Enter starting storages for Lake Powell and Lake Mead in Row 22.</t>
  </si>
  <si>
    <t>In Year 1, Facilitator enters the natural inflow to Lake Powell in Cell C25 and Grand Canyon tributary inflow in Cell C26.</t>
  </si>
  <si>
    <t>Specify political decisions to split starting storage among users (Cells B28 to B33), split combined storage between Powell and Mead (Cells B35 and B36),  partition the natural flow to Lake Powell among users (Cells B46 to B51), and partition the Grand Canyon tributary flow among users (Cells B53 to B58).</t>
  </si>
  <si>
    <t>Users can additionally sell and purchase water from other users with compensation. The net of all sales and purchases must equal 0 (Row 66). Enter the sale price in Row 67.</t>
  </si>
  <si>
    <t>Each player enters their account withdrawal/consumptive use in Rows 76 to 81. The spreadsheet will show a red background if a player tries to consume more than their available water (account balance) shown in Rows 69 to 74.</t>
  </si>
  <si>
    <t>Observe the ending storages in accounts, combined storage, and Lake Powell release in Rows 83 ot 88.</t>
  </si>
  <si>
    <t>Continue to Year 2 in Column D. Facilitator enters next natural Inflow to Lake Powell in Cell D25 and Grand Canyon tributary flow in Cell D26.</t>
  </si>
  <si>
    <t>Save up to make a 0.06 maf pulse flood</t>
  </si>
  <si>
    <t>Law of River operations</t>
  </si>
  <si>
    <t>Regular 0.6 maf per year operation</t>
  </si>
  <si>
    <t>Law of River operations + sell a small amount to Delta</t>
  </si>
  <si>
    <t>David R.</t>
  </si>
  <si>
    <t>Millennium drought years 1-6. In years 7-10, 14.4 maf each year Lake Powell natural inflow</t>
  </si>
  <si>
    <t>Available water (Account Balance + Available Inflow - Evaporation + Sales - Purchases + Grand Canyon Tributary flow)</t>
  </si>
  <si>
    <t>0.6 maf every year</t>
  </si>
  <si>
    <t>11.0 maf every year natural flow to Lake Powell</t>
  </si>
  <si>
    <t>Law of River operations + sell some to Lower Basin to build conservation ethic</t>
  </si>
  <si>
    <t>Law of River operations + purchase some from Upper Basint to delay shortage onset</t>
  </si>
  <si>
    <t>MellenniumRecover-LawOfRiver</t>
  </si>
  <si>
    <t>MellenniumRecover-Delta</t>
  </si>
  <si>
    <t>Add Colorado River Delta account, pulse flows, and purchases to MillenniumRecover-LawOfRiver scenario. The Delta account gets 0.21/9 maf each year. The user saves water, purchases 0.016 maf from Mexico in Years 3 and 6,  and makes pulse releases in Years 3 and 6 of 0.06 maf. The user also purchases 0.04 maf in Year 9 and makes a pulse release of 0.08 maf.</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</si>
  <si>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</si>
  <si>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</si>
  <si>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MellenniumRecover-Trade</t>
  </si>
  <si>
    <t>A completed role play of the Millennium Drought (12.4 maf every year natural flow at Lee Ferry) for 6 years followed by 14.4 maf every year in Years 7, 8, 9, and 10. This operations scenario assumes equalization expires in year 5. Upper Basin sales to the Lower basin in years 7-10 help the Lower Basin recover its account balance whereas with out sales the Lower Basin's account balance continues to fall and consumptive use starts to fall in Year 10.</t>
  </si>
  <si>
    <t>Millennium-Plots</t>
  </si>
  <si>
    <t>Plots of Lower and Upper Basin Consumptive Use and Account Balances that compare results for MillenniumRecover-Trade and MillenniumRecover-LawOfRiver operations</t>
  </si>
  <si>
    <t>Shared, Reserve</t>
  </si>
  <si>
    <t>12 maf initial, inflow is evap</t>
  </si>
  <si>
    <t>11.0-TradeReserve</t>
  </si>
  <si>
    <t>A completed role play with Lee ferry natural flow of 11.0 maf, trade, and a combined share reserve account with 12 maf</t>
  </si>
  <si>
    <t>Versions</t>
  </si>
  <si>
    <t>List of the versions and changes made</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</si>
  <si>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</si>
  <si>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</si>
  <si>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</si>
  <si>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</si>
  <si>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</si>
  <si>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</si>
  <si>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</si>
  <si>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</si>
  <si>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</si>
  <si>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</si>
  <si>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</si>
  <si>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</si>
  <si>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</si>
  <si>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</si>
  <si>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</si>
  <si>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</si>
  <si>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all Powell storage</t>
  </si>
  <si>
    <t>Initialize: Conservation account balance + remaining Mead storage - Mexico conservation account balance</t>
  </si>
  <si>
    <t>Initialize:  Mexico conservation account balance</t>
  </si>
  <si>
    <t>Initialize: Conservation account balance + remaining Mead storage - Mexico conservation account balance - portion of shared, reservoir balance</t>
  </si>
  <si>
    <t xml:space="preserve">   Protection elevation (feet)</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</si>
  <si>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</si>
  <si>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</si>
  <si>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</si>
  <si>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</si>
  <si>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</si>
  <si>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</si>
  <si>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</si>
  <si>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</si>
  <si>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</si>
  <si>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Lower Basin Drought Contingency Plan Helper</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</si>
  <si>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</si>
  <si>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</si>
  <si>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</si>
  <si>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</si>
  <si>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</si>
  <si>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</si>
  <si>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</si>
  <si>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</si>
  <si>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Combine all natural flows</t>
  </si>
  <si>
    <t xml:space="preserve">   Protect elevation (feet)</t>
  </si>
  <si>
    <t>3.3.3</t>
  </si>
  <si>
    <t>Error check withdraws. Validate new 11.0-TradeReserveUser against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</si>
</sst>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cellStyleXfs>
  <cellXfs count="122">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4" fillId="3" borderId="1" xfId="3" applyAlignment="1">
      <alignment horizontal="center"/>
    </xf>
    <xf numFmtId="44" fontId="4" fillId="3" borderId="1" xfId="4" applyFont="1" applyFill="1" applyBorder="1"/>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2" fontId="5" fillId="5" borderId="0" xfId="5" applyNumberFormat="1" applyFont="1" applyFill="1" applyAlignment="1">
      <alignment horizontal="center"/>
    </xf>
    <xf numFmtId="2" fontId="5" fillId="5" borderId="1" xfId="4" applyNumberFormat="1" applyFont="1" applyFill="1" applyBorder="1" applyAlignment="1">
      <alignment horizontal="center"/>
    </xf>
    <xf numFmtId="0" fontId="1" fillId="0" borderId="0" xfId="0" applyFont="1" applyAlignment="1">
      <alignment horizontal="left" wrapText="1"/>
    </xf>
    <xf numFmtId="0" fontId="1" fillId="0" borderId="9" xfId="0" applyFont="1" applyBorder="1" applyAlignment="1">
      <alignment horizontal="center"/>
    </xf>
    <xf numFmtId="0" fontId="3" fillId="2" borderId="9" xfId="2" applyBorder="1" applyAlignment="1">
      <alignment horizontal="center"/>
    </xf>
    <xf numFmtId="0" fontId="5" fillId="5" borderId="9" xfId="6" applyBorder="1" applyAlignment="1">
      <alignment horizontal="center"/>
    </xf>
    <xf numFmtId="170" fontId="5" fillId="5" borderId="1" xfId="4" applyNumberFormat="1" applyFont="1" applyFill="1" applyBorder="1" applyAlignment="1">
      <alignment horizontal="center"/>
    </xf>
    <xf numFmtId="170" fontId="5" fillId="5" borderId="1" xfId="6" applyNumberFormat="1" applyBorder="1" applyAlignment="1">
      <alignment horizontal="center"/>
    </xf>
    <xf numFmtId="171" fontId="0" fillId="0" borderId="0" xfId="0" applyNumberFormat="1" applyAlignment="1">
      <alignment horizontal="center"/>
    </xf>
    <xf numFmtId="164" fontId="5" fillId="5" borderId="1" xfId="4" applyNumberFormat="1" applyFon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70" fontId="5" fillId="5" borderId="0" xfId="5" applyNumberFormat="1" applyFont="1" applyFill="1" applyAlignment="1">
      <alignment horizontal="center"/>
    </xf>
    <xf numFmtId="2" fontId="0" fillId="0" borderId="0" xfId="0" applyNumberFormat="1"/>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164" fontId="0" fillId="0" borderId="0" xfId="1" applyNumberFormat="1" applyFont="1" applyAlignment="1">
      <alignment horizontal="center"/>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0" borderId="0" xfId="0" applyFont="1" applyAlignment="1">
      <alignment horizontal="left"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3" fillId="2" borderId="1" xfId="2" applyAlignment="1">
      <alignment horizontal="center"/>
    </xf>
  </cellXfs>
  <cellStyles count="7">
    <cellStyle name="Accent2" xfId="6" builtinId="33"/>
    <cellStyle name="Calculation" xfId="3" builtinId="22"/>
    <cellStyle name="Comma" xfId="1" builtinId="3"/>
    <cellStyle name="Currency" xfId="4" builtinId="4"/>
    <cellStyle name="Input" xfId="2" builtinId="20"/>
    <cellStyle name="Normal" xfId="0" builtinId="0"/>
    <cellStyle name="Percent" xfId="5" builtinId="5"/>
  </cellStyles>
  <dxfs count="4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'11.0-LawOfRiver'!$C$76:$G$76</c:f>
              <c:numCache>
                <c:formatCode>0.0</c:formatCode>
                <c:ptCount val="5"/>
                <c:pt idx="0">
                  <c:v>4.2</c:v>
                </c:pt>
                <c:pt idx="1">
                  <c:v>4.2</c:v>
                </c:pt>
                <c:pt idx="2">
                  <c:v>3.4213727493546848</c:v>
                </c:pt>
                <c:pt idx="3">
                  <c:v>2.4265133965237027</c:v>
                </c:pt>
                <c:pt idx="4">
                  <c:v>2.4230730928820652</c:v>
                </c:pt>
              </c:numCache>
            </c:numRef>
          </c:val>
          <c:smooth val="0"/>
          <c:extLst>
            <c:ext xmlns:c16="http://schemas.microsoft.com/office/drawing/2014/chart" uri="{C3380CC4-5D6E-409C-BE32-E72D297353CC}">
              <c16:uniqueId val="{00000000-CC4C-4AEA-B975-7C4A7FB55AED}"/>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'11.0-Trade'!$C$76:$G$76</c:f>
              <c:numCache>
                <c:formatCode>0.0</c:formatCode>
                <c:ptCount val="5"/>
                <c:pt idx="0">
                  <c:v>3.7</c:v>
                </c:pt>
                <c:pt idx="1">
                  <c:v>3.3</c:v>
                </c:pt>
                <c:pt idx="2">
                  <c:v>3</c:v>
                </c:pt>
                <c:pt idx="3">
                  <c:v>2.8</c:v>
                </c:pt>
                <c:pt idx="4">
                  <c:v>2.8</c:v>
                </c:pt>
              </c:numCache>
            </c:numRef>
          </c:val>
          <c:smooth val="0"/>
          <c:extLst>
            <c:ext xmlns:c16="http://schemas.microsoft.com/office/drawing/2014/chart" uri="{C3380CC4-5D6E-409C-BE32-E72D297353CC}">
              <c16:uniqueId val="{00000001-CC4C-4AEA-B975-7C4A7FB55AED}"/>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'11.0-TradeReserve'!$C$78:$G$78</c:f>
              <c:numCache>
                <c:formatCode>0.0</c:formatCode>
                <c:ptCount val="5"/>
                <c:pt idx="0">
                  <c:v>3.7</c:v>
                </c:pt>
                <c:pt idx="1">
                  <c:v>3.3</c:v>
                </c:pt>
                <c:pt idx="2">
                  <c:v>3</c:v>
                </c:pt>
                <c:pt idx="3">
                  <c:v>2.8</c:v>
                </c:pt>
                <c:pt idx="4">
                  <c:v>2.8</c:v>
                </c:pt>
              </c:numCache>
            </c:numRef>
          </c:val>
          <c:smooth val="0"/>
          <c:extLst>
            <c:ext xmlns:c16="http://schemas.microsoft.com/office/drawing/2014/chart" uri="{C3380CC4-5D6E-409C-BE32-E72D297353CC}">
              <c16:uniqueId val="{00000000-70C4-4BB9-9852-15FB71419EF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3067390379738842"/>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'11.0-Trade'!$C$28:$G$28</c:f>
              <c:numCache>
                <c:formatCode>0.0</c:formatCode>
                <c:ptCount val="5"/>
                <c:pt idx="0">
                  <c:v>11</c:v>
                </c:pt>
                <c:pt idx="1">
                  <c:v>9.0322571336493027</c:v>
                </c:pt>
                <c:pt idx="2">
                  <c:v>7.6425607766800914</c:v>
                </c:pt>
                <c:pt idx="3">
                  <c:v>6.6113060670383863</c:v>
                </c:pt>
                <c:pt idx="4">
                  <c:v>6.2249460986089646</c:v>
                </c:pt>
              </c:numCache>
            </c:numRef>
          </c:val>
          <c:smooth val="0"/>
          <c:extLst>
            <c:ext xmlns:c16="http://schemas.microsoft.com/office/drawing/2014/chart" uri="{C3380CC4-5D6E-409C-BE32-E72D297353CC}">
              <c16:uniqueId val="{00000000-A243-4D6A-9A25-2CBF47155BF4}"/>
            </c:ext>
          </c:extLst>
        </c:ser>
        <c:ser>
          <c:idx val="1"/>
          <c:order val="1"/>
          <c:tx>
            <c:v>With Trade</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'11.0-LawOfRiver'!$C$28:$G$28</c:f>
              <c:numCache>
                <c:formatCode>0.0</c:formatCode>
                <c:ptCount val="5"/>
                <c:pt idx="0">
                  <c:v>11</c:v>
                </c:pt>
                <c:pt idx="1">
                  <c:v>9.0322571336493027</c:v>
                </c:pt>
                <c:pt idx="2">
                  <c:v>7.1385464313993898</c:v>
                </c:pt>
                <c:pt idx="3">
                  <c:v>6.1</c:v>
                </c:pt>
                <c:pt idx="4">
                  <c:v>6.1</c:v>
                </c:pt>
              </c:numCache>
            </c:numRef>
          </c:val>
          <c:smooth val="0"/>
          <c:extLst>
            <c:ext xmlns:c16="http://schemas.microsoft.com/office/drawing/2014/chart" uri="{C3380CC4-5D6E-409C-BE32-E72D297353CC}">
              <c16:uniqueId val="{00000001-A243-4D6A-9A25-2CBF47155BF4}"/>
            </c:ext>
          </c:extLst>
        </c:ser>
        <c:ser>
          <c:idx val="2"/>
          <c:order val="2"/>
          <c:tx>
            <c:v>Trade, Reserve</c:v>
          </c:tx>
          <c:spPr>
            <a:ln w="19050" cap="rnd">
              <a:solidFill>
                <a:schemeClr val="tx1"/>
              </a:solidFill>
              <a:prstDash val="lgDash"/>
              <a:round/>
            </a:ln>
            <a:effectLst/>
          </c:spPr>
          <c:marker>
            <c:symbol val="x"/>
            <c:size val="6"/>
            <c:spPr>
              <a:noFill/>
              <a:ln w="9525">
                <a:solidFill>
                  <a:schemeClr val="tx1"/>
                </a:solidFill>
              </a:ln>
              <a:effectLst/>
            </c:spPr>
          </c:marker>
          <c:val>
            <c:numRef>
              <c:f>'11.0-TradeReserve'!$C$85:$G$85</c:f>
              <c:numCache>
                <c:formatCode>0.0</c:formatCode>
                <c:ptCount val="5"/>
                <c:pt idx="0">
                  <c:v>3.2624438809560035</c:v>
                </c:pt>
                <c:pt idx="1">
                  <c:v>2.0260680412696601</c:v>
                </c:pt>
                <c:pt idx="2">
                  <c:v>1.1421434824408987</c:v>
                </c:pt>
                <c:pt idx="3">
                  <c:v>0.897830679580228</c:v>
                </c:pt>
                <c:pt idx="4">
                  <c:v>0.66184056983486839</c:v>
                </c:pt>
              </c:numCache>
            </c:numRef>
          </c:val>
          <c:smooth val="0"/>
          <c:extLst>
            <c:ext xmlns:c16="http://schemas.microsoft.com/office/drawing/2014/chart" uri="{C3380CC4-5D6E-409C-BE32-E72D297353CC}">
              <c16:uniqueId val="{00000000-04A7-4822-A6EB-C6AA51C40F6F}"/>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'11.0-Trade'!$C$77:$G$77</c:f>
              <c:numCache>
                <c:formatCode>0.0</c:formatCode>
                <c:ptCount val="5"/>
                <c:pt idx="0">
                  <c:v>6.867</c:v>
                </c:pt>
                <c:pt idx="1">
                  <c:v>6.867</c:v>
                </c:pt>
                <c:pt idx="2">
                  <c:v>6.867</c:v>
                </c:pt>
                <c:pt idx="3">
                  <c:v>6.867</c:v>
                </c:pt>
                <c:pt idx="4">
                  <c:v>6.867</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'11.0-LawOfRiver'!$C$77:$G$77</c:f>
              <c:numCache>
                <c:formatCode>0.0</c:formatCode>
                <c:ptCount val="5"/>
                <c:pt idx="0">
                  <c:v>6.867</c:v>
                </c:pt>
                <c:pt idx="1">
                  <c:v>6.867</c:v>
                </c:pt>
                <c:pt idx="2">
                  <c:v>6.7830000000000004</c:v>
                </c:pt>
                <c:pt idx="3">
                  <c:v>6.7830000000000004</c:v>
                </c:pt>
                <c:pt idx="4">
                  <c:v>6.7830000000000004</c:v>
                </c:pt>
              </c:numCache>
            </c:numRef>
          </c:val>
          <c:smooth val="0"/>
          <c:extLst>
            <c:ext xmlns:c16="http://schemas.microsoft.com/office/drawing/2014/chart" uri="{C3380CC4-5D6E-409C-BE32-E72D297353CC}">
              <c16:uniqueId val="{00000001-B987-46E0-BA8D-5A8EF0E19845}"/>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'11.0-TradeReserve'!$C$79:$G$79</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3D35-4113-A3D3-11A0935FD7C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'11.0-LawOfRiver'!$C$29:$G$29</c:f>
              <c:numCache>
                <c:formatCode>0.0</c:formatCode>
                <c:ptCount val="5"/>
                <c:pt idx="0">
                  <c:v>10.058999999999999</c:v>
                </c:pt>
                <c:pt idx="1">
                  <c:v>9.6698308643071194</c:v>
                </c:pt>
                <c:pt idx="2">
                  <c:v>9.2767404490576055</c:v>
                </c:pt>
                <c:pt idx="3">
                  <c:v>8.9640950761011382</c:v>
                </c:pt>
                <c:pt idx="4">
                  <c:v>8.6506809620768621</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'11.0-Trade'!$C$29:$G$29</c:f>
              <c:numCache>
                <c:formatCode>0.0</c:formatCode>
                <c:ptCount val="5"/>
                <c:pt idx="0">
                  <c:v>10.058999999999999</c:v>
                </c:pt>
                <c:pt idx="1">
                  <c:v>10.169830864307119</c:v>
                </c:pt>
                <c:pt idx="2">
                  <c:v>10.155867467276902</c:v>
                </c:pt>
                <c:pt idx="3">
                  <c:v>10.127301773918607</c:v>
                </c:pt>
                <c:pt idx="4">
                  <c:v>9.687083092847427</c:v>
                </c:pt>
              </c:numCache>
            </c:numRef>
          </c:val>
          <c:smooth val="0"/>
          <c:extLst>
            <c:ext xmlns:c16="http://schemas.microsoft.com/office/drawing/2014/chart" uri="{C3380CC4-5D6E-409C-BE32-E72D297353CC}">
              <c16:uniqueId val="{00000001-D877-4E0B-8DD9-991F585A264B}"/>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'11.0-TradeReserve'!$C$86:$G$86</c:f>
              <c:numCache>
                <c:formatCode>0.0</c:formatCode>
                <c:ptCount val="5"/>
                <c:pt idx="0">
                  <c:v>4.566312706382833</c:v>
                </c:pt>
                <c:pt idx="1">
                  <c:v>4.6147112984892829</c:v>
                </c:pt>
                <c:pt idx="2">
                  <c:v>4.6478089418716007</c:v>
                </c:pt>
                <c:pt idx="3">
                  <c:v>4.270082441107439</c:v>
                </c:pt>
                <c:pt idx="4">
                  <c:v>3.9050918884116754</c:v>
                </c:pt>
              </c:numCache>
            </c:numRef>
          </c:val>
          <c:smooth val="0"/>
          <c:extLst>
            <c:ext xmlns:c16="http://schemas.microsoft.com/office/drawing/2014/chart" uri="{C3380CC4-5D6E-409C-BE32-E72D297353CC}">
              <c16:uniqueId val="{00000000-4CE3-4BC1-B35E-9665CC053CA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2"/>
          <c:min val="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'MillenniumRecover-LawOfRiver'!$C$76:$L$76</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'MillenniumRecover-Trade'!$C$76:$L$76</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'MillenniumRecover-Trade'!$C$28:$L$28</c:f>
              <c:numCache>
                <c:formatCode>0.0</c:formatCode>
                <c:ptCount val="10"/>
                <c:pt idx="0">
                  <c:v>11</c:v>
                </c:pt>
                <c:pt idx="1">
                  <c:v>10.432257133649305</c:v>
                </c:pt>
                <c:pt idx="2">
                  <c:v>9.883093333626892</c:v>
                </c:pt>
                <c:pt idx="3">
                  <c:v>9.3510855529839212</c:v>
                </c:pt>
                <c:pt idx="4">
                  <c:v>8.8372366863848768</c:v>
                </c:pt>
                <c:pt idx="5">
                  <c:v>8.3417616560002301</c:v>
                </c:pt>
                <c:pt idx="6">
                  <c:v>7.8638689563828423</c:v>
                </c:pt>
                <c:pt idx="7">
                  <c:v>8.9036315279864233</c:v>
                </c:pt>
                <c:pt idx="8">
                  <c:v>9.902385129376853</c:v>
                </c:pt>
                <c:pt idx="9">
                  <c:v>10.862467282554409</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'MillenniumRecover-LawOfRiver'!$C$28:$L$28</c:f>
              <c:numCache>
                <c:formatCode>0.0</c:formatCode>
                <c:ptCount val="10"/>
                <c:pt idx="0">
                  <c:v>11</c:v>
                </c:pt>
                <c:pt idx="1">
                  <c:v>10.432257133649305</c:v>
                </c:pt>
                <c:pt idx="2">
                  <c:v>9.883093333626892</c:v>
                </c:pt>
                <c:pt idx="3">
                  <c:v>9.3510855529839212</c:v>
                </c:pt>
                <c:pt idx="4">
                  <c:v>8.8372366863848768</c:v>
                </c:pt>
                <c:pt idx="5">
                  <c:v>8.3417616560002301</c:v>
                </c:pt>
                <c:pt idx="6">
                  <c:v>7.8638689563828423</c:v>
                </c:pt>
                <c:pt idx="7">
                  <c:v>9.4036315279864233</c:v>
                </c:pt>
                <c:pt idx="8">
                  <c:v>10.876202195079536</c:v>
                </c:pt>
                <c:pt idx="9">
                  <c:v>12.286629885257579</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'MillenniumRecover-Trade'!$C$77:$L$77</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6.7830000000000004</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'MillenniumRecover-LawOfRiver'!$C$77:$L$77</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6.5330000000000004</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10.058999999999999</c:v>
                </c:pt>
                <c:pt idx="1">
                  <c:v>9.6698308643071194</c:v>
                </c:pt>
                <c:pt idx="2">
                  <c:v>9.2912439743301327</c:v>
                </c:pt>
                <c:pt idx="3">
                  <c:v>9.0079995204725307</c:v>
                </c:pt>
                <c:pt idx="4">
                  <c:v>8.7307193475704032</c:v>
                </c:pt>
                <c:pt idx="5">
                  <c:v>8.4597945334544526</c:v>
                </c:pt>
                <c:pt idx="6">
                  <c:v>8.1946350640712673</c:v>
                </c:pt>
                <c:pt idx="7">
                  <c:v>7.9355115124682873</c:v>
                </c:pt>
                <c:pt idx="8">
                  <c:v>7.703961559375176</c:v>
                </c:pt>
                <c:pt idx="9">
                  <c:v>7.4951402711965605</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10.058999999999999</c:v>
                </c:pt>
                <c:pt idx="1">
                  <c:v>9.6698308643071194</c:v>
                </c:pt>
                <c:pt idx="2">
                  <c:v>9.2912439743301327</c:v>
                </c:pt>
                <c:pt idx="3">
                  <c:v>9.0079995204725307</c:v>
                </c:pt>
                <c:pt idx="4">
                  <c:v>8.7307193475704032</c:v>
                </c:pt>
                <c:pt idx="5">
                  <c:v>8.4597945334544526</c:v>
                </c:pt>
                <c:pt idx="6">
                  <c:v>8.1946350640712673</c:v>
                </c:pt>
                <c:pt idx="7">
                  <c:v>8.4355115124682882</c:v>
                </c:pt>
                <c:pt idx="8">
                  <c:v>8.6777786250778597</c:v>
                </c:pt>
                <c:pt idx="9">
                  <c:v>8.9193028738997313</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4"/>
          <c:min val="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37"/>
  <sheetViews>
    <sheetView topLeftCell="A14" zoomScale="150" zoomScaleNormal="150" workbookViewId="0">
      <selection activeCell="B14" sqref="B14:L1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110</v>
      </c>
      <c r="B1" s="1"/>
      <c r="C1" s="2"/>
      <c r="D1"/>
    </row>
    <row r="2" spans="1:12" x14ac:dyDescent="0.35">
      <c r="A2" s="1"/>
      <c r="B2" s="1"/>
      <c r="C2" s="2"/>
      <c r="D2"/>
    </row>
    <row r="3" spans="1:12" x14ac:dyDescent="0.35">
      <c r="A3" s="1" t="s">
        <v>38</v>
      </c>
      <c r="B3" s="1"/>
      <c r="C3" s="2"/>
      <c r="D3"/>
    </row>
    <row r="4" spans="1:12" ht="187.5" customHeight="1" x14ac:dyDescent="0.35">
      <c r="A4" s="112" t="s">
        <v>171</v>
      </c>
      <c r="B4" s="112"/>
      <c r="C4" s="112"/>
      <c r="D4" s="112"/>
      <c r="E4" s="112"/>
      <c r="F4" s="112"/>
      <c r="G4" s="112"/>
      <c r="H4" s="112"/>
      <c r="I4" s="112"/>
      <c r="J4" s="112"/>
      <c r="K4" s="112"/>
      <c r="L4" s="112"/>
    </row>
    <row r="5" spans="1:12" ht="13.5" customHeight="1" x14ac:dyDescent="0.35">
      <c r="B5" s="15"/>
      <c r="C5" s="15"/>
      <c r="D5" s="15"/>
      <c r="E5" s="15"/>
      <c r="F5" s="15"/>
      <c r="G5" s="15"/>
      <c r="H5" s="15"/>
      <c r="I5" s="15"/>
      <c r="J5" s="15"/>
      <c r="K5" s="15"/>
      <c r="L5" s="15"/>
    </row>
    <row r="6" spans="1:12" ht="16.5" customHeight="1" x14ac:dyDescent="0.35">
      <c r="A6" s="103" t="s">
        <v>109</v>
      </c>
      <c r="B6" s="104"/>
      <c r="C6" s="104"/>
      <c r="D6" s="104"/>
      <c r="E6" s="104"/>
      <c r="F6" s="104"/>
      <c r="G6" s="104"/>
      <c r="H6" s="104"/>
      <c r="I6" s="104"/>
      <c r="J6" s="104"/>
      <c r="K6" s="104"/>
      <c r="L6" s="105"/>
    </row>
    <row r="7" spans="1:12" ht="16.5" customHeight="1" x14ac:dyDescent="0.35">
      <c r="A7" s="28">
        <v>1</v>
      </c>
      <c r="B7" s="106" t="s">
        <v>148</v>
      </c>
      <c r="C7" s="106"/>
      <c r="D7" s="106"/>
      <c r="E7" s="106"/>
      <c r="F7" s="106"/>
      <c r="G7" s="106"/>
      <c r="H7" s="106"/>
      <c r="I7" s="106"/>
      <c r="J7" s="106"/>
      <c r="K7" s="106"/>
      <c r="L7" s="107"/>
    </row>
    <row r="8" spans="1:12" ht="16.5" customHeight="1" x14ac:dyDescent="0.35">
      <c r="A8" s="28">
        <v>2</v>
      </c>
      <c r="B8" s="106" t="s">
        <v>93</v>
      </c>
      <c r="C8" s="106"/>
      <c r="D8" s="106"/>
      <c r="E8" s="106"/>
      <c r="F8" s="106"/>
      <c r="G8" s="106"/>
      <c r="H8" s="106"/>
      <c r="I8" s="106"/>
      <c r="J8" s="106"/>
      <c r="K8" s="106"/>
      <c r="L8" s="107"/>
    </row>
    <row r="9" spans="1:12" ht="31" customHeight="1" x14ac:dyDescent="0.35">
      <c r="A9" s="28">
        <v>3</v>
      </c>
      <c r="B9" s="106" t="s">
        <v>170</v>
      </c>
      <c r="C9" s="106"/>
      <c r="D9" s="106"/>
      <c r="E9" s="106"/>
      <c r="F9" s="106"/>
      <c r="G9" s="106"/>
      <c r="H9" s="106"/>
      <c r="I9" s="106"/>
      <c r="J9" s="106"/>
      <c r="K9" s="106"/>
      <c r="L9" s="107"/>
    </row>
    <row r="10" spans="1:12" ht="32.5" customHeight="1" x14ac:dyDescent="0.35">
      <c r="A10" s="28">
        <v>4</v>
      </c>
      <c r="B10" s="106" t="s">
        <v>172</v>
      </c>
      <c r="C10" s="106"/>
      <c r="D10" s="106"/>
      <c r="E10" s="106"/>
      <c r="F10" s="106"/>
      <c r="G10" s="106"/>
      <c r="H10" s="106"/>
      <c r="I10" s="106"/>
      <c r="J10" s="106"/>
      <c r="K10" s="106"/>
      <c r="L10" s="107"/>
    </row>
    <row r="11" spans="1:12" ht="16.5" customHeight="1" x14ac:dyDescent="0.35">
      <c r="A11" s="28">
        <v>5</v>
      </c>
      <c r="B11" s="106" t="s">
        <v>173</v>
      </c>
      <c r="C11" s="106"/>
      <c r="D11" s="106"/>
      <c r="E11" s="106"/>
      <c r="F11" s="106"/>
      <c r="G11" s="106"/>
      <c r="H11" s="106"/>
      <c r="I11" s="106"/>
      <c r="J11" s="106"/>
      <c r="K11" s="106"/>
      <c r="L11" s="107"/>
    </row>
    <row r="12" spans="1:12" ht="16.5" customHeight="1" x14ac:dyDescent="0.35">
      <c r="A12" s="28">
        <v>6</v>
      </c>
      <c r="B12" s="106" t="s">
        <v>174</v>
      </c>
      <c r="C12" s="106"/>
      <c r="D12" s="106"/>
      <c r="E12" s="106"/>
      <c r="F12" s="106"/>
      <c r="G12" s="106"/>
      <c r="H12" s="106"/>
      <c r="I12" s="106"/>
      <c r="J12" s="106"/>
      <c r="K12" s="106"/>
      <c r="L12" s="107"/>
    </row>
    <row r="13" spans="1:12" ht="47" customHeight="1" x14ac:dyDescent="0.35">
      <c r="A13" s="28">
        <v>7</v>
      </c>
      <c r="B13" s="106" t="s">
        <v>175</v>
      </c>
      <c r="C13" s="106"/>
      <c r="D13" s="106"/>
      <c r="E13" s="106"/>
      <c r="F13" s="106"/>
      <c r="G13" s="106"/>
      <c r="H13" s="106"/>
      <c r="I13" s="106"/>
      <c r="J13" s="106"/>
      <c r="K13" s="106"/>
      <c r="L13" s="107"/>
    </row>
    <row r="14" spans="1:12" ht="32.5" customHeight="1" x14ac:dyDescent="0.35">
      <c r="A14" s="28">
        <v>8</v>
      </c>
      <c r="B14" s="106" t="s">
        <v>177</v>
      </c>
      <c r="C14" s="106"/>
      <c r="D14" s="106"/>
      <c r="E14" s="106"/>
      <c r="F14" s="106"/>
      <c r="G14" s="106"/>
      <c r="H14" s="106"/>
      <c r="I14" s="106"/>
      <c r="J14" s="106"/>
      <c r="K14" s="106"/>
      <c r="L14" s="107"/>
    </row>
    <row r="15" spans="1:12" ht="16.5" customHeight="1" x14ac:dyDescent="0.35">
      <c r="A15" s="28">
        <v>9</v>
      </c>
      <c r="B15" s="106" t="s">
        <v>176</v>
      </c>
      <c r="C15" s="106"/>
      <c r="D15" s="106"/>
      <c r="E15" s="106"/>
      <c r="F15" s="106"/>
      <c r="G15" s="106"/>
      <c r="H15" s="106"/>
      <c r="I15" s="106"/>
      <c r="J15" s="106"/>
      <c r="K15" s="106"/>
      <c r="L15" s="107"/>
    </row>
    <row r="16" spans="1:12" ht="16.5" customHeight="1" x14ac:dyDescent="0.35">
      <c r="A16" s="28">
        <v>10</v>
      </c>
      <c r="B16" s="106" t="s">
        <v>178</v>
      </c>
      <c r="C16" s="106"/>
      <c r="D16" s="106"/>
      <c r="E16" s="106"/>
      <c r="F16" s="106"/>
      <c r="G16" s="106"/>
      <c r="H16" s="106"/>
      <c r="I16" s="106"/>
      <c r="J16" s="106"/>
      <c r="K16" s="106"/>
      <c r="L16" s="107"/>
    </row>
    <row r="17" spans="1:12" ht="32" customHeight="1" x14ac:dyDescent="0.35">
      <c r="A17" s="28">
        <v>11</v>
      </c>
      <c r="B17" s="106" t="s">
        <v>179</v>
      </c>
      <c r="C17" s="106"/>
      <c r="D17" s="106"/>
      <c r="E17" s="106"/>
      <c r="F17" s="106"/>
      <c r="G17" s="106"/>
      <c r="H17" s="106"/>
      <c r="I17" s="106"/>
      <c r="J17" s="106"/>
      <c r="K17" s="106"/>
      <c r="L17" s="107"/>
    </row>
    <row r="18" spans="1:12" ht="16.5" customHeight="1" x14ac:dyDescent="0.35">
      <c r="A18" s="28">
        <v>12</v>
      </c>
      <c r="B18" s="108" t="s">
        <v>149</v>
      </c>
      <c r="C18" s="108"/>
      <c r="D18" s="108"/>
      <c r="E18" s="108"/>
      <c r="F18" s="108"/>
      <c r="G18" s="108"/>
      <c r="H18" s="108"/>
      <c r="I18" s="108"/>
      <c r="J18" s="108"/>
      <c r="K18" s="108"/>
      <c r="L18" s="109"/>
    </row>
    <row r="19" spans="1:12" ht="32" customHeight="1" x14ac:dyDescent="0.35">
      <c r="A19" s="28">
        <v>13</v>
      </c>
      <c r="B19" s="110" t="s">
        <v>150</v>
      </c>
      <c r="C19" s="110"/>
      <c r="D19" s="110"/>
      <c r="E19" s="110"/>
      <c r="F19" s="110"/>
      <c r="G19" s="110"/>
      <c r="H19" s="110"/>
      <c r="I19" s="110"/>
      <c r="J19" s="110"/>
      <c r="K19" s="110"/>
      <c r="L19" s="111"/>
    </row>
    <row r="20" spans="1:12" ht="16.5" customHeight="1" x14ac:dyDescent="0.35">
      <c r="B20" s="26"/>
      <c r="C20" s="26"/>
      <c r="D20" s="26"/>
      <c r="E20" s="26"/>
      <c r="F20" s="26"/>
      <c r="G20" s="26"/>
      <c r="H20" s="26"/>
      <c r="I20" s="26"/>
      <c r="J20" s="26"/>
      <c r="K20" s="26"/>
      <c r="L20" s="26"/>
    </row>
    <row r="21" spans="1:12" x14ac:dyDescent="0.35">
      <c r="A21" s="1" t="s">
        <v>94</v>
      </c>
    </row>
    <row r="22" spans="1:12" x14ac:dyDescent="0.35">
      <c r="B22" s="2" t="s">
        <v>95</v>
      </c>
      <c r="C22" t="s">
        <v>194</v>
      </c>
    </row>
    <row r="23" spans="1:12" x14ac:dyDescent="0.35">
      <c r="B23" s="2" t="s">
        <v>204</v>
      </c>
      <c r="C23" t="s">
        <v>205</v>
      </c>
    </row>
    <row r="24" spans="1:12" x14ac:dyDescent="0.35">
      <c r="B24" s="2" t="s">
        <v>143</v>
      </c>
      <c r="C24" t="s">
        <v>195</v>
      </c>
    </row>
    <row r="25" spans="1:12" x14ac:dyDescent="0.35">
      <c r="B25" s="2" t="s">
        <v>202</v>
      </c>
      <c r="C25" t="s">
        <v>203</v>
      </c>
    </row>
    <row r="26" spans="1:12" x14ac:dyDescent="0.35">
      <c r="B26" s="2" t="s">
        <v>144</v>
      </c>
      <c r="C26" t="s">
        <v>152</v>
      </c>
    </row>
    <row r="27" spans="1:12" x14ac:dyDescent="0.35">
      <c r="B27" s="2" t="s">
        <v>146</v>
      </c>
      <c r="C27" t="s">
        <v>153</v>
      </c>
    </row>
    <row r="28" spans="1:12" x14ac:dyDescent="0.35">
      <c r="B28" s="2" t="s">
        <v>196</v>
      </c>
      <c r="C28" t="s">
        <v>197</v>
      </c>
    </row>
    <row r="29" spans="1:12" x14ac:dyDescent="0.35">
      <c r="B29" s="2" t="s">
        <v>191</v>
      </c>
      <c r="C29" t="s">
        <v>154</v>
      </c>
    </row>
    <row r="30" spans="1:12" x14ac:dyDescent="0.35">
      <c r="B30" s="2" t="s">
        <v>198</v>
      </c>
      <c r="C30" t="s">
        <v>199</v>
      </c>
    </row>
    <row r="31" spans="1:12" x14ac:dyDescent="0.35">
      <c r="B31" s="2" t="s">
        <v>192</v>
      </c>
      <c r="C31" t="s">
        <v>193</v>
      </c>
    </row>
    <row r="32" spans="1:12" x14ac:dyDescent="0.35">
      <c r="B32" s="2" t="s">
        <v>96</v>
      </c>
      <c r="C32" t="s">
        <v>97</v>
      </c>
    </row>
    <row r="33" spans="1:12" x14ac:dyDescent="0.35">
      <c r="B33" s="2" t="s">
        <v>98</v>
      </c>
      <c r="C33" t="s">
        <v>99</v>
      </c>
    </row>
    <row r="34" spans="1:12" x14ac:dyDescent="0.35">
      <c r="B34" s="2" t="s">
        <v>155</v>
      </c>
      <c r="C34" t="s">
        <v>156</v>
      </c>
    </row>
    <row r="36" spans="1:12" x14ac:dyDescent="0.35">
      <c r="A36" s="1" t="s">
        <v>50</v>
      </c>
    </row>
    <row r="37" spans="1:12" ht="30.5" customHeight="1" x14ac:dyDescent="0.35">
      <c r="A37" s="102" t="s">
        <v>151</v>
      </c>
      <c r="B37" s="102"/>
      <c r="C37" s="102"/>
      <c r="D37" s="102"/>
      <c r="E37" s="102"/>
      <c r="F37" s="102"/>
      <c r="G37" s="102"/>
      <c r="H37" s="102"/>
      <c r="I37" s="102"/>
      <c r="J37" s="102"/>
      <c r="K37" s="102"/>
      <c r="L37" s="102"/>
    </row>
  </sheetData>
  <mergeCells count="16">
    <mergeCell ref="A4:L4"/>
    <mergeCell ref="B9:L9"/>
    <mergeCell ref="B11:L11"/>
    <mergeCell ref="B12:L12"/>
    <mergeCell ref="B13:L13"/>
    <mergeCell ref="A37:L37"/>
    <mergeCell ref="A6:L6"/>
    <mergeCell ref="B10:L10"/>
    <mergeCell ref="B7:L7"/>
    <mergeCell ref="B8:L8"/>
    <mergeCell ref="B15:L15"/>
    <mergeCell ref="B16:L16"/>
    <mergeCell ref="B17:L17"/>
    <mergeCell ref="B18:L18"/>
    <mergeCell ref="B19:L19"/>
    <mergeCell ref="B14:L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68F7-8AAA-4EC7-9EA7-01148874451F}">
  <dimension ref="A1:U95"/>
  <sheetViews>
    <sheetView topLeftCell="A23"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63"/>
      <c r="I3" s="63"/>
      <c r="J3" s="63"/>
      <c r="K3" s="63"/>
    </row>
    <row r="4" spans="1:11" x14ac:dyDescent="0.35">
      <c r="A4" s="64" t="s">
        <v>39</v>
      </c>
      <c r="B4" s="64" t="s">
        <v>43</v>
      </c>
      <c r="C4" s="116" t="s">
        <v>44</v>
      </c>
      <c r="D4" s="117"/>
      <c r="E4" s="117"/>
      <c r="F4" s="117"/>
      <c r="G4" s="118"/>
    </row>
    <row r="5" spans="1:11" x14ac:dyDescent="0.35">
      <c r="A5" s="65" t="s">
        <v>52</v>
      </c>
      <c r="B5" s="65"/>
      <c r="C5" s="119"/>
      <c r="D5" s="119"/>
      <c r="E5" s="119"/>
      <c r="F5" s="119"/>
      <c r="G5" s="119"/>
    </row>
    <row r="6" spans="1:11" x14ac:dyDescent="0.35">
      <c r="A6" s="66" t="s">
        <v>40</v>
      </c>
      <c r="B6" s="66" t="s">
        <v>184</v>
      </c>
      <c r="C6" s="113" t="s">
        <v>183</v>
      </c>
      <c r="D6" s="113"/>
      <c r="E6" s="113"/>
      <c r="F6" s="113"/>
      <c r="G6" s="113"/>
    </row>
    <row r="7" spans="1:11" x14ac:dyDescent="0.35">
      <c r="A7" s="66" t="s">
        <v>41</v>
      </c>
      <c r="B7" s="66" t="s">
        <v>184</v>
      </c>
      <c r="C7" s="114" t="s">
        <v>181</v>
      </c>
      <c r="D7" s="114"/>
      <c r="E7" s="114"/>
      <c r="F7" s="114"/>
      <c r="G7" s="114"/>
    </row>
    <row r="8" spans="1:11" x14ac:dyDescent="0.35">
      <c r="A8" s="66" t="s">
        <v>42</v>
      </c>
      <c r="B8" s="66" t="s">
        <v>184</v>
      </c>
      <c r="C8" s="113" t="s">
        <v>183</v>
      </c>
      <c r="D8" s="113"/>
      <c r="E8" s="113"/>
      <c r="F8" s="113"/>
      <c r="G8" s="113"/>
    </row>
    <row r="9" spans="1:11" x14ac:dyDescent="0.35">
      <c r="A9" s="66" t="s">
        <v>165</v>
      </c>
      <c r="B9" s="66" t="s">
        <v>184</v>
      </c>
      <c r="C9" s="114" t="s">
        <v>182</v>
      </c>
      <c r="D9" s="114"/>
      <c r="E9" s="114"/>
      <c r="F9" s="114"/>
      <c r="G9" s="114"/>
    </row>
    <row r="10" spans="1:11" x14ac:dyDescent="0.35">
      <c r="A10" s="66"/>
      <c r="B10" s="66"/>
      <c r="C10" s="114"/>
      <c r="D10" s="114"/>
      <c r="E10" s="114"/>
      <c r="F10" s="114"/>
      <c r="G10" s="114"/>
    </row>
    <row r="11" spans="1:11" x14ac:dyDescent="0.35">
      <c r="A11" s="66"/>
      <c r="B11" s="66"/>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185</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4"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4" x14ac:dyDescent="0.35">
      <c r="A27" s="1" t="s">
        <v>126</v>
      </c>
      <c r="B27" s="14">
        <f>SUM(B28:B33)-SUM(B22:C22)</f>
        <v>0</v>
      </c>
      <c r="C27" s="14">
        <f>IF(C$25&lt;&gt;"",SUM(B22:C22),"")</f>
        <v>21.1</v>
      </c>
      <c r="D27" s="14">
        <f>IF(D$25&lt;&gt;"",C89,"")</f>
        <v>20.102087997956424</v>
      </c>
      <c r="E27" s="14">
        <f t="shared" ref="E27:L27" si="2">IF(E$25&lt;&gt;"",D89,"")</f>
        <v>19.174337307957025</v>
      </c>
      <c r="F27" s="14">
        <f t="shared" si="2"/>
        <v>18.359085073456452</v>
      </c>
      <c r="G27" s="14">
        <f t="shared" si="2"/>
        <v>17.56795603395528</v>
      </c>
      <c r="H27" s="14">
        <f t="shared" si="2"/>
        <v>16.801556189454683</v>
      </c>
      <c r="I27" s="14">
        <f t="shared" si="2"/>
        <v>16.058504020454109</v>
      </c>
      <c r="J27" s="14">
        <f t="shared" si="2"/>
        <v>17.339143040454712</v>
      </c>
      <c r="K27" s="14">
        <f t="shared" si="2"/>
        <v>18.580163754454713</v>
      </c>
      <c r="L27" s="14">
        <f t="shared" si="2"/>
        <v>19.78177015645414</v>
      </c>
    </row>
    <row r="28" spans="1:14" x14ac:dyDescent="0.35">
      <c r="A28" t="str">
        <f>IF(A6="","","    "&amp;A6&amp;" Balance")</f>
        <v xml:space="preserve">    Upper Basin Balance</v>
      </c>
      <c r="B28" s="55">
        <f>B22</f>
        <v>11</v>
      </c>
      <c r="C28" s="14">
        <f>IF(OR(C$25="",$A28=""),"",B28)</f>
        <v>11</v>
      </c>
      <c r="D28" s="14">
        <f>IF(OR(D$25="",$A28=""),"",C83)</f>
        <v>10.432257133649305</v>
      </c>
      <c r="E28" s="14">
        <f t="shared" ref="E28:L28" si="3">IF(OR(E$25="",$A28=""),"",D83)</f>
        <v>9.883093333626892</v>
      </c>
      <c r="F28" s="14">
        <f t="shared" si="3"/>
        <v>9.3510855529839212</v>
      </c>
      <c r="G28" s="14">
        <f t="shared" si="3"/>
        <v>8.8372366863848768</v>
      </c>
      <c r="H28" s="14">
        <f t="shared" si="3"/>
        <v>8.3417616560002301</v>
      </c>
      <c r="I28" s="14">
        <f t="shared" si="3"/>
        <v>7.8638689563828423</v>
      </c>
      <c r="J28" s="14">
        <f t="shared" si="3"/>
        <v>9.4036315279864233</v>
      </c>
      <c r="K28" s="14">
        <f t="shared" si="3"/>
        <v>10.876202195079536</v>
      </c>
      <c r="L28" s="14">
        <f t="shared" si="3"/>
        <v>12.286629885257579</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9.2912439743301327</v>
      </c>
      <c r="F29" s="14">
        <f t="shared" si="6"/>
        <v>9.0079995204725307</v>
      </c>
      <c r="G29" s="14">
        <f t="shared" si="6"/>
        <v>8.7307193475704032</v>
      </c>
      <c r="H29" s="14">
        <f t="shared" si="6"/>
        <v>8.4597945334544526</v>
      </c>
      <c r="I29" s="14">
        <f t="shared" si="6"/>
        <v>8.1946350640712673</v>
      </c>
      <c r="J29" s="14">
        <f t="shared" si="6"/>
        <v>7.9355115124682873</v>
      </c>
      <c r="K29" s="14">
        <f t="shared" si="6"/>
        <v>7.703961559375176</v>
      </c>
      <c r="L29" s="14">
        <f t="shared" si="6"/>
        <v>7.4951402711965605</v>
      </c>
      <c r="N29" t="s">
        <v>223</v>
      </c>
    </row>
    <row r="30" spans="1:14" x14ac:dyDescent="0.35">
      <c r="A30" t="str">
        <f t="shared" si="4"/>
        <v xml:space="preserve">    Mexico Balance</v>
      </c>
      <c r="B30" s="86">
        <v>4.1000000000000002E-2</v>
      </c>
      <c r="C30" s="59">
        <f t="shared" si="5"/>
        <v>4.1000000000000002E-2</v>
      </c>
      <c r="D30" s="59">
        <f t="shared" si="6"/>
        <v>0</v>
      </c>
      <c r="E30" s="59">
        <f t="shared" si="6"/>
        <v>0</v>
      </c>
      <c r="F30" s="59">
        <f t="shared" si="6"/>
        <v>0</v>
      </c>
      <c r="G30" s="59">
        <f t="shared" si="6"/>
        <v>0</v>
      </c>
      <c r="H30" s="59">
        <f t="shared" si="6"/>
        <v>0</v>
      </c>
      <c r="I30" s="59">
        <f t="shared" si="6"/>
        <v>0</v>
      </c>
      <c r="J30" s="59">
        <f t="shared" si="6"/>
        <v>0</v>
      </c>
      <c r="K30" s="59">
        <f t="shared" si="6"/>
        <v>0</v>
      </c>
      <c r="L30" s="59">
        <f t="shared" si="6"/>
        <v>0</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10.051043998978212</v>
      </c>
      <c r="E35" s="14">
        <f t="shared" si="7"/>
        <v>9.5871686539785124</v>
      </c>
      <c r="F35" s="14">
        <f t="shared" si="7"/>
        <v>9.179542536728226</v>
      </c>
      <c r="G35" s="14">
        <f t="shared" si="7"/>
        <v>8.78397801697764</v>
      </c>
      <c r="H35" s="14">
        <f t="shared" si="7"/>
        <v>8.4007780947273414</v>
      </c>
      <c r="I35" s="14">
        <f t="shared" si="7"/>
        <v>8.0292520102270544</v>
      </c>
      <c r="J35" s="14">
        <f t="shared" si="7"/>
        <v>8.6695715202273558</v>
      </c>
      <c r="K35" s="14">
        <f t="shared" si="7"/>
        <v>9.2900818772273563</v>
      </c>
      <c r="L35" s="14">
        <f t="shared" si="7"/>
        <v>9.8908850782270701</v>
      </c>
    </row>
    <row r="36" spans="1:12" x14ac:dyDescent="0.35">
      <c r="A36" t="s">
        <v>116</v>
      </c>
      <c r="B36" s="35">
        <f>1-B35</f>
        <v>0.5</v>
      </c>
      <c r="C36" s="14">
        <f>IF(C$25&lt;&gt;"",C22,"")</f>
        <v>10.1</v>
      </c>
      <c r="D36" s="14">
        <f t="shared" si="7"/>
        <v>10.051043998978212</v>
      </c>
      <c r="E36" s="14">
        <f t="shared" si="7"/>
        <v>9.5871686539785124</v>
      </c>
      <c r="F36" s="14">
        <f t="shared" si="7"/>
        <v>9.179542536728226</v>
      </c>
      <c r="G36" s="14">
        <f t="shared" si="7"/>
        <v>8.78397801697764</v>
      </c>
      <c r="H36" s="14">
        <f t="shared" si="7"/>
        <v>8.4007780947273414</v>
      </c>
      <c r="I36" s="14">
        <f t="shared" si="7"/>
        <v>8.0292520102270544</v>
      </c>
      <c r="J36" s="14">
        <f t="shared" si="7"/>
        <v>8.6695715202273558</v>
      </c>
      <c r="K36" s="14">
        <f t="shared" si="7"/>
        <v>9.2900818772273563</v>
      </c>
      <c r="L36" s="14">
        <f t="shared" si="7"/>
        <v>9.8908850782270701</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0.99075068999940008</v>
      </c>
      <c r="E37" s="14">
        <f>IF(E$25&lt;&gt;"",VLOOKUP(E35*1000000,'Powell-Elevation-Area'!$B$5:$D$689,3)*$B$21/1000000 + VLOOKUP(E36*1000000,'Mead-Elevation-Area'!$B$5:$D$676,3)*$C$21/1000000,"")</f>
        <v>0.96425223450057307</v>
      </c>
      <c r="F37" s="14">
        <f>IF(F$25&lt;&gt;"",VLOOKUP(F35*1000000,'Powell-Elevation-Area'!$B$5:$D$689,3)*$B$21/1000000 + VLOOKUP(F36*1000000,'Mead-Elevation-Area'!$B$5:$D$676,3)*$C$21/1000000,"")</f>
        <v>0.94012903950117299</v>
      </c>
      <c r="G37" s="14">
        <f>IF(G$25&lt;&gt;"",VLOOKUP(G35*1000000,'Powell-Elevation-Area'!$B$5:$D$689,3)*$B$21/1000000 + VLOOKUP(G36*1000000,'Mead-Elevation-Area'!$B$5:$D$676,3)*$C$21/1000000,"")</f>
        <v>0.91539984450059997</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0.907979286</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0.98213087099942697</v>
      </c>
    </row>
    <row r="38" spans="1:12" x14ac:dyDescent="0.35">
      <c r="A38" t="str">
        <f>IF(A6="","","    "&amp;A6&amp;" Share")</f>
        <v xml:space="preserve">    Upper Basin Share</v>
      </c>
      <c r="B38" s="1"/>
      <c r="C38" s="14">
        <f>IF(OR(C$25="",$A38=""),"",C$37*C28/C$27)</f>
        <v>0.5327428663506969</v>
      </c>
      <c r="D38" s="14">
        <f t="shared" ref="D38:L38" si="8">IF(OR(D$25="",$A38=""),"",D$37*D28/D$27)</f>
        <v>0.5141638000224128</v>
      </c>
      <c r="E38" s="14">
        <f t="shared" si="8"/>
        <v>0.49700778064297146</v>
      </c>
      <c r="F38" s="14">
        <f t="shared" si="8"/>
        <v>0.47884886659904519</v>
      </c>
      <c r="G38" s="14">
        <f t="shared" si="8"/>
        <v>0.46047503038464777</v>
      </c>
      <c r="H38" s="14">
        <f t="shared" si="8"/>
        <v>0.44289269961738792</v>
      </c>
      <c r="I38" s="14">
        <f t="shared" si="8"/>
        <v>0.42523742839641926</v>
      </c>
      <c r="J38" s="14">
        <f t="shared" si="8"/>
        <v>0.49242933290688673</v>
      </c>
      <c r="K38" s="14">
        <f t="shared" si="8"/>
        <v>0.55457230982195571</v>
      </c>
      <c r="L38" s="14">
        <f t="shared" si="8"/>
        <v>0.61001004538102599</v>
      </c>
    </row>
    <row r="39" spans="1:12" x14ac:dyDescent="0.35">
      <c r="A39" t="str">
        <f t="shared" ref="A39:A43" si="9">IF(A7="","","    "&amp;A7&amp;" Share")</f>
        <v xml:space="preserve">    Lower Basin Share</v>
      </c>
      <c r="B39" s="1"/>
      <c r="C39" s="14">
        <f t="shared" ref="C39:L43" si="10">IF(OR(C$25="",$A39=""),"",C$37*C29/C$27)</f>
        <v>0.48716913569287823</v>
      </c>
      <c r="D39" s="14">
        <f t="shared" si="10"/>
        <v>0.47658688997698723</v>
      </c>
      <c r="E39" s="14">
        <f t="shared" si="10"/>
        <v>0.46724445385760166</v>
      </c>
      <c r="F39" s="14">
        <f t="shared" si="10"/>
        <v>0.46128017290212786</v>
      </c>
      <c r="G39" s="14">
        <f t="shared" si="10"/>
        <v>0.4549248141159522</v>
      </c>
      <c r="H39" s="14">
        <f t="shared" si="10"/>
        <v>0.44915946938318513</v>
      </c>
      <c r="I39" s="14">
        <f t="shared" si="10"/>
        <v>0.44312355160298089</v>
      </c>
      <c r="J39" s="14">
        <f t="shared" si="10"/>
        <v>0.41554995309311316</v>
      </c>
      <c r="K39" s="14">
        <f t="shared" si="10"/>
        <v>0.39282128817861717</v>
      </c>
      <c r="L39" s="14">
        <f t="shared" si="10"/>
        <v>0.37212082561840099</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1.4239999999999999</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-0.51199999999999979</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0.71199999999999997</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c r="L61" s="62"/>
      <c r="M61" s="54">
        <f t="shared" ref="M61:M65" si="24">SUMPRODUCT(C61:L61,C$67:L$67)</f>
        <v>0</v>
      </c>
    </row>
    <row r="62" spans="1:13" x14ac:dyDescent="0.35">
      <c r="A62" t="str">
        <f t="shared" si="23"/>
        <v xml:space="preserve">    Mexico</v>
      </c>
      <c r="B62" s="1"/>
      <c r="C62" s="50"/>
      <c r="D62" s="50"/>
      <c r="E62" s="68"/>
      <c r="F62" s="50"/>
      <c r="G62" s="50"/>
      <c r="H62" s="68"/>
      <c r="I62" s="50"/>
      <c r="J62" s="50"/>
      <c r="K62" s="68"/>
      <c r="L62" s="50"/>
      <c r="M62" s="54">
        <f t="shared" si="24"/>
        <v>0</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c>
      <c r="B64" s="1"/>
      <c r="C64" s="50"/>
      <c r="D64" s="50"/>
      <c r="E64" s="68"/>
      <c r="F64" s="50"/>
      <c r="G64" s="50"/>
      <c r="H64" s="68"/>
      <c r="I64" s="50"/>
      <c r="J64" s="50"/>
      <c r="K64" s="68"/>
      <c r="L64" s="50"/>
      <c r="M64" s="54">
        <f t="shared" si="24"/>
        <v>0</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f t="shared" si="25"/>
        <v>0</v>
      </c>
      <c r="I66" s="53">
        <f t="shared" si="25"/>
        <v>0</v>
      </c>
      <c r="J66" s="53">
        <f t="shared" si="25"/>
        <v>0</v>
      </c>
      <c r="K66" s="53">
        <f t="shared" si="25"/>
        <v>0</v>
      </c>
      <c r="L66" s="53">
        <f t="shared" si="25"/>
        <v>0</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14.632257133649304</v>
      </c>
      <c r="D69" s="14">
        <f t="shared" ref="D69:L69" si="26">IF(OR(D$25="",$A69=""),"",D28+D46+D53-D38-D60)</f>
        <v>14.083093333626893</v>
      </c>
      <c r="E69" s="14">
        <f t="shared" si="26"/>
        <v>13.551085552983922</v>
      </c>
      <c r="F69" s="14">
        <f t="shared" si="26"/>
        <v>13.037236686384876</v>
      </c>
      <c r="G69" s="14">
        <f t="shared" si="26"/>
        <v>12.541761656000229</v>
      </c>
      <c r="H69" s="14">
        <f t="shared" si="26"/>
        <v>12.063868956382843</v>
      </c>
      <c r="I69" s="14">
        <f t="shared" si="26"/>
        <v>13.603631527986424</v>
      </c>
      <c r="J69" s="14">
        <f t="shared" si="26"/>
        <v>15.076202195079537</v>
      </c>
      <c r="K69" s="14">
        <f t="shared" si="26"/>
        <v>16.486629885257578</v>
      </c>
      <c r="L69" s="14">
        <f t="shared" si="26"/>
        <v>17.841619839876557</v>
      </c>
    </row>
    <row r="70" spans="1:21" x14ac:dyDescent="0.35">
      <c r="A70" t="str">
        <f t="shared" ref="A70:A74" si="27">IF(A7="","","    "&amp;A7)</f>
        <v xml:space="preserve">    Lower Basin</v>
      </c>
      <c r="C70" s="14">
        <f t="shared" ref="C70:L74" si="28">IF(OR(C$25="",$A70=""),"",C29+C47+C54-C39-C61)</f>
        <v>16.53683086430712</v>
      </c>
      <c r="D70" s="14">
        <f t="shared" si="28"/>
        <v>16.158243974330134</v>
      </c>
      <c r="E70" s="14">
        <f t="shared" si="28"/>
        <v>15.79099952047253</v>
      </c>
      <c r="F70" s="14">
        <f t="shared" si="28"/>
        <v>15.513719347570403</v>
      </c>
      <c r="G70" s="14">
        <f t="shared" si="28"/>
        <v>15.242794533454452</v>
      </c>
      <c r="H70" s="14">
        <f t="shared" si="28"/>
        <v>14.977635064071269</v>
      </c>
      <c r="I70" s="14">
        <f t="shared" si="28"/>
        <v>14.718511512468288</v>
      </c>
      <c r="J70" s="14">
        <f t="shared" si="28"/>
        <v>14.486961559375176</v>
      </c>
      <c r="K70" s="14">
        <f t="shared" si="28"/>
        <v>14.278140271196561</v>
      </c>
      <c r="L70" s="14">
        <f t="shared" si="28"/>
        <v>14.11101944557816</v>
      </c>
    </row>
    <row r="71" spans="1:21" x14ac:dyDescent="0.35">
      <c r="A71" t="str">
        <f t="shared" si="27"/>
        <v xml:space="preserve">    Mexico</v>
      </c>
      <c r="C71" s="60">
        <f t="shared" si="28"/>
        <v>1.5090143220436021</v>
      </c>
      <c r="D71" s="14">
        <f t="shared" si="28"/>
        <v>1.47</v>
      </c>
      <c r="E71" s="14">
        <f t="shared" si="28"/>
        <v>1.468</v>
      </c>
      <c r="F71" s="14">
        <f t="shared" si="28"/>
        <v>1.468</v>
      </c>
      <c r="G71" s="14">
        <f t="shared" si="28"/>
        <v>1.468</v>
      </c>
      <c r="H71" s="14">
        <f t="shared" si="28"/>
        <v>1.468</v>
      </c>
      <c r="I71" s="14">
        <f t="shared" si="28"/>
        <v>1.468</v>
      </c>
      <c r="J71" s="14">
        <f t="shared" si="28"/>
        <v>1.468</v>
      </c>
      <c r="K71" s="14">
        <f t="shared" si="28"/>
        <v>1.468</v>
      </c>
      <c r="L71" s="14">
        <f t="shared" si="28"/>
        <v>1.4470000000000001</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f t="shared" si="28"/>
        <v>0.6</v>
      </c>
      <c r="I72" s="14">
        <f t="shared" si="28"/>
        <v>0.6</v>
      </c>
      <c r="J72" s="14">
        <f t="shared" si="28"/>
        <v>0.6</v>
      </c>
      <c r="K72" s="14">
        <f t="shared" si="28"/>
        <v>0.6</v>
      </c>
      <c r="L72" s="14">
        <f t="shared" si="28"/>
        <v>0.6</v>
      </c>
    </row>
    <row r="73" spans="1:21" x14ac:dyDescent="0.35">
      <c r="A73" t="str">
        <f t="shared" si="27"/>
        <v/>
      </c>
      <c r="C73" s="60" t="str">
        <f t="shared" si="28"/>
        <v/>
      </c>
      <c r="D73" s="60" t="str">
        <f t="shared" si="28"/>
        <v/>
      </c>
      <c r="E73" s="60" t="str">
        <f t="shared" si="28"/>
        <v/>
      </c>
      <c r="F73" s="60" t="str">
        <f t="shared" si="28"/>
        <v/>
      </c>
      <c r="G73" s="60" t="str">
        <f t="shared" si="28"/>
        <v/>
      </c>
      <c r="H73" s="60" t="str">
        <f t="shared" si="28"/>
        <v/>
      </c>
      <c r="I73" s="60" t="str">
        <f t="shared" si="28"/>
        <v/>
      </c>
      <c r="J73" s="60" t="str">
        <f t="shared" si="28"/>
        <v/>
      </c>
      <c r="K73" s="60" t="str">
        <f t="shared" si="28"/>
        <v/>
      </c>
      <c r="L73" s="60" t="str">
        <f t="shared" si="28"/>
        <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29">IF(D69&gt;6.1+4.2,4.2,MAX(D69-6.1,0))</f>
        <v>4.2</v>
      </c>
      <c r="E76" s="43">
        <f t="shared" si="29"/>
        <v>4.2</v>
      </c>
      <c r="F76" s="43">
        <f t="shared" si="29"/>
        <v>4.2</v>
      </c>
      <c r="G76" s="43">
        <f t="shared" si="29"/>
        <v>4.2</v>
      </c>
      <c r="H76" s="43">
        <f t="shared" si="29"/>
        <v>4.2</v>
      </c>
      <c r="I76" s="43">
        <f t="shared" si="29"/>
        <v>4.2</v>
      </c>
      <c r="J76" s="43">
        <f t="shared" si="29"/>
        <v>4.2</v>
      </c>
      <c r="K76" s="43">
        <f t="shared" si="29"/>
        <v>4.2</v>
      </c>
      <c r="L76" s="43">
        <f t="shared" si="29"/>
        <v>4.2</v>
      </c>
      <c r="N76" s="1" t="s">
        <v>129</v>
      </c>
    </row>
    <row r="77" spans="1:21" x14ac:dyDescent="0.35">
      <c r="A77" t="str">
        <f>IF(A7="","","    "&amp;A7&amp;" - Release from Mead")</f>
        <v xml:space="preserve">    Lower Basin - Release from Mead</v>
      </c>
      <c r="C77" s="43">
        <f>7.5-IF(C$29&lt;$O$78,$P$78,IF(C$29&lt;=$O$85,VLOOKUP(C$29,$O$78:$P$85,2),0))</f>
        <v>6.867</v>
      </c>
      <c r="D77" s="43">
        <f t="shared" ref="D77:L77" si="30">7.5-IF(D$29&lt;$O$78,$P$78,IF(D$29&lt;=$O$85,VLOOKUP(D$29,$O$78:$P$85,2),0))</f>
        <v>6.867</v>
      </c>
      <c r="E77" s="43">
        <f t="shared" si="30"/>
        <v>6.7830000000000004</v>
      </c>
      <c r="F77" s="43">
        <f t="shared" si="30"/>
        <v>6.7830000000000004</v>
      </c>
      <c r="G77" s="43">
        <f t="shared" si="30"/>
        <v>6.7830000000000004</v>
      </c>
      <c r="H77" s="43">
        <f t="shared" si="30"/>
        <v>6.7830000000000004</v>
      </c>
      <c r="I77" s="43">
        <f t="shared" si="30"/>
        <v>6.7830000000000004</v>
      </c>
      <c r="J77" s="43">
        <f t="shared" si="30"/>
        <v>6.7830000000000004</v>
      </c>
      <c r="K77" s="43">
        <f t="shared" si="30"/>
        <v>6.7830000000000004</v>
      </c>
      <c r="L77" s="43">
        <f t="shared" si="30"/>
        <v>6.5330000000000004</v>
      </c>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 t="shared" ref="C78:L78" si="32">C71</f>
        <v>1.5090143220436021</v>
      </c>
      <c r="D78" s="50">
        <f t="shared" si="32"/>
        <v>1.47</v>
      </c>
      <c r="E78" s="50">
        <f t="shared" si="32"/>
        <v>1.468</v>
      </c>
      <c r="F78" s="50">
        <f t="shared" si="32"/>
        <v>1.468</v>
      </c>
      <c r="G78" s="50">
        <f t="shared" si="32"/>
        <v>1.468</v>
      </c>
      <c r="H78" s="50">
        <f t="shared" si="32"/>
        <v>1.468</v>
      </c>
      <c r="I78" s="50">
        <f t="shared" si="32"/>
        <v>1.468</v>
      </c>
      <c r="J78" s="50">
        <f t="shared" si="32"/>
        <v>1.468</v>
      </c>
      <c r="K78" s="50">
        <f t="shared" si="32"/>
        <v>1.468</v>
      </c>
      <c r="L78" s="50">
        <f t="shared" si="32"/>
        <v>1.4470000000000001</v>
      </c>
      <c r="N78" s="39">
        <v>1025</v>
      </c>
      <c r="O78" s="40">
        <v>5.981122</v>
      </c>
      <c r="P78" s="41">
        <f>S78-Q78</f>
        <v>1.2000000000000002</v>
      </c>
      <c r="Q78" s="49">
        <v>0.15</v>
      </c>
      <c r="R78" s="41">
        <v>1.325</v>
      </c>
      <c r="S78" s="41">
        <f t="shared" ref="S78:S85" si="33">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4">S79-Q79</f>
        <v>1.117</v>
      </c>
      <c r="Q79" s="49">
        <v>0.10100000000000001</v>
      </c>
      <c r="R79" s="41">
        <v>1.1870000000000001</v>
      </c>
      <c r="S79" s="41">
        <f t="shared" si="33"/>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4"/>
        <v>1.0669999999999999</v>
      </c>
      <c r="Q80" s="49">
        <v>9.1999999999999998E-2</v>
      </c>
      <c r="R80" s="41">
        <v>1.137</v>
      </c>
      <c r="S80" s="41">
        <f t="shared" si="33"/>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4"/>
        <v>1.0169999999999999</v>
      </c>
      <c r="Q81" s="49">
        <v>8.4000000000000005E-2</v>
      </c>
      <c r="R81" s="41">
        <v>1.087</v>
      </c>
      <c r="S81" s="41">
        <f t="shared" si="33"/>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4"/>
        <v>0.96699999999999997</v>
      </c>
      <c r="Q82" s="49">
        <v>7.5999999999999998E-2</v>
      </c>
      <c r="R82" s="41">
        <v>1.0369999999999999</v>
      </c>
      <c r="S82" s="41">
        <f t="shared" si="33"/>
        <v>1.0429999999999999</v>
      </c>
      <c r="T82" s="42">
        <v>7.0000000000000007E-2</v>
      </c>
      <c r="U82" s="52">
        <v>1043000</v>
      </c>
    </row>
    <row r="83" spans="1:21" x14ac:dyDescent="0.35">
      <c r="A83" t="str">
        <f>IF(A6="","","    "&amp;A6)</f>
        <v xml:space="preserve">    Upper Basin</v>
      </c>
      <c r="C83" s="14">
        <f>IF(OR(C$25="",$A83=""),"",C69-C76)</f>
        <v>10.432257133649305</v>
      </c>
      <c r="D83" s="14">
        <f t="shared" ref="D83:L83" si="35">IF(OR(D$25="",$A83=""),"",D69-D76)</f>
        <v>9.883093333626892</v>
      </c>
      <c r="E83" s="14">
        <f t="shared" si="35"/>
        <v>9.3510855529839212</v>
      </c>
      <c r="F83" s="14">
        <f t="shared" si="35"/>
        <v>8.8372366863848768</v>
      </c>
      <c r="G83" s="14">
        <f t="shared" si="35"/>
        <v>8.3417616560002301</v>
      </c>
      <c r="H83" s="14">
        <f t="shared" si="35"/>
        <v>7.8638689563828423</v>
      </c>
      <c r="I83" s="14">
        <f t="shared" si="35"/>
        <v>9.4036315279864233</v>
      </c>
      <c r="J83" s="14">
        <f t="shared" si="35"/>
        <v>10.876202195079536</v>
      </c>
      <c r="K83" s="14">
        <f t="shared" si="35"/>
        <v>12.286629885257579</v>
      </c>
      <c r="L83" s="14">
        <f t="shared" si="35"/>
        <v>13.641619839876558</v>
      </c>
      <c r="N83" s="39">
        <v>1050</v>
      </c>
      <c r="O83" s="40">
        <v>7.6828779999999997</v>
      </c>
      <c r="P83" s="41">
        <f t="shared" si="34"/>
        <v>0.71699999999999997</v>
      </c>
      <c r="Q83" s="49">
        <v>3.4000000000000002E-2</v>
      </c>
      <c r="R83" s="41">
        <v>0.78700000000000003</v>
      </c>
      <c r="S83" s="41">
        <f t="shared" si="33"/>
        <v>0.751</v>
      </c>
      <c r="T83" s="42">
        <v>7.0000000000000007E-2</v>
      </c>
      <c r="U83" s="52">
        <v>751000</v>
      </c>
    </row>
    <row r="84" spans="1:21" x14ac:dyDescent="0.35">
      <c r="A84" t="str">
        <f t="shared" ref="A84:A88" si="36">IF(A7="","","    "&amp;A7)</f>
        <v xml:space="preserve">    Lower Basin</v>
      </c>
      <c r="C84" s="14">
        <f t="shared" ref="C84:L88" si="37">IF(OR(C$25="",$A84=""),"",C70-C77)</f>
        <v>9.6698308643071194</v>
      </c>
      <c r="D84" s="14">
        <f t="shared" si="37"/>
        <v>9.2912439743301327</v>
      </c>
      <c r="E84" s="14">
        <f t="shared" si="37"/>
        <v>9.0079995204725307</v>
      </c>
      <c r="F84" s="14">
        <f t="shared" si="37"/>
        <v>8.7307193475704032</v>
      </c>
      <c r="G84" s="14">
        <f t="shared" si="37"/>
        <v>8.4597945334544526</v>
      </c>
      <c r="H84" s="14">
        <f t="shared" si="37"/>
        <v>8.1946350640712673</v>
      </c>
      <c r="I84" s="14">
        <f t="shared" si="37"/>
        <v>7.9355115124682873</v>
      </c>
      <c r="J84" s="14">
        <f t="shared" si="37"/>
        <v>7.703961559375176</v>
      </c>
      <c r="K84" s="14">
        <f t="shared" si="37"/>
        <v>7.4951402711965605</v>
      </c>
      <c r="L84" s="14">
        <f t="shared" si="37"/>
        <v>7.5780194455781595</v>
      </c>
      <c r="N84" s="39">
        <v>1075</v>
      </c>
      <c r="O84" s="40">
        <v>9.6009879999900001</v>
      </c>
      <c r="P84" s="41">
        <f t="shared" si="34"/>
        <v>0.63300000000000001</v>
      </c>
      <c r="Q84" s="49">
        <v>0.03</v>
      </c>
      <c r="R84" s="41">
        <v>0.68300000000000005</v>
      </c>
      <c r="S84" s="41">
        <f t="shared" si="33"/>
        <v>0.66300000000000003</v>
      </c>
      <c r="T84" s="42">
        <v>0.05</v>
      </c>
      <c r="U84" s="52">
        <v>663000</v>
      </c>
    </row>
    <row r="85" spans="1:21" x14ac:dyDescent="0.35">
      <c r="A85" t="str">
        <f t="shared" si="36"/>
        <v xml:space="preserve">    Mexico</v>
      </c>
      <c r="C85" s="14">
        <f t="shared" si="37"/>
        <v>0</v>
      </c>
      <c r="D85" s="14">
        <f t="shared" si="37"/>
        <v>0</v>
      </c>
      <c r="E85" s="14">
        <f t="shared" si="37"/>
        <v>0</v>
      </c>
      <c r="F85" s="14">
        <f t="shared" si="37"/>
        <v>0</v>
      </c>
      <c r="G85" s="14">
        <f t="shared" si="37"/>
        <v>0</v>
      </c>
      <c r="H85" s="14">
        <f t="shared" si="37"/>
        <v>0</v>
      </c>
      <c r="I85" s="14">
        <f t="shared" si="37"/>
        <v>0</v>
      </c>
      <c r="J85" s="14">
        <f t="shared" si="37"/>
        <v>0</v>
      </c>
      <c r="K85" s="14">
        <f t="shared" si="37"/>
        <v>0</v>
      </c>
      <c r="L85" s="14">
        <f t="shared" si="37"/>
        <v>0</v>
      </c>
      <c r="N85" s="39">
        <v>1090</v>
      </c>
      <c r="O85" s="40">
        <v>10.857008</v>
      </c>
      <c r="P85" s="41">
        <f t="shared" si="34"/>
        <v>0.30000000000000004</v>
      </c>
      <c r="Q85" s="49">
        <v>4.1000000000000002E-2</v>
      </c>
      <c r="R85" s="41">
        <v>0.3</v>
      </c>
      <c r="S85" s="41">
        <f t="shared" si="33"/>
        <v>0.34100000000000003</v>
      </c>
      <c r="T85" s="38"/>
      <c r="U85" s="52">
        <v>341000</v>
      </c>
    </row>
    <row r="86" spans="1:21" x14ac:dyDescent="0.35">
      <c r="A86" t="str">
        <f t="shared" si="36"/>
        <v xml:space="preserve">    Mohave &amp; Havasu Evap &amp; ET</v>
      </c>
      <c r="C86" s="14">
        <f t="shared" si="37"/>
        <v>0</v>
      </c>
      <c r="D86" s="14">
        <f t="shared" si="37"/>
        <v>0</v>
      </c>
      <c r="E86" s="14">
        <f t="shared" si="37"/>
        <v>0</v>
      </c>
      <c r="F86" s="14">
        <f t="shared" si="37"/>
        <v>0</v>
      </c>
      <c r="G86" s="14">
        <f t="shared" si="37"/>
        <v>0</v>
      </c>
      <c r="H86" s="14">
        <f t="shared" si="37"/>
        <v>0</v>
      </c>
      <c r="I86" s="14">
        <f t="shared" si="37"/>
        <v>0</v>
      </c>
      <c r="J86" s="14">
        <f t="shared" si="37"/>
        <v>0</v>
      </c>
      <c r="K86" s="14">
        <f t="shared" si="37"/>
        <v>0</v>
      </c>
      <c r="L86" s="14">
        <f t="shared" si="37"/>
        <v>0</v>
      </c>
    </row>
    <row r="87" spans="1:21" x14ac:dyDescent="0.35">
      <c r="A87" t="str">
        <f t="shared" si="36"/>
        <v/>
      </c>
      <c r="C87" s="59" t="str">
        <f>IF(OR(C$25="",$A87=""),"",C73-C80)</f>
        <v/>
      </c>
      <c r="D87" s="59" t="str">
        <f t="shared" si="37"/>
        <v/>
      </c>
      <c r="E87" s="59" t="str">
        <f t="shared" si="37"/>
        <v/>
      </c>
      <c r="F87" s="59" t="str">
        <f t="shared" si="37"/>
        <v/>
      </c>
      <c r="G87" s="59" t="str">
        <f t="shared" si="37"/>
        <v/>
      </c>
      <c r="H87" s="59" t="str">
        <f t="shared" si="37"/>
        <v/>
      </c>
      <c r="I87" s="59" t="str">
        <f t="shared" si="37"/>
        <v/>
      </c>
      <c r="J87" s="59" t="str">
        <f t="shared" si="37"/>
        <v/>
      </c>
      <c r="K87" s="59" t="str">
        <f t="shared" si="37"/>
        <v/>
      </c>
      <c r="L87" s="59" t="str">
        <f t="shared" si="37"/>
        <v/>
      </c>
    </row>
    <row r="88" spans="1:21" x14ac:dyDescent="0.35">
      <c r="A88" t="str">
        <f t="shared" si="36"/>
        <v/>
      </c>
      <c r="C88" s="14" t="str">
        <f t="shared" si="37"/>
        <v/>
      </c>
      <c r="D88" s="14" t="str">
        <f t="shared" si="37"/>
        <v/>
      </c>
      <c r="E88" s="14" t="str">
        <f t="shared" si="37"/>
        <v/>
      </c>
      <c r="F88" s="14" t="str">
        <f t="shared" si="37"/>
        <v/>
      </c>
      <c r="G88" s="14" t="str">
        <f t="shared" si="37"/>
        <v/>
      </c>
      <c r="H88" s="14" t="str">
        <f t="shared" si="37"/>
        <v/>
      </c>
      <c r="I88" s="14" t="str">
        <f t="shared" si="37"/>
        <v/>
      </c>
      <c r="J88" s="14" t="str">
        <f t="shared" si="37"/>
        <v/>
      </c>
      <c r="K88" s="14" t="str">
        <f t="shared" si="37"/>
        <v/>
      </c>
      <c r="L88" s="14" t="str">
        <f t="shared" si="37"/>
        <v/>
      </c>
    </row>
    <row r="89" spans="1:21" x14ac:dyDescent="0.35">
      <c r="A89" s="1" t="s">
        <v>125</v>
      </c>
      <c r="B89" s="1"/>
      <c r="C89" s="14">
        <f>IF(C$25&lt;&gt;"",SUM(C83:C88),"")</f>
        <v>20.102087997956424</v>
      </c>
      <c r="D89" s="14">
        <f t="shared" ref="D89:L89" si="38">IF(D$25&lt;&gt;"",SUM(D83:D88),"")</f>
        <v>19.174337307957025</v>
      </c>
      <c r="E89" s="14">
        <f t="shared" si="38"/>
        <v>18.359085073456452</v>
      </c>
      <c r="F89" s="14">
        <f t="shared" si="38"/>
        <v>17.56795603395528</v>
      </c>
      <c r="G89" s="14">
        <f t="shared" si="38"/>
        <v>16.801556189454683</v>
      </c>
      <c r="H89" s="14">
        <f t="shared" si="38"/>
        <v>16.058504020454109</v>
      </c>
      <c r="I89" s="14">
        <f t="shared" si="38"/>
        <v>17.339143040454712</v>
      </c>
      <c r="J89" s="14">
        <f t="shared" si="38"/>
        <v>18.580163754454713</v>
      </c>
      <c r="K89" s="14">
        <f t="shared" si="38"/>
        <v>19.78177015645414</v>
      </c>
      <c r="L89" s="14">
        <f t="shared" si="38"/>
        <v>21.219639285454718</v>
      </c>
    </row>
    <row r="90" spans="1:21" x14ac:dyDescent="0.35">
      <c r="A90" s="1" t="s">
        <v>147</v>
      </c>
      <c r="B90" s="1"/>
      <c r="C90" s="14">
        <f>IF(C25&lt;&gt;"",C35+C25-C38-C76-C89*$B$35,"")</f>
        <v>8.6162131346710886</v>
      </c>
      <c r="D90" s="14">
        <f t="shared" ref="D90:L90" si="39">IF(D25&lt;&gt;"",D35+D25-D38-D76-D89*$B$35,"")</f>
        <v>8.1497115449772899</v>
      </c>
      <c r="E90" s="14">
        <f t="shared" si="39"/>
        <v>8.1106183366073186</v>
      </c>
      <c r="F90" s="14">
        <f t="shared" si="39"/>
        <v>8.1167156531515428</v>
      </c>
      <c r="G90" s="14">
        <f t="shared" si="39"/>
        <v>8.1227248918656532</v>
      </c>
      <c r="H90" s="14">
        <f t="shared" si="39"/>
        <v>8.1286333848828995</v>
      </c>
      <c r="I90" s="14">
        <f t="shared" si="39"/>
        <v>9.1344430616032799</v>
      </c>
      <c r="J90" s="14">
        <f t="shared" si="39"/>
        <v>9.0870603100931131</v>
      </c>
      <c r="K90" s="14">
        <f t="shared" si="39"/>
        <v>9.0446244891783305</v>
      </c>
      <c r="L90" s="14">
        <f t="shared" si="39"/>
        <v>8.8710553901186877</v>
      </c>
    </row>
    <row r="92" spans="1:21" x14ac:dyDescent="0.35">
      <c r="A92" s="1" t="s">
        <v>127</v>
      </c>
      <c r="C92" s="12">
        <f>IF(C$25&lt;&gt;"",0.2,"")</f>
        <v>0.2</v>
      </c>
      <c r="D92" s="12">
        <f t="shared" ref="D92:L92" si="40">IF(D$25&lt;&gt;"",0.2,"")</f>
        <v>0.2</v>
      </c>
      <c r="E92" s="12">
        <f t="shared" si="40"/>
        <v>0.2</v>
      </c>
      <c r="F92" s="12">
        <f t="shared" si="40"/>
        <v>0.2</v>
      </c>
      <c r="G92" s="12">
        <f t="shared" si="40"/>
        <v>0.2</v>
      </c>
      <c r="H92" s="12">
        <f t="shared" si="40"/>
        <v>0.2</v>
      </c>
      <c r="I92" s="12">
        <f t="shared" si="40"/>
        <v>0.2</v>
      </c>
      <c r="J92" s="12">
        <f t="shared" si="40"/>
        <v>0.2</v>
      </c>
      <c r="K92" s="12">
        <f t="shared" si="40"/>
        <v>0.2</v>
      </c>
      <c r="L92" s="12">
        <f t="shared" si="40"/>
        <v>0.2</v>
      </c>
    </row>
    <row r="93" spans="1:21" x14ac:dyDescent="0.35">
      <c r="A93" t="s">
        <v>128</v>
      </c>
      <c r="C93" s="14">
        <f t="shared" ref="C93:L93" si="41">IF(C$25&lt;&gt;"",C77+C92,"")</f>
        <v>7.0670000000000002</v>
      </c>
      <c r="D93" s="14">
        <f t="shared" si="41"/>
        <v>7.0670000000000002</v>
      </c>
      <c r="E93" s="14">
        <f t="shared" si="41"/>
        <v>6.9830000000000005</v>
      </c>
      <c r="F93" s="14">
        <f t="shared" si="41"/>
        <v>6.9830000000000005</v>
      </c>
      <c r="G93" s="14">
        <f t="shared" si="41"/>
        <v>6.9830000000000005</v>
      </c>
      <c r="H93" s="14">
        <f t="shared" si="41"/>
        <v>6.9830000000000005</v>
      </c>
      <c r="I93" s="14">
        <f t="shared" si="41"/>
        <v>6.9830000000000005</v>
      </c>
      <c r="J93" s="14">
        <f t="shared" si="41"/>
        <v>6.9830000000000005</v>
      </c>
      <c r="K93" s="14">
        <f t="shared" si="41"/>
        <v>6.9830000000000005</v>
      </c>
      <c r="L93" s="14">
        <f t="shared" si="41"/>
        <v>6.7330000000000005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142" priority="60" operator="greaterThan">
      <formula>$C$69</formula>
    </cfRule>
  </conditionalFormatting>
  <conditionalFormatting sqref="C77">
    <cfRule type="cellIs" dxfId="141" priority="59" operator="greaterThan">
      <formula>$C$70</formula>
    </cfRule>
  </conditionalFormatting>
  <conditionalFormatting sqref="C78">
    <cfRule type="cellIs" dxfId="140" priority="58" operator="greaterThan">
      <formula>$C$71</formula>
    </cfRule>
  </conditionalFormatting>
  <conditionalFormatting sqref="C79">
    <cfRule type="cellIs" dxfId="139" priority="57" operator="greaterThan">
      <formula>$C$72</formula>
    </cfRule>
  </conditionalFormatting>
  <conditionalFormatting sqref="C80">
    <cfRule type="cellIs" dxfId="138" priority="56" operator="greaterThan">
      <formula>$C$73</formula>
    </cfRule>
  </conditionalFormatting>
  <conditionalFormatting sqref="C81">
    <cfRule type="cellIs" dxfId="137" priority="55" operator="greaterThan">
      <formula>$C$74</formula>
    </cfRule>
  </conditionalFormatting>
  <conditionalFormatting sqref="D76">
    <cfRule type="cellIs" dxfId="136" priority="54" operator="greaterThan">
      <formula>$D$69</formula>
    </cfRule>
  </conditionalFormatting>
  <conditionalFormatting sqref="D77">
    <cfRule type="cellIs" dxfId="135" priority="53" operator="greaterThan">
      <formula>$D$70</formula>
    </cfRule>
  </conditionalFormatting>
  <conditionalFormatting sqref="D78">
    <cfRule type="cellIs" dxfId="134" priority="52" operator="greaterThan">
      <formula>$D$71</formula>
    </cfRule>
  </conditionalFormatting>
  <conditionalFormatting sqref="D79">
    <cfRule type="cellIs" dxfId="133" priority="51" operator="greaterThan">
      <formula>$D$72</formula>
    </cfRule>
  </conditionalFormatting>
  <conditionalFormatting sqref="D80">
    <cfRule type="cellIs" dxfId="132" priority="50" operator="greaterThan">
      <formula>$D$73</formula>
    </cfRule>
  </conditionalFormatting>
  <conditionalFormatting sqref="D81">
    <cfRule type="cellIs" dxfId="131" priority="49" operator="greaterThan">
      <formula>$D$74</formula>
    </cfRule>
  </conditionalFormatting>
  <conditionalFormatting sqref="E76">
    <cfRule type="cellIs" dxfId="130" priority="48" operator="greaterThan">
      <formula>$E$69</formula>
    </cfRule>
  </conditionalFormatting>
  <conditionalFormatting sqref="E77">
    <cfRule type="cellIs" dxfId="129" priority="47" operator="greaterThan">
      <formula>$E$70</formula>
    </cfRule>
  </conditionalFormatting>
  <conditionalFormatting sqref="E78">
    <cfRule type="cellIs" dxfId="128" priority="46" operator="greaterThan">
      <formula>$E$71</formula>
    </cfRule>
  </conditionalFormatting>
  <conditionalFormatting sqref="E79">
    <cfRule type="cellIs" dxfId="127" priority="45" operator="greaterThan">
      <formula>$E$72</formula>
    </cfRule>
  </conditionalFormatting>
  <conditionalFormatting sqref="E80">
    <cfRule type="cellIs" dxfId="126" priority="44" operator="greaterThan">
      <formula>$E$73</formula>
    </cfRule>
  </conditionalFormatting>
  <conditionalFormatting sqref="E81">
    <cfRule type="cellIs" dxfId="125" priority="43" operator="greaterThan">
      <formula>$E$74</formula>
    </cfRule>
  </conditionalFormatting>
  <conditionalFormatting sqref="F76">
    <cfRule type="cellIs" dxfId="124" priority="42" operator="greaterThan">
      <formula>$F$69</formula>
    </cfRule>
  </conditionalFormatting>
  <conditionalFormatting sqref="F77">
    <cfRule type="cellIs" dxfId="123" priority="41" operator="greaterThan">
      <formula>$F$70</formula>
    </cfRule>
  </conditionalFormatting>
  <conditionalFormatting sqref="F78">
    <cfRule type="cellIs" dxfId="122" priority="40" operator="greaterThan">
      <formula>$F$71</formula>
    </cfRule>
  </conditionalFormatting>
  <conditionalFormatting sqref="F79">
    <cfRule type="cellIs" dxfId="121" priority="39" operator="greaterThan">
      <formula>$F$72</formula>
    </cfRule>
  </conditionalFormatting>
  <conditionalFormatting sqref="F80">
    <cfRule type="cellIs" dxfId="120" priority="38" operator="greaterThan">
      <formula>$F$73</formula>
    </cfRule>
  </conditionalFormatting>
  <conditionalFormatting sqref="F81">
    <cfRule type="cellIs" dxfId="119" priority="37" operator="greaterThan">
      <formula>$F$74</formula>
    </cfRule>
  </conditionalFormatting>
  <conditionalFormatting sqref="G76">
    <cfRule type="cellIs" dxfId="118" priority="36" operator="greaterThan">
      <formula>$G$69</formula>
    </cfRule>
  </conditionalFormatting>
  <conditionalFormatting sqref="G77">
    <cfRule type="cellIs" dxfId="117" priority="35" operator="greaterThan">
      <formula>$G$70</formula>
    </cfRule>
  </conditionalFormatting>
  <conditionalFormatting sqref="G78">
    <cfRule type="cellIs" dxfId="116" priority="34" operator="greaterThan">
      <formula>$G$71</formula>
    </cfRule>
  </conditionalFormatting>
  <conditionalFormatting sqref="G79">
    <cfRule type="cellIs" dxfId="115" priority="33" operator="greaterThan">
      <formula>$G$72</formula>
    </cfRule>
  </conditionalFormatting>
  <conditionalFormatting sqref="G80">
    <cfRule type="cellIs" dxfId="114" priority="32" operator="greaterThan">
      <formula>$G$73</formula>
    </cfRule>
  </conditionalFormatting>
  <conditionalFormatting sqref="G81">
    <cfRule type="cellIs" dxfId="113" priority="31" operator="greaterThan">
      <formula>$G$74</formula>
    </cfRule>
  </conditionalFormatting>
  <conditionalFormatting sqref="H76">
    <cfRule type="cellIs" dxfId="112" priority="30" operator="greaterThan">
      <formula>$H$69</formula>
    </cfRule>
  </conditionalFormatting>
  <conditionalFormatting sqref="H77">
    <cfRule type="cellIs" dxfId="111" priority="29" operator="greaterThan">
      <formula>$H$70</formula>
    </cfRule>
  </conditionalFormatting>
  <conditionalFormatting sqref="H78">
    <cfRule type="cellIs" dxfId="110" priority="28" operator="greaterThan">
      <formula>$H$71</formula>
    </cfRule>
  </conditionalFormatting>
  <conditionalFormatting sqref="H79">
    <cfRule type="cellIs" dxfId="109" priority="27" operator="greaterThan">
      <formula>$H$72</formula>
    </cfRule>
  </conditionalFormatting>
  <conditionalFormatting sqref="H80">
    <cfRule type="cellIs" dxfId="108" priority="26" operator="greaterThan">
      <formula>$H$73</formula>
    </cfRule>
  </conditionalFormatting>
  <conditionalFormatting sqref="H81">
    <cfRule type="cellIs" dxfId="107" priority="25" operator="greaterThan">
      <formula>$H$74</formula>
    </cfRule>
  </conditionalFormatting>
  <conditionalFormatting sqref="I76">
    <cfRule type="cellIs" dxfId="106" priority="24" operator="greaterThan">
      <formula>$I$69</formula>
    </cfRule>
  </conditionalFormatting>
  <conditionalFormatting sqref="I77">
    <cfRule type="cellIs" dxfId="105" priority="23" operator="greaterThan">
      <formula>$I$70</formula>
    </cfRule>
  </conditionalFormatting>
  <conditionalFormatting sqref="I78">
    <cfRule type="cellIs" dxfId="104" priority="22" operator="greaterThan">
      <formula>$I$71</formula>
    </cfRule>
  </conditionalFormatting>
  <conditionalFormatting sqref="I79">
    <cfRule type="cellIs" dxfId="103" priority="21" operator="greaterThan">
      <formula>$I$72</formula>
    </cfRule>
  </conditionalFormatting>
  <conditionalFormatting sqref="I80">
    <cfRule type="cellIs" dxfId="102" priority="20" operator="greaterThan">
      <formula>$I$73</formula>
    </cfRule>
  </conditionalFormatting>
  <conditionalFormatting sqref="I81">
    <cfRule type="cellIs" dxfId="101" priority="19" operator="greaterThan">
      <formula>$I$74</formula>
    </cfRule>
  </conditionalFormatting>
  <conditionalFormatting sqref="J76">
    <cfRule type="cellIs" dxfId="100" priority="18" operator="greaterThan">
      <formula>$J$69</formula>
    </cfRule>
  </conditionalFormatting>
  <conditionalFormatting sqref="J77">
    <cfRule type="cellIs" dxfId="99" priority="17" operator="greaterThan">
      <formula>$J$70</formula>
    </cfRule>
  </conditionalFormatting>
  <conditionalFormatting sqref="J78">
    <cfRule type="cellIs" dxfId="98" priority="16" operator="greaterThan">
      <formula>$J$71</formula>
    </cfRule>
  </conditionalFormatting>
  <conditionalFormatting sqref="J79">
    <cfRule type="cellIs" dxfId="97" priority="15" operator="greaterThan">
      <formula>$J$72</formula>
    </cfRule>
  </conditionalFormatting>
  <conditionalFormatting sqref="J80">
    <cfRule type="cellIs" dxfId="96" priority="14" operator="greaterThan">
      <formula>$J$73</formula>
    </cfRule>
  </conditionalFormatting>
  <conditionalFormatting sqref="J81">
    <cfRule type="cellIs" dxfId="95" priority="13" operator="greaterThan">
      <formula>$J$74</formula>
    </cfRule>
  </conditionalFormatting>
  <conditionalFormatting sqref="K76">
    <cfRule type="cellIs" dxfId="94" priority="12" operator="greaterThan">
      <formula>$K$69</formula>
    </cfRule>
  </conditionalFormatting>
  <conditionalFormatting sqref="K77">
    <cfRule type="cellIs" dxfId="93" priority="11" operator="greaterThan">
      <formula>$K$70</formula>
    </cfRule>
  </conditionalFormatting>
  <conditionalFormatting sqref="K78">
    <cfRule type="cellIs" dxfId="92" priority="10" operator="greaterThan">
      <formula>$K$71</formula>
    </cfRule>
  </conditionalFormatting>
  <conditionalFormatting sqref="K79">
    <cfRule type="cellIs" dxfId="91" priority="9" operator="greaterThan">
      <formula>$K$72</formula>
    </cfRule>
  </conditionalFormatting>
  <conditionalFormatting sqref="K80">
    <cfRule type="cellIs" dxfId="90" priority="8" operator="greaterThan">
      <formula>$K$73</formula>
    </cfRule>
  </conditionalFormatting>
  <conditionalFormatting sqref="K81">
    <cfRule type="cellIs" dxfId="89" priority="7" operator="greaterThan">
      <formula>$K$74</formula>
    </cfRule>
  </conditionalFormatting>
  <conditionalFormatting sqref="L76">
    <cfRule type="cellIs" dxfId="88" priority="6" operator="greaterThan">
      <formula>$L$69</formula>
    </cfRule>
  </conditionalFormatting>
  <conditionalFormatting sqref="L77">
    <cfRule type="cellIs" dxfId="87" priority="5" operator="greaterThan">
      <formula>$L$70</formula>
    </cfRule>
  </conditionalFormatting>
  <conditionalFormatting sqref="L78">
    <cfRule type="cellIs" dxfId="86" priority="4" operator="greaterThan">
      <formula>$L$71</formula>
    </cfRule>
  </conditionalFormatting>
  <conditionalFormatting sqref="L79">
    <cfRule type="cellIs" dxfId="85" priority="3" operator="greaterThan">
      <formula>$L$72</formula>
    </cfRule>
  </conditionalFormatting>
  <conditionalFormatting sqref="L80">
    <cfRule type="cellIs" dxfId="84" priority="2" operator="greaterThan">
      <formula>$L$73</formula>
    </cfRule>
  </conditionalFormatting>
  <conditionalFormatting sqref="L81">
    <cfRule type="cellIs" dxfId="83" priority="1" operator="greaterThan">
      <formula>$L$74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Y1"/>
  <sheetViews>
    <sheetView topLeftCell="C1" workbookViewId="0">
      <selection activeCell="P1" sqref="P1:Y1"/>
    </sheetView>
  </sheetViews>
  <sheetFormatPr defaultRowHeight="14.5" x14ac:dyDescent="0.35"/>
  <cols>
    <col min="7" max="7" width="7.90625" customWidth="1"/>
  </cols>
  <sheetData>
    <row r="1" spans="7:25" ht="36" x14ac:dyDescent="0.8">
      <c r="G1" s="48" t="s">
        <v>40</v>
      </c>
      <c r="P1" s="120" t="s">
        <v>41</v>
      </c>
      <c r="Q1" s="120"/>
      <c r="R1" s="120"/>
      <c r="S1" s="120"/>
      <c r="T1" s="120"/>
      <c r="U1" s="120"/>
      <c r="V1" s="120"/>
      <c r="W1" s="120"/>
      <c r="X1" s="120"/>
      <c r="Y1" s="120"/>
    </row>
  </sheetData>
  <mergeCells count="1">
    <mergeCell ref="P1:Y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8F77-0822-4F91-8385-82FEF379CE79}">
  <dimension ref="A1:U95"/>
  <sheetViews>
    <sheetView topLeftCell="A25" zoomScale="150" zoomScaleNormal="150" workbookViewId="0">
      <selection activeCell="B30" sqref="B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63"/>
      <c r="I3" s="63"/>
      <c r="J3" s="63"/>
      <c r="K3" s="63"/>
    </row>
    <row r="4" spans="1:11" x14ac:dyDescent="0.35">
      <c r="A4" s="64" t="s">
        <v>39</v>
      </c>
      <c r="B4" s="64" t="s">
        <v>43</v>
      </c>
      <c r="C4" s="116" t="s">
        <v>44</v>
      </c>
      <c r="D4" s="117"/>
      <c r="E4" s="117"/>
      <c r="F4" s="117"/>
      <c r="G4" s="118"/>
    </row>
    <row r="5" spans="1:11" x14ac:dyDescent="0.35">
      <c r="A5" s="65" t="s">
        <v>52</v>
      </c>
      <c r="B5" s="65"/>
      <c r="C5" s="119"/>
      <c r="D5" s="119"/>
      <c r="E5" s="119"/>
      <c r="F5" s="119"/>
      <c r="G5" s="119"/>
    </row>
    <row r="6" spans="1:11" x14ac:dyDescent="0.35">
      <c r="A6" s="66" t="s">
        <v>40</v>
      </c>
      <c r="B6" s="66" t="s">
        <v>184</v>
      </c>
      <c r="C6" s="113" t="s">
        <v>183</v>
      </c>
      <c r="D6" s="113"/>
      <c r="E6" s="113"/>
      <c r="F6" s="113"/>
      <c r="G6" s="113"/>
    </row>
    <row r="7" spans="1:11" x14ac:dyDescent="0.35">
      <c r="A7" s="66" t="s">
        <v>41</v>
      </c>
      <c r="B7" s="66" t="s">
        <v>184</v>
      </c>
      <c r="C7" s="114" t="s">
        <v>181</v>
      </c>
      <c r="D7" s="114"/>
      <c r="E7" s="114"/>
      <c r="F7" s="114"/>
      <c r="G7" s="114"/>
    </row>
    <row r="8" spans="1:11" x14ac:dyDescent="0.35">
      <c r="A8" s="66" t="s">
        <v>42</v>
      </c>
      <c r="B8" s="66" t="s">
        <v>184</v>
      </c>
      <c r="C8" s="113" t="s">
        <v>183</v>
      </c>
      <c r="D8" s="113"/>
      <c r="E8" s="113"/>
      <c r="F8" s="113"/>
      <c r="G8" s="113"/>
    </row>
    <row r="9" spans="1:11" x14ac:dyDescent="0.35">
      <c r="A9" s="66" t="s">
        <v>165</v>
      </c>
      <c r="B9" s="66" t="s">
        <v>184</v>
      </c>
      <c r="C9" s="114" t="s">
        <v>182</v>
      </c>
      <c r="D9" s="114"/>
      <c r="E9" s="114"/>
      <c r="F9" s="114"/>
      <c r="G9" s="114"/>
    </row>
    <row r="10" spans="1:11" x14ac:dyDescent="0.35">
      <c r="A10" s="66" t="s">
        <v>166</v>
      </c>
      <c r="B10" s="66" t="s">
        <v>184</v>
      </c>
      <c r="C10" s="114" t="s">
        <v>180</v>
      </c>
      <c r="D10" s="114"/>
      <c r="E10" s="114"/>
      <c r="F10" s="114"/>
      <c r="G10" s="114"/>
    </row>
    <row r="11" spans="1:11" x14ac:dyDescent="0.35">
      <c r="A11" s="66"/>
      <c r="B11" s="66"/>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185</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4"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4" x14ac:dyDescent="0.35">
      <c r="A27" s="1" t="s">
        <v>126</v>
      </c>
      <c r="B27" s="14">
        <f>SUM(B28:B33)-SUM(B22:C22)</f>
        <v>0</v>
      </c>
      <c r="C27" s="14">
        <f>IF(C$25&lt;&gt;"",SUM(B22:C22),"")</f>
        <v>21.1</v>
      </c>
      <c r="D27" s="14">
        <f>IF(D$25&lt;&gt;"",C89,"")</f>
        <v>20.117643553511979</v>
      </c>
      <c r="E27" s="14">
        <f t="shared" ref="E27:L27" si="2">IF(E$25&lt;&gt;"",D89,"")</f>
        <v>19.204495019067537</v>
      </c>
      <c r="F27" s="14">
        <f t="shared" si="2"/>
        <v>18.358018351336455</v>
      </c>
      <c r="G27" s="14">
        <f t="shared" si="2"/>
        <v>17.582444867390837</v>
      </c>
      <c r="H27" s="14">
        <f t="shared" si="2"/>
        <v>16.830213058945226</v>
      </c>
      <c r="I27" s="14">
        <f t="shared" si="2"/>
        <v>16.058466871865658</v>
      </c>
      <c r="J27" s="14">
        <f t="shared" si="2"/>
        <v>17.354661447421812</v>
      </c>
      <c r="K27" s="14">
        <f t="shared" si="2"/>
        <v>18.609850197476796</v>
      </c>
      <c r="L27" s="14">
        <f t="shared" si="2"/>
        <v>19.762702898839898</v>
      </c>
    </row>
    <row r="28" spans="1:14" x14ac:dyDescent="0.35">
      <c r="A28" t="str">
        <f>IF(A6="","","    "&amp;A6&amp;" Balance")</f>
        <v xml:space="preserve">    Upper Basin Balance</v>
      </c>
      <c r="B28" s="55">
        <f>B22</f>
        <v>11</v>
      </c>
      <c r="C28" s="14">
        <f>IF(OR(C$25="",$A28=""),"",B28)</f>
        <v>11</v>
      </c>
      <c r="D28" s="14">
        <f>IF(OR(D$25="",$A28=""),"",C83)</f>
        <v>10.432257133649305</v>
      </c>
      <c r="E28" s="14">
        <f t="shared" ref="E28:L28" si="3">IF(OR(E$25="",$A28=""),"",D83)</f>
        <v>9.8829965026836284</v>
      </c>
      <c r="F28" s="14">
        <f t="shared" si="3"/>
        <v>9.3505351032260542</v>
      </c>
      <c r="G28" s="14">
        <f t="shared" si="3"/>
        <v>8.8366866013245442</v>
      </c>
      <c r="H28" s="14">
        <f t="shared" si="3"/>
        <v>8.340922317583896</v>
      </c>
      <c r="I28" s="14">
        <f t="shared" si="3"/>
        <v>7.8638282205688048</v>
      </c>
      <c r="J28" s="14">
        <f t="shared" si="3"/>
        <v>9.403592011244001</v>
      </c>
      <c r="K28" s="14">
        <f t="shared" si="3"/>
        <v>10.875853247459819</v>
      </c>
      <c r="L28" s="14">
        <f t="shared" si="3"/>
        <v>12.287183355972239</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9.2911542201348674</v>
      </c>
      <c r="F29" s="14">
        <f t="shared" si="6"/>
        <v>9.0074832481104004</v>
      </c>
      <c r="G29" s="14">
        <f t="shared" si="6"/>
        <v>8.7302027105107385</v>
      </c>
      <c r="H29" s="14">
        <f t="shared" si="6"/>
        <v>8.4589907311455086</v>
      </c>
      <c r="I29" s="14">
        <f t="shared" si="6"/>
        <v>8.1946386512968523</v>
      </c>
      <c r="J29" s="14">
        <f t="shared" si="6"/>
        <v>7.9355138806222554</v>
      </c>
      <c r="K29" s="14">
        <f t="shared" si="6"/>
        <v>7.7037009343720735</v>
      </c>
      <c r="L29" s="14">
        <f t="shared" si="6"/>
        <v>7.4755195428676595</v>
      </c>
      <c r="N29" t="s">
        <v>223</v>
      </c>
    </row>
    <row r="30" spans="1:14" x14ac:dyDescent="0.35">
      <c r="A30" t="str">
        <f t="shared" si="4"/>
        <v xml:space="preserve">    Mexico Balance</v>
      </c>
      <c r="B30" s="56">
        <v>4.1000000000000002E-2</v>
      </c>
      <c r="C30" s="59">
        <f t="shared" si="5"/>
        <v>4.1000000000000002E-2</v>
      </c>
      <c r="D30" s="59">
        <f t="shared" si="6"/>
        <v>0</v>
      </c>
      <c r="E30" s="59">
        <f t="shared" si="6"/>
        <v>0</v>
      </c>
      <c r="F30" s="59">
        <f t="shared" si="6"/>
        <v>0</v>
      </c>
      <c r="G30" s="59">
        <f t="shared" si="6"/>
        <v>0</v>
      </c>
      <c r="H30" s="59">
        <f t="shared" si="6"/>
        <v>0</v>
      </c>
      <c r="I30" s="59">
        <f t="shared" si="6"/>
        <v>0</v>
      </c>
      <c r="J30" s="59">
        <f t="shared" si="6"/>
        <v>0</v>
      </c>
      <c r="K30" s="59">
        <f t="shared" si="6"/>
        <v>0</v>
      </c>
      <c r="L30" s="59">
        <f t="shared" si="6"/>
        <v>0</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4" x14ac:dyDescent="0.35">
      <c r="A32" t="str">
        <f t="shared" si="4"/>
        <v xml:space="preserve">    Colorado River Delta Balance</v>
      </c>
      <c r="B32" s="56">
        <v>0</v>
      </c>
      <c r="C32" s="14">
        <f t="shared" si="5"/>
        <v>0</v>
      </c>
      <c r="D32" s="14">
        <f t="shared" si="6"/>
        <v>1.5555555555555553E-2</v>
      </c>
      <c r="E32" s="14">
        <f t="shared" si="6"/>
        <v>3.034429624904076E-2</v>
      </c>
      <c r="F32" s="14">
        <f t="shared" si="6"/>
        <v>0</v>
      </c>
      <c r="G32" s="14">
        <f t="shared" si="6"/>
        <v>1.5555555555555553E-2</v>
      </c>
      <c r="H32" s="14">
        <f t="shared" si="6"/>
        <v>3.0300010215819753E-2</v>
      </c>
      <c r="I32" s="14">
        <f t="shared" si="6"/>
        <v>0</v>
      </c>
      <c r="J32" s="14">
        <f t="shared" si="6"/>
        <v>1.5555555555555553E-2</v>
      </c>
      <c r="K32" s="14">
        <f t="shared" si="6"/>
        <v>3.0296015644904608E-2</v>
      </c>
      <c r="L32" s="14">
        <f t="shared" si="6"/>
        <v>0</v>
      </c>
    </row>
    <row r="33" spans="1:12" x14ac:dyDescent="0.35">
      <c r="A33" t="str">
        <f t="shared" si="4"/>
        <v/>
      </c>
      <c r="B33" s="56">
        <v>0</v>
      </c>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10.058821776755989</v>
      </c>
      <c r="E35" s="14">
        <f t="shared" si="7"/>
        <v>9.6022475095337683</v>
      </c>
      <c r="F35" s="14">
        <f t="shared" si="7"/>
        <v>9.1790091756682273</v>
      </c>
      <c r="G35" s="14">
        <f t="shared" si="7"/>
        <v>8.7912224336954186</v>
      </c>
      <c r="H35" s="14">
        <f t="shared" si="7"/>
        <v>8.4151065294726131</v>
      </c>
      <c r="I35" s="14">
        <f t="shared" si="7"/>
        <v>8.029233435932829</v>
      </c>
      <c r="J35" s="14">
        <f t="shared" si="7"/>
        <v>8.6773307237109059</v>
      </c>
      <c r="K35" s="14">
        <f t="shared" si="7"/>
        <v>9.3049250987383978</v>
      </c>
      <c r="L35" s="14">
        <f t="shared" si="7"/>
        <v>9.8813514494199488</v>
      </c>
    </row>
    <row r="36" spans="1:12" x14ac:dyDescent="0.35">
      <c r="A36" t="s">
        <v>116</v>
      </c>
      <c r="B36" s="35">
        <f>1-B35</f>
        <v>0.5</v>
      </c>
      <c r="C36" s="14">
        <f>IF(C$25&lt;&gt;"",C22,"")</f>
        <v>10.1</v>
      </c>
      <c r="D36" s="14">
        <f t="shared" si="7"/>
        <v>10.058821776755989</v>
      </c>
      <c r="E36" s="14">
        <f t="shared" si="7"/>
        <v>9.6022475095337683</v>
      </c>
      <c r="F36" s="14">
        <f t="shared" si="7"/>
        <v>9.1790091756682273</v>
      </c>
      <c r="G36" s="14">
        <f t="shared" si="7"/>
        <v>8.7912224336954186</v>
      </c>
      <c r="H36" s="14">
        <f t="shared" si="7"/>
        <v>8.4151065294726131</v>
      </c>
      <c r="I36" s="14">
        <f t="shared" si="7"/>
        <v>8.029233435932829</v>
      </c>
      <c r="J36" s="14">
        <f t="shared" si="7"/>
        <v>8.6773307237109059</v>
      </c>
      <c r="K36" s="14">
        <f t="shared" si="7"/>
        <v>9.3049250987383978</v>
      </c>
      <c r="L36" s="14">
        <f t="shared" si="7"/>
        <v>9.8813514494199488</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0.99170409000000004</v>
      </c>
      <c r="E37" s="14">
        <f>IF(E$25&lt;&gt;"",VLOOKUP(E35*1000000,'Powell-Elevation-Area'!$B$5:$D$689,3)*$B$21/1000000 + VLOOKUP(E36*1000000,'Mead-Elevation-Area'!$B$5:$D$676,3)*$C$21/1000000,"")</f>
        <v>0.96665975399942705</v>
      </c>
      <c r="F37" s="14">
        <f>IF(F$25&lt;&gt;"",VLOOKUP(F35*1000000,'Powell-Elevation-Area'!$B$5:$D$689,3)*$B$21/1000000 + VLOOKUP(F36*1000000,'Mead-Elevation-Area'!$B$5:$D$676,3)*$C$21/1000000,"")</f>
        <v>0.94012903950117299</v>
      </c>
      <c r="G37" s="14">
        <f>IF(G$25&lt;&gt;"",VLOOKUP(G35*1000000,'Powell-Elevation-Area'!$B$5:$D$689,3)*$B$21/1000000 + VLOOKUP(G36*1000000,'Mead-Elevation-Area'!$B$5:$D$676,3)*$C$21/1000000,"")</f>
        <v>0.916787364001173</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0.90936680550057303</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0.98111087099942695</v>
      </c>
    </row>
    <row r="38" spans="1:12" x14ac:dyDescent="0.35">
      <c r="A38" t="str">
        <f>IF(A6="","","    "&amp;A6&amp;" Share")</f>
        <v xml:space="preserve">    Upper Basin Share</v>
      </c>
      <c r="B38" s="1"/>
      <c r="C38" s="14">
        <f>IF(OR(C$25="",$A38=""),"",C$37*C28/C$27)</f>
        <v>0.5327428663506969</v>
      </c>
      <c r="D38" s="14">
        <f t="shared" ref="D38:L38" si="8">IF(OR(D$25="",$A38=""),"",D$37*D28/D$27)</f>
        <v>0.51426063096567887</v>
      </c>
      <c r="E38" s="14">
        <f t="shared" si="8"/>
        <v>0.49746139945757445</v>
      </c>
      <c r="F38" s="14">
        <f t="shared" si="8"/>
        <v>0.47884850190151118</v>
      </c>
      <c r="G38" s="14">
        <f t="shared" si="8"/>
        <v>0.46076428374065043</v>
      </c>
      <c r="H38" s="14">
        <f t="shared" si="8"/>
        <v>0.44209409701509211</v>
      </c>
      <c r="I38" s="14">
        <f t="shared" si="8"/>
        <v>0.42523620932480216</v>
      </c>
      <c r="J38" s="14">
        <f t="shared" si="8"/>
        <v>0.49273876378418424</v>
      </c>
      <c r="K38" s="14">
        <f t="shared" si="8"/>
        <v>0.55366989148758416</v>
      </c>
      <c r="L38" s="14">
        <f t="shared" si="8"/>
        <v>0.60999192399007518</v>
      </c>
    </row>
    <row r="39" spans="1:12" x14ac:dyDescent="0.35">
      <c r="A39" t="str">
        <f t="shared" ref="A39:A43" si="9">IF(A7="","","    "&amp;A7&amp;" Share")</f>
        <v xml:space="preserve">    Lower Basin Share</v>
      </c>
      <c r="B39" s="1"/>
      <c r="C39" s="14">
        <f t="shared" ref="C39:L43" si="10">IF(OR(C$25="",$A39=""),"",C$37*C29/C$27)</f>
        <v>0.48716913569287823</v>
      </c>
      <c r="D39" s="14">
        <f t="shared" si="10"/>
        <v>0.47667664417225086</v>
      </c>
      <c r="E39" s="14">
        <f t="shared" si="10"/>
        <v>0.46767097202446489</v>
      </c>
      <c r="F39" s="14">
        <f t="shared" si="10"/>
        <v>0.46128053759966181</v>
      </c>
      <c r="G39" s="14">
        <f t="shared" si="10"/>
        <v>0.45521197936523133</v>
      </c>
      <c r="H39" s="14">
        <f t="shared" si="10"/>
        <v>0.44835207984865549</v>
      </c>
      <c r="I39" s="14">
        <f t="shared" si="10"/>
        <v>0.44312477067459788</v>
      </c>
      <c r="J39" s="14">
        <f t="shared" si="10"/>
        <v>0.41581294625018228</v>
      </c>
      <c r="K39" s="14">
        <f t="shared" si="10"/>
        <v>0.3921813915044135</v>
      </c>
      <c r="L39" s="14">
        <f t="shared" si="10"/>
        <v>0.37111894700935177</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xml:space="preserve">    Colorado River Delta Share</v>
      </c>
      <c r="B42" s="1"/>
      <c r="C42" s="14">
        <f t="shared" si="10"/>
        <v>0</v>
      </c>
      <c r="D42" s="14">
        <f t="shared" si="10"/>
        <v>7.6681486207034566E-4</v>
      </c>
      <c r="E42" s="14">
        <f t="shared" si="10"/>
        <v>1.5273825173877291E-3</v>
      </c>
      <c r="F42" s="14">
        <f t="shared" si="10"/>
        <v>0</v>
      </c>
      <c r="G42" s="14">
        <f t="shared" si="10"/>
        <v>8.1110089529135389E-4</v>
      </c>
      <c r="H42" s="14">
        <f t="shared" si="10"/>
        <v>1.6059921368253606E-3</v>
      </c>
      <c r="I42" s="14">
        <f t="shared" si="10"/>
        <v>0</v>
      </c>
      <c r="J42" s="14">
        <f t="shared" si="10"/>
        <v>8.1509546620649946E-4</v>
      </c>
      <c r="K42" s="14">
        <f t="shared" si="10"/>
        <v>1.5423150085753729E-3</v>
      </c>
      <c r="L42" s="14">
        <f t="shared" si="10"/>
        <v>0</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1.4239999999999999</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xml:space="preserve">    To Colorado River Delta</v>
      </c>
      <c r="B50" s="44">
        <v>0</v>
      </c>
      <c r="C50" s="14">
        <f t="shared" si="16"/>
        <v>0</v>
      </c>
      <c r="D50" s="59">
        <f t="shared" si="16"/>
        <v>0</v>
      </c>
      <c r="E50" s="59">
        <f t="shared" si="16"/>
        <v>0</v>
      </c>
      <c r="F50" s="59">
        <f t="shared" si="16"/>
        <v>0</v>
      </c>
      <c r="G50" s="59">
        <f t="shared" si="16"/>
        <v>0</v>
      </c>
      <c r="H50" s="59">
        <f t="shared" si="16"/>
        <v>0</v>
      </c>
      <c r="I50" s="59">
        <f t="shared" si="16"/>
        <v>0</v>
      </c>
      <c r="J50" s="59">
        <f t="shared" si="16"/>
        <v>0</v>
      </c>
      <c r="K50" s="59">
        <f t="shared" si="16"/>
        <v>0</v>
      </c>
      <c r="L50" s="59">
        <f t="shared" si="16"/>
        <v>0</v>
      </c>
    </row>
    <row r="51" spans="1:13" x14ac:dyDescent="0.35">
      <c r="A51" t="str">
        <f t="shared" si="13"/>
        <v/>
      </c>
      <c r="B51" s="44">
        <v>0</v>
      </c>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-0.51199999999999979</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0.71199999999999997</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xml:space="preserve">    To Colorado River Delta</v>
      </c>
      <c r="B57" s="77">
        <f>0.21/9*(2/3)</f>
        <v>1.5555555555555553E-2</v>
      </c>
      <c r="C57" s="14">
        <f t="shared" ref="C57:L58" si="22">IF(OR($A57="",C$25=""),"",IF(C$26&gt;$B57,$B57,C$26))</f>
        <v>1.5555555555555553E-2</v>
      </c>
      <c r="D57" s="14">
        <f t="shared" si="22"/>
        <v>1.5555555555555553E-2</v>
      </c>
      <c r="E57" s="14">
        <f t="shared" si="22"/>
        <v>1.5555555555555553E-2</v>
      </c>
      <c r="F57" s="14">
        <f t="shared" si="22"/>
        <v>1.5555555555555553E-2</v>
      </c>
      <c r="G57" s="14">
        <f t="shared" si="22"/>
        <v>1.5555555555555553E-2</v>
      </c>
      <c r="H57" s="14">
        <f t="shared" si="22"/>
        <v>1.5555555555555553E-2</v>
      </c>
      <c r="I57" s="14">
        <f t="shared" si="22"/>
        <v>1.5555555555555553E-2</v>
      </c>
      <c r="J57" s="14">
        <f t="shared" si="22"/>
        <v>1.5555555555555553E-2</v>
      </c>
      <c r="K57" s="14">
        <f t="shared" si="22"/>
        <v>1.5555555555555553E-2</v>
      </c>
      <c r="L57" s="14">
        <f t="shared" si="22"/>
        <v>1.5555555555555553E-2</v>
      </c>
    </row>
    <row r="58" spans="1:13" x14ac:dyDescent="0.35">
      <c r="A58" t="str">
        <f t="shared" si="18"/>
        <v/>
      </c>
      <c r="B58" s="44">
        <v>0</v>
      </c>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v>0.02</v>
      </c>
      <c r="L61" s="62"/>
      <c r="M61" s="54">
        <f t="shared" ref="M61:M65" si="24">SUMPRODUCT(C61:L61,C$67:L$67)</f>
        <v>7</v>
      </c>
    </row>
    <row r="62" spans="1:13" x14ac:dyDescent="0.35">
      <c r="A62" t="str">
        <f t="shared" si="23"/>
        <v xml:space="preserve">    Mexico</v>
      </c>
      <c r="B62" s="1"/>
      <c r="C62" s="50"/>
      <c r="D62" s="50"/>
      <c r="E62" s="68">
        <v>1.6E-2</v>
      </c>
      <c r="F62" s="50"/>
      <c r="G62" s="50"/>
      <c r="H62" s="68">
        <v>1.6E-2</v>
      </c>
      <c r="I62" s="50"/>
      <c r="J62" s="50"/>
      <c r="K62" s="68">
        <v>1.6E-2</v>
      </c>
      <c r="L62" s="50"/>
      <c r="M62" s="54">
        <f t="shared" si="24"/>
        <v>16.8</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xml:space="preserve">    Colorado River Delta</v>
      </c>
      <c r="B64" s="1"/>
      <c r="C64" s="50"/>
      <c r="D64" s="50"/>
      <c r="E64" s="68">
        <v>-1.6E-2</v>
      </c>
      <c r="F64" s="50"/>
      <c r="G64" s="50"/>
      <c r="H64" s="68">
        <v>-1.6E-2</v>
      </c>
      <c r="I64" s="50"/>
      <c r="J64" s="50"/>
      <c r="K64" s="68">
        <v>-3.5999999999999997E-2</v>
      </c>
      <c r="L64" s="50"/>
      <c r="M64" s="54">
        <f t="shared" si="24"/>
        <v>-23.8</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f t="shared" si="25"/>
        <v>0</v>
      </c>
      <c r="I66" s="53">
        <f t="shared" si="25"/>
        <v>0</v>
      </c>
      <c r="J66" s="53">
        <f t="shared" si="25"/>
        <v>0</v>
      </c>
      <c r="K66" s="53">
        <f t="shared" si="25"/>
        <v>0</v>
      </c>
      <c r="L66" s="53">
        <f t="shared" si="25"/>
        <v>0</v>
      </c>
      <c r="M66" s="34"/>
    </row>
    <row r="67" spans="1:21" x14ac:dyDescent="0.35">
      <c r="A67" t="s">
        <v>160</v>
      </c>
      <c r="B67" s="1"/>
      <c r="C67" s="31"/>
      <c r="D67" s="31"/>
      <c r="E67" s="31">
        <v>350</v>
      </c>
      <c r="F67" s="31"/>
      <c r="G67" s="31"/>
      <c r="H67" s="31">
        <v>350</v>
      </c>
      <c r="I67" s="31"/>
      <c r="J67" s="31"/>
      <c r="K67" s="31">
        <v>350</v>
      </c>
      <c r="L67" s="31"/>
    </row>
    <row r="68" spans="1:21" x14ac:dyDescent="0.35">
      <c r="A68" s="1" t="s">
        <v>186</v>
      </c>
      <c r="B68" s="1"/>
      <c r="C68"/>
    </row>
    <row r="69" spans="1:21" x14ac:dyDescent="0.35">
      <c r="A69" t="str">
        <f>IF(A6="","","    "&amp;A6)</f>
        <v xml:space="preserve">    Upper Basin</v>
      </c>
      <c r="C69" s="14">
        <f>IF(OR(C$25="",$A69=""),"",C28+C46+C53-C38-C60)</f>
        <v>14.632257133649304</v>
      </c>
      <c r="D69" s="14">
        <f t="shared" ref="D69:L69" si="26">IF(OR(D$25="",$A69=""),"",D28+D46+D53-D38-D60)</f>
        <v>14.082996502683628</v>
      </c>
      <c r="E69" s="14">
        <f t="shared" si="26"/>
        <v>13.550535103226055</v>
      </c>
      <c r="F69" s="14">
        <f t="shared" si="26"/>
        <v>13.036686601324543</v>
      </c>
      <c r="G69" s="14">
        <f t="shared" si="26"/>
        <v>12.540922317583895</v>
      </c>
      <c r="H69" s="14">
        <f t="shared" si="26"/>
        <v>12.063828220568805</v>
      </c>
      <c r="I69" s="14">
        <f t="shared" si="26"/>
        <v>13.603592011244002</v>
      </c>
      <c r="J69" s="14">
        <f t="shared" si="26"/>
        <v>15.075853247459818</v>
      </c>
      <c r="K69" s="14">
        <f t="shared" si="26"/>
        <v>16.487183355972238</v>
      </c>
      <c r="L69" s="14">
        <f t="shared" si="26"/>
        <v>17.842191431982162</v>
      </c>
    </row>
    <row r="70" spans="1:21" x14ac:dyDescent="0.35">
      <c r="A70" t="str">
        <f t="shared" ref="A70:A74" si="27">IF(A7="","","    "&amp;A7)</f>
        <v xml:space="preserve">    Lower Basin</v>
      </c>
      <c r="C70" s="14">
        <f t="shared" ref="C70:L74" si="28">IF(OR(C$25="",$A70=""),"",C29+C47+C54-C39-C61)</f>
        <v>16.53683086430712</v>
      </c>
      <c r="D70" s="14">
        <f t="shared" si="28"/>
        <v>16.158154220134868</v>
      </c>
      <c r="E70" s="14">
        <f t="shared" si="28"/>
        <v>15.790483248110402</v>
      </c>
      <c r="F70" s="14">
        <f t="shared" si="28"/>
        <v>15.51320271051074</v>
      </c>
      <c r="G70" s="14">
        <f t="shared" si="28"/>
        <v>15.241990731145508</v>
      </c>
      <c r="H70" s="14">
        <f t="shared" si="28"/>
        <v>14.977638651296854</v>
      </c>
      <c r="I70" s="14">
        <f t="shared" si="28"/>
        <v>14.718513880622256</v>
      </c>
      <c r="J70" s="14">
        <f t="shared" si="28"/>
        <v>14.486700934372074</v>
      </c>
      <c r="K70" s="14">
        <f t="shared" si="28"/>
        <v>14.25851954286766</v>
      </c>
      <c r="L70" s="14">
        <f t="shared" si="28"/>
        <v>14.092400595858306</v>
      </c>
    </row>
    <row r="71" spans="1:21" x14ac:dyDescent="0.35">
      <c r="A71" t="str">
        <f t="shared" si="27"/>
        <v xml:space="preserve">    Mexico</v>
      </c>
      <c r="C71" s="60">
        <f t="shared" si="28"/>
        <v>1.5090143220436021</v>
      </c>
      <c r="D71" s="14">
        <f t="shared" si="28"/>
        <v>1.47</v>
      </c>
      <c r="E71" s="14">
        <f t="shared" si="28"/>
        <v>1.452</v>
      </c>
      <c r="F71" s="14">
        <f t="shared" si="28"/>
        <v>1.468</v>
      </c>
      <c r="G71" s="14">
        <f t="shared" si="28"/>
        <v>1.468</v>
      </c>
      <c r="H71" s="14">
        <f t="shared" si="28"/>
        <v>1.452</v>
      </c>
      <c r="I71" s="14">
        <f t="shared" si="28"/>
        <v>1.468</v>
      </c>
      <c r="J71" s="14">
        <f t="shared" si="28"/>
        <v>1.468</v>
      </c>
      <c r="K71" s="14">
        <f t="shared" si="28"/>
        <v>1.452</v>
      </c>
      <c r="L71" s="14">
        <f t="shared" si="28"/>
        <v>1.4470000000000001</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f t="shared" si="28"/>
        <v>0.6</v>
      </c>
      <c r="I72" s="14">
        <f t="shared" si="28"/>
        <v>0.6</v>
      </c>
      <c r="J72" s="14">
        <f t="shared" si="28"/>
        <v>0.6</v>
      </c>
      <c r="K72" s="14">
        <f t="shared" si="28"/>
        <v>0.6</v>
      </c>
      <c r="L72" s="14">
        <f t="shared" si="28"/>
        <v>0.6</v>
      </c>
    </row>
    <row r="73" spans="1:21" x14ac:dyDescent="0.35">
      <c r="A73" t="str">
        <f t="shared" si="27"/>
        <v xml:space="preserve">    Colorado River Delta</v>
      </c>
      <c r="C73" s="60">
        <f t="shared" si="28"/>
        <v>1.5555555555555553E-2</v>
      </c>
      <c r="D73" s="60">
        <f t="shared" si="28"/>
        <v>3.034429624904076E-2</v>
      </c>
      <c r="E73" s="60">
        <f t="shared" si="28"/>
        <v>6.0372469287208581E-2</v>
      </c>
      <c r="F73" s="60">
        <f t="shared" si="28"/>
        <v>1.5555555555555553E-2</v>
      </c>
      <c r="G73" s="60">
        <f t="shared" si="28"/>
        <v>3.0300010215819753E-2</v>
      </c>
      <c r="H73" s="60">
        <f t="shared" si="28"/>
        <v>6.0249573634549941E-2</v>
      </c>
      <c r="I73" s="60">
        <f t="shared" si="28"/>
        <v>1.5555555555555553E-2</v>
      </c>
      <c r="J73" s="60">
        <f t="shared" si="28"/>
        <v>3.0296015644904608E-2</v>
      </c>
      <c r="K73" s="60">
        <f t="shared" si="28"/>
        <v>8.0309256191884781E-2</v>
      </c>
      <c r="L73" s="60">
        <f t="shared" si="28"/>
        <v>1.5555555555555553E-2</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29">IF(D69&gt;6.1+4.2,4.2,MAX(D69-6.1,0))</f>
        <v>4.2</v>
      </c>
      <c r="E76" s="43">
        <f t="shared" si="29"/>
        <v>4.2</v>
      </c>
      <c r="F76" s="43">
        <f t="shared" si="29"/>
        <v>4.2</v>
      </c>
      <c r="G76" s="43">
        <f t="shared" si="29"/>
        <v>4.2</v>
      </c>
      <c r="H76" s="43">
        <f t="shared" si="29"/>
        <v>4.2</v>
      </c>
      <c r="I76" s="43">
        <f t="shared" si="29"/>
        <v>4.2</v>
      </c>
      <c r="J76" s="43">
        <f t="shared" si="29"/>
        <v>4.2</v>
      </c>
      <c r="K76" s="43">
        <f t="shared" si="29"/>
        <v>4.2</v>
      </c>
      <c r="L76" s="43">
        <f t="shared" si="29"/>
        <v>4.2</v>
      </c>
      <c r="N76" s="1" t="s">
        <v>129</v>
      </c>
    </row>
    <row r="77" spans="1:21" x14ac:dyDescent="0.35">
      <c r="A77" t="str">
        <f>IF(A7="","","    "&amp;A7&amp;" - Release from Mead")</f>
        <v xml:space="preserve">    Lower Basin - Release from Mead</v>
      </c>
      <c r="C77" s="43">
        <f>7.5-IF(C$29&lt;$O$78,$P$78,IF(C$29&lt;=$O$85,VLOOKUP(C$29,$O$78:$P$85,2),0))</f>
        <v>6.867</v>
      </c>
      <c r="D77" s="43">
        <f t="shared" ref="D77:L77" si="30">7.5-IF(D$29&lt;$O$78,$P$78,IF(D$29&lt;=$O$85,VLOOKUP(D$29,$O$78:$P$85,2),0))</f>
        <v>6.867</v>
      </c>
      <c r="E77" s="43">
        <f t="shared" si="30"/>
        <v>6.7830000000000004</v>
      </c>
      <c r="F77" s="43">
        <f t="shared" si="30"/>
        <v>6.7830000000000004</v>
      </c>
      <c r="G77" s="43">
        <f t="shared" si="30"/>
        <v>6.7830000000000004</v>
      </c>
      <c r="H77" s="43">
        <f t="shared" si="30"/>
        <v>6.7830000000000004</v>
      </c>
      <c r="I77" s="43">
        <f t="shared" si="30"/>
        <v>6.7830000000000004</v>
      </c>
      <c r="J77" s="43">
        <f t="shared" si="30"/>
        <v>6.7830000000000004</v>
      </c>
      <c r="K77" s="43">
        <f t="shared" si="30"/>
        <v>6.7830000000000004</v>
      </c>
      <c r="L77" s="43">
        <f t="shared" si="30"/>
        <v>6.5330000000000004</v>
      </c>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 t="shared" ref="C78:L78" si="32">C71</f>
        <v>1.5090143220436021</v>
      </c>
      <c r="D78" s="50">
        <f t="shared" si="32"/>
        <v>1.47</v>
      </c>
      <c r="E78" s="50">
        <f t="shared" si="32"/>
        <v>1.452</v>
      </c>
      <c r="F78" s="50">
        <f t="shared" si="32"/>
        <v>1.468</v>
      </c>
      <c r="G78" s="50">
        <f t="shared" si="32"/>
        <v>1.468</v>
      </c>
      <c r="H78" s="50">
        <f t="shared" si="32"/>
        <v>1.452</v>
      </c>
      <c r="I78" s="50">
        <f t="shared" si="32"/>
        <v>1.468</v>
      </c>
      <c r="J78" s="50">
        <f t="shared" si="32"/>
        <v>1.468</v>
      </c>
      <c r="K78" s="50">
        <f t="shared" si="32"/>
        <v>1.452</v>
      </c>
      <c r="L78" s="50">
        <f t="shared" si="32"/>
        <v>1.4470000000000001</v>
      </c>
      <c r="N78" s="39">
        <v>1025</v>
      </c>
      <c r="O78" s="40">
        <v>5.981122</v>
      </c>
      <c r="P78" s="41">
        <f>S78-Q78</f>
        <v>1.2000000000000002</v>
      </c>
      <c r="Q78" s="49">
        <v>0.15</v>
      </c>
      <c r="R78" s="41">
        <v>1.325</v>
      </c>
      <c r="S78" s="41">
        <f t="shared" ref="S78:S85" si="33">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4">S79-Q79</f>
        <v>1.117</v>
      </c>
      <c r="Q79" s="49">
        <v>0.10100000000000001</v>
      </c>
      <c r="R79" s="41">
        <v>1.1870000000000001</v>
      </c>
      <c r="S79" s="41">
        <f t="shared" si="33"/>
        <v>1.218</v>
      </c>
      <c r="T79" s="42">
        <v>7.0000000000000007E-2</v>
      </c>
      <c r="U79" s="52">
        <v>1218000</v>
      </c>
    </row>
    <row r="80" spans="1:21" x14ac:dyDescent="0.35">
      <c r="A80" t="str">
        <f t="shared" si="31"/>
        <v xml:space="preserve">    Colorado River Delta - Release from Mead</v>
      </c>
      <c r="C80" s="68"/>
      <c r="D80" s="68"/>
      <c r="E80" s="50">
        <f>E73</f>
        <v>6.0372469287208581E-2</v>
      </c>
      <c r="F80" s="50"/>
      <c r="G80" s="50"/>
      <c r="H80" s="50">
        <f>H73</f>
        <v>6.0249573634549941E-2</v>
      </c>
      <c r="I80" s="50"/>
      <c r="J80" s="50"/>
      <c r="K80" s="50">
        <f>K73</f>
        <v>8.0309256191884781E-2</v>
      </c>
      <c r="L80" s="50"/>
      <c r="N80" s="39">
        <v>1035</v>
      </c>
      <c r="O80" s="40">
        <v>6.6375080000000004</v>
      </c>
      <c r="P80" s="41">
        <f t="shared" si="34"/>
        <v>1.0669999999999999</v>
      </c>
      <c r="Q80" s="49">
        <v>9.1999999999999998E-2</v>
      </c>
      <c r="R80" s="41">
        <v>1.137</v>
      </c>
      <c r="S80" s="41">
        <f t="shared" si="33"/>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4"/>
        <v>1.0169999999999999</v>
      </c>
      <c r="Q81" s="49">
        <v>8.4000000000000005E-2</v>
      </c>
      <c r="R81" s="41">
        <v>1.087</v>
      </c>
      <c r="S81" s="41">
        <f t="shared" si="33"/>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4"/>
        <v>0.96699999999999997</v>
      </c>
      <c r="Q82" s="49">
        <v>7.5999999999999998E-2</v>
      </c>
      <c r="R82" s="41">
        <v>1.0369999999999999</v>
      </c>
      <c r="S82" s="41">
        <f t="shared" si="33"/>
        <v>1.0429999999999999</v>
      </c>
      <c r="T82" s="42">
        <v>7.0000000000000007E-2</v>
      </c>
      <c r="U82" s="52">
        <v>1043000</v>
      </c>
    </row>
    <row r="83" spans="1:21" x14ac:dyDescent="0.35">
      <c r="A83" t="str">
        <f>IF(A6="","","    "&amp;A6)</f>
        <v xml:space="preserve">    Upper Basin</v>
      </c>
      <c r="C83" s="14">
        <f>IF(OR(C$25="",$A83=""),"",C69-C76)</f>
        <v>10.432257133649305</v>
      </c>
      <c r="D83" s="14">
        <f t="shared" ref="D83:L83" si="35">IF(OR(D$25="",$A83=""),"",D69-D76)</f>
        <v>9.8829965026836284</v>
      </c>
      <c r="E83" s="14">
        <f t="shared" si="35"/>
        <v>9.3505351032260542</v>
      </c>
      <c r="F83" s="14">
        <f t="shared" si="35"/>
        <v>8.8366866013245442</v>
      </c>
      <c r="G83" s="14">
        <f t="shared" si="35"/>
        <v>8.340922317583896</v>
      </c>
      <c r="H83" s="14">
        <f t="shared" si="35"/>
        <v>7.8638282205688048</v>
      </c>
      <c r="I83" s="14">
        <f t="shared" si="35"/>
        <v>9.403592011244001</v>
      </c>
      <c r="J83" s="14">
        <f t="shared" si="35"/>
        <v>10.875853247459819</v>
      </c>
      <c r="K83" s="14">
        <f t="shared" si="35"/>
        <v>12.287183355972239</v>
      </c>
      <c r="L83" s="14">
        <f t="shared" si="35"/>
        <v>13.642191431982162</v>
      </c>
      <c r="N83" s="39">
        <v>1050</v>
      </c>
      <c r="O83" s="40">
        <v>7.6828779999999997</v>
      </c>
      <c r="P83" s="41">
        <f t="shared" si="34"/>
        <v>0.71699999999999997</v>
      </c>
      <c r="Q83" s="49">
        <v>3.4000000000000002E-2</v>
      </c>
      <c r="R83" s="41">
        <v>0.78700000000000003</v>
      </c>
      <c r="S83" s="41">
        <f t="shared" si="33"/>
        <v>0.751</v>
      </c>
      <c r="T83" s="42">
        <v>7.0000000000000007E-2</v>
      </c>
      <c r="U83" s="52">
        <v>751000</v>
      </c>
    </row>
    <row r="84" spans="1:21" x14ac:dyDescent="0.35">
      <c r="A84" t="str">
        <f t="shared" ref="A84:A88" si="36">IF(A7="","","    "&amp;A7)</f>
        <v xml:space="preserve">    Lower Basin</v>
      </c>
      <c r="C84" s="14">
        <f t="shared" ref="C84:L88" si="37">IF(OR(C$25="",$A84=""),"",C70-C77)</f>
        <v>9.6698308643071194</v>
      </c>
      <c r="D84" s="14">
        <f t="shared" si="37"/>
        <v>9.2911542201348674</v>
      </c>
      <c r="E84" s="14">
        <f t="shared" si="37"/>
        <v>9.0074832481104004</v>
      </c>
      <c r="F84" s="14">
        <f t="shared" si="37"/>
        <v>8.7302027105107385</v>
      </c>
      <c r="G84" s="14">
        <f t="shared" si="37"/>
        <v>8.4589907311455086</v>
      </c>
      <c r="H84" s="14">
        <f t="shared" si="37"/>
        <v>8.1946386512968523</v>
      </c>
      <c r="I84" s="14">
        <f t="shared" si="37"/>
        <v>7.9355138806222554</v>
      </c>
      <c r="J84" s="14">
        <f t="shared" si="37"/>
        <v>7.7037009343720735</v>
      </c>
      <c r="K84" s="14">
        <f t="shared" si="37"/>
        <v>7.4755195428676595</v>
      </c>
      <c r="L84" s="14">
        <f t="shared" si="37"/>
        <v>7.5594005958583059</v>
      </c>
      <c r="N84" s="39">
        <v>1075</v>
      </c>
      <c r="O84" s="40">
        <v>9.6009879999900001</v>
      </c>
      <c r="P84" s="41">
        <f t="shared" si="34"/>
        <v>0.63300000000000001</v>
      </c>
      <c r="Q84" s="49">
        <v>0.03</v>
      </c>
      <c r="R84" s="41">
        <v>0.68300000000000005</v>
      </c>
      <c r="S84" s="41">
        <f t="shared" si="33"/>
        <v>0.66300000000000003</v>
      </c>
      <c r="T84" s="42">
        <v>0.05</v>
      </c>
      <c r="U84" s="52">
        <v>663000</v>
      </c>
    </row>
    <row r="85" spans="1:21" x14ac:dyDescent="0.35">
      <c r="A85" t="str">
        <f t="shared" si="36"/>
        <v xml:space="preserve">    Mexico</v>
      </c>
      <c r="C85" s="14">
        <f t="shared" si="37"/>
        <v>0</v>
      </c>
      <c r="D85" s="14">
        <f t="shared" si="37"/>
        <v>0</v>
      </c>
      <c r="E85" s="14">
        <f t="shared" si="37"/>
        <v>0</v>
      </c>
      <c r="F85" s="14">
        <f t="shared" si="37"/>
        <v>0</v>
      </c>
      <c r="G85" s="14">
        <f t="shared" si="37"/>
        <v>0</v>
      </c>
      <c r="H85" s="14">
        <f t="shared" si="37"/>
        <v>0</v>
      </c>
      <c r="I85" s="14">
        <f t="shared" si="37"/>
        <v>0</v>
      </c>
      <c r="J85" s="14">
        <f t="shared" si="37"/>
        <v>0</v>
      </c>
      <c r="K85" s="14">
        <f t="shared" si="37"/>
        <v>0</v>
      </c>
      <c r="L85" s="14">
        <f t="shared" si="37"/>
        <v>0</v>
      </c>
      <c r="N85" s="39">
        <v>1090</v>
      </c>
      <c r="O85" s="40">
        <v>10.857008</v>
      </c>
      <c r="P85" s="41">
        <f t="shared" si="34"/>
        <v>0.30000000000000004</v>
      </c>
      <c r="Q85" s="49">
        <v>4.1000000000000002E-2</v>
      </c>
      <c r="R85" s="41">
        <v>0.3</v>
      </c>
      <c r="S85" s="41">
        <f t="shared" si="33"/>
        <v>0.34100000000000003</v>
      </c>
      <c r="T85" s="38"/>
      <c r="U85" s="52">
        <v>341000</v>
      </c>
    </row>
    <row r="86" spans="1:21" x14ac:dyDescent="0.35">
      <c r="A86" t="str">
        <f t="shared" si="36"/>
        <v xml:space="preserve">    Mohave &amp; Havasu Evap &amp; ET</v>
      </c>
      <c r="C86" s="14">
        <f t="shared" si="37"/>
        <v>0</v>
      </c>
      <c r="D86" s="14">
        <f t="shared" si="37"/>
        <v>0</v>
      </c>
      <c r="E86" s="14">
        <f t="shared" si="37"/>
        <v>0</v>
      </c>
      <c r="F86" s="14">
        <f t="shared" si="37"/>
        <v>0</v>
      </c>
      <c r="G86" s="14">
        <f t="shared" si="37"/>
        <v>0</v>
      </c>
      <c r="H86" s="14">
        <f t="shared" si="37"/>
        <v>0</v>
      </c>
      <c r="I86" s="14">
        <f t="shared" si="37"/>
        <v>0</v>
      </c>
      <c r="J86" s="14">
        <f t="shared" si="37"/>
        <v>0</v>
      </c>
      <c r="K86" s="14">
        <f t="shared" si="37"/>
        <v>0</v>
      </c>
      <c r="L86" s="14">
        <f t="shared" si="37"/>
        <v>0</v>
      </c>
    </row>
    <row r="87" spans="1:21" x14ac:dyDescent="0.35">
      <c r="A87" t="str">
        <f t="shared" si="36"/>
        <v xml:space="preserve">    Colorado River Delta</v>
      </c>
      <c r="C87" s="59">
        <f>IF(OR(C$25="",$A87=""),"",C73-C80)</f>
        <v>1.5555555555555553E-2</v>
      </c>
      <c r="D87" s="59">
        <f t="shared" si="37"/>
        <v>3.034429624904076E-2</v>
      </c>
      <c r="E87" s="59">
        <f t="shared" si="37"/>
        <v>0</v>
      </c>
      <c r="F87" s="59">
        <f t="shared" si="37"/>
        <v>1.5555555555555553E-2</v>
      </c>
      <c r="G87" s="59">
        <f t="shared" si="37"/>
        <v>3.0300010215819753E-2</v>
      </c>
      <c r="H87" s="59">
        <f t="shared" si="37"/>
        <v>0</v>
      </c>
      <c r="I87" s="59">
        <f t="shared" si="37"/>
        <v>1.5555555555555553E-2</v>
      </c>
      <c r="J87" s="59">
        <f t="shared" si="37"/>
        <v>3.0296015644904608E-2</v>
      </c>
      <c r="K87" s="59">
        <f t="shared" si="37"/>
        <v>0</v>
      </c>
      <c r="L87" s="59">
        <f t="shared" si="37"/>
        <v>1.5555555555555553E-2</v>
      </c>
    </row>
    <row r="88" spans="1:21" x14ac:dyDescent="0.35">
      <c r="A88" t="str">
        <f t="shared" si="36"/>
        <v/>
      </c>
      <c r="C88" s="14" t="str">
        <f t="shared" si="37"/>
        <v/>
      </c>
      <c r="D88" s="14" t="str">
        <f t="shared" si="37"/>
        <v/>
      </c>
      <c r="E88" s="14" t="str">
        <f t="shared" si="37"/>
        <v/>
      </c>
      <c r="F88" s="14" t="str">
        <f t="shared" si="37"/>
        <v/>
      </c>
      <c r="G88" s="14" t="str">
        <f t="shared" si="37"/>
        <v/>
      </c>
      <c r="H88" s="14" t="str">
        <f t="shared" si="37"/>
        <v/>
      </c>
      <c r="I88" s="14" t="str">
        <f t="shared" si="37"/>
        <v/>
      </c>
      <c r="J88" s="14" t="str">
        <f t="shared" si="37"/>
        <v/>
      </c>
      <c r="K88" s="14" t="str">
        <f t="shared" si="37"/>
        <v/>
      </c>
      <c r="L88" s="14" t="str">
        <f t="shared" si="37"/>
        <v/>
      </c>
    </row>
    <row r="89" spans="1:21" x14ac:dyDescent="0.35">
      <c r="A89" s="1" t="s">
        <v>125</v>
      </c>
      <c r="B89" s="1"/>
      <c r="C89" s="14">
        <f>IF(C$25&lt;&gt;"",SUM(C83:C88),"")</f>
        <v>20.117643553511979</v>
      </c>
      <c r="D89" s="14">
        <f t="shared" ref="D89:L89" si="38">IF(D$25&lt;&gt;"",SUM(D83:D88),"")</f>
        <v>19.204495019067537</v>
      </c>
      <c r="E89" s="14">
        <f t="shared" si="38"/>
        <v>18.358018351336455</v>
      </c>
      <c r="F89" s="14">
        <f t="shared" si="38"/>
        <v>17.582444867390837</v>
      </c>
      <c r="G89" s="14">
        <f t="shared" si="38"/>
        <v>16.830213058945226</v>
      </c>
      <c r="H89" s="14">
        <f t="shared" si="38"/>
        <v>16.058466871865658</v>
      </c>
      <c r="I89" s="14">
        <f t="shared" si="38"/>
        <v>17.354661447421812</v>
      </c>
      <c r="J89" s="14">
        <f t="shared" si="38"/>
        <v>18.609850197476796</v>
      </c>
      <c r="K89" s="14">
        <f t="shared" si="38"/>
        <v>19.762702898839898</v>
      </c>
      <c r="L89" s="14">
        <f t="shared" si="38"/>
        <v>21.217147583396024</v>
      </c>
    </row>
    <row r="90" spans="1:21" x14ac:dyDescent="0.35">
      <c r="A90" s="1" t="s">
        <v>147</v>
      </c>
      <c r="B90" s="1"/>
      <c r="C90" s="14">
        <f>IF(C25&lt;&gt;"",C35+C25-C38-C76-C89*$B$35,"")</f>
        <v>8.6084353568933114</v>
      </c>
      <c r="D90" s="14">
        <f t="shared" ref="D90:L90" si="39">IF(D25&lt;&gt;"",D35+D25-D38-D76-D89*$B$35,"")</f>
        <v>8.1423136362565423</v>
      </c>
      <c r="E90" s="14">
        <f t="shared" si="39"/>
        <v>8.1257769344079662</v>
      </c>
      <c r="F90" s="14">
        <f t="shared" si="39"/>
        <v>8.1089382400712982</v>
      </c>
      <c r="G90" s="14">
        <f t="shared" si="39"/>
        <v>8.115351620482155</v>
      </c>
      <c r="H90" s="14">
        <f t="shared" si="39"/>
        <v>8.1437789965246932</v>
      </c>
      <c r="I90" s="14">
        <f t="shared" si="39"/>
        <v>9.1266665028971232</v>
      </c>
      <c r="J90" s="14">
        <f t="shared" si="39"/>
        <v>9.0796668611883256</v>
      </c>
      <c r="K90" s="14">
        <f t="shared" si="39"/>
        <v>9.0699037578308683</v>
      </c>
      <c r="L90" s="14">
        <f t="shared" si="39"/>
        <v>8.8627857337318634</v>
      </c>
    </row>
    <row r="92" spans="1:21" x14ac:dyDescent="0.35">
      <c r="A92" s="1" t="s">
        <v>127</v>
      </c>
      <c r="C92" s="12">
        <f>IF(C$25&lt;&gt;"",0.2,"")</f>
        <v>0.2</v>
      </c>
      <c r="D92" s="12">
        <f t="shared" ref="D92:L92" si="40">IF(D$25&lt;&gt;"",0.2,"")</f>
        <v>0.2</v>
      </c>
      <c r="E92" s="12">
        <f t="shared" si="40"/>
        <v>0.2</v>
      </c>
      <c r="F92" s="12">
        <f t="shared" si="40"/>
        <v>0.2</v>
      </c>
      <c r="G92" s="12">
        <f t="shared" si="40"/>
        <v>0.2</v>
      </c>
      <c r="H92" s="12">
        <f t="shared" si="40"/>
        <v>0.2</v>
      </c>
      <c r="I92" s="12">
        <f t="shared" si="40"/>
        <v>0.2</v>
      </c>
      <c r="J92" s="12">
        <f t="shared" si="40"/>
        <v>0.2</v>
      </c>
      <c r="K92" s="12">
        <f t="shared" si="40"/>
        <v>0.2</v>
      </c>
      <c r="L92" s="12">
        <f t="shared" si="40"/>
        <v>0.2</v>
      </c>
    </row>
    <row r="93" spans="1:21" x14ac:dyDescent="0.35">
      <c r="A93" t="s">
        <v>128</v>
      </c>
      <c r="C93" s="14">
        <f t="shared" ref="C93:L93" si="41">IF(C$25&lt;&gt;"",C77+C92,"")</f>
        <v>7.0670000000000002</v>
      </c>
      <c r="D93" s="14">
        <f t="shared" si="41"/>
        <v>7.0670000000000002</v>
      </c>
      <c r="E93" s="14">
        <f t="shared" si="41"/>
        <v>6.9830000000000005</v>
      </c>
      <c r="F93" s="14">
        <f t="shared" si="41"/>
        <v>6.9830000000000005</v>
      </c>
      <c r="G93" s="14">
        <f t="shared" si="41"/>
        <v>6.9830000000000005</v>
      </c>
      <c r="H93" s="14">
        <f t="shared" si="41"/>
        <v>6.9830000000000005</v>
      </c>
      <c r="I93" s="14">
        <f t="shared" si="41"/>
        <v>6.9830000000000005</v>
      </c>
      <c r="J93" s="14">
        <f t="shared" si="41"/>
        <v>6.9830000000000005</v>
      </c>
      <c r="K93" s="14">
        <f t="shared" si="41"/>
        <v>6.9830000000000005</v>
      </c>
      <c r="L93" s="14">
        <f t="shared" si="41"/>
        <v>6.7330000000000005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82" priority="66" operator="greaterThan">
      <formula>$C$69</formula>
    </cfRule>
  </conditionalFormatting>
  <conditionalFormatting sqref="C77">
    <cfRule type="cellIs" dxfId="81" priority="65" operator="greaterThan">
      <formula>$C$70</formula>
    </cfRule>
  </conditionalFormatting>
  <conditionalFormatting sqref="C78">
    <cfRule type="cellIs" dxfId="80" priority="64" operator="greaterThan">
      <formula>$C$71</formula>
    </cfRule>
  </conditionalFormatting>
  <conditionalFormatting sqref="C79">
    <cfRule type="cellIs" dxfId="79" priority="63" operator="greaterThan">
      <formula>$C$72</formula>
    </cfRule>
  </conditionalFormatting>
  <conditionalFormatting sqref="C80">
    <cfRule type="cellIs" dxfId="78" priority="62" operator="greaterThan">
      <formula>$C$73</formula>
    </cfRule>
  </conditionalFormatting>
  <conditionalFormatting sqref="C81">
    <cfRule type="cellIs" dxfId="77" priority="61" operator="greaterThan">
      <formula>$C$74</formula>
    </cfRule>
  </conditionalFormatting>
  <conditionalFormatting sqref="D76">
    <cfRule type="cellIs" dxfId="76" priority="60" operator="greaterThan">
      <formula>$D$69</formula>
    </cfRule>
  </conditionalFormatting>
  <conditionalFormatting sqref="D77">
    <cfRule type="cellIs" dxfId="75" priority="59" operator="greaterThan">
      <formula>$D$70</formula>
    </cfRule>
  </conditionalFormatting>
  <conditionalFormatting sqref="D78">
    <cfRule type="cellIs" dxfId="74" priority="58" operator="greaterThan">
      <formula>$D$71</formula>
    </cfRule>
  </conditionalFormatting>
  <conditionalFormatting sqref="D79">
    <cfRule type="cellIs" dxfId="73" priority="57" operator="greaterThan">
      <formula>$D$72</formula>
    </cfRule>
  </conditionalFormatting>
  <conditionalFormatting sqref="D80">
    <cfRule type="cellIs" dxfId="72" priority="56" operator="greaterThan">
      <formula>$D$73</formula>
    </cfRule>
  </conditionalFormatting>
  <conditionalFormatting sqref="D81">
    <cfRule type="cellIs" dxfId="71" priority="55" operator="greaterThan">
      <formula>$D$74</formula>
    </cfRule>
  </conditionalFormatting>
  <conditionalFormatting sqref="E76">
    <cfRule type="cellIs" dxfId="70" priority="54" operator="greaterThan">
      <formula>$E$69</formula>
    </cfRule>
  </conditionalFormatting>
  <conditionalFormatting sqref="E77">
    <cfRule type="cellIs" dxfId="69" priority="53" operator="greaterThan">
      <formula>$E$70</formula>
    </cfRule>
  </conditionalFormatting>
  <conditionalFormatting sqref="E78">
    <cfRule type="cellIs" dxfId="68" priority="52" operator="greaterThan">
      <formula>$E$71</formula>
    </cfRule>
  </conditionalFormatting>
  <conditionalFormatting sqref="E79">
    <cfRule type="cellIs" dxfId="67" priority="51" operator="greaterThan">
      <formula>$E$72</formula>
    </cfRule>
  </conditionalFormatting>
  <conditionalFormatting sqref="E80">
    <cfRule type="cellIs" dxfId="66" priority="50" operator="greaterThan">
      <formula>$E$73</formula>
    </cfRule>
  </conditionalFormatting>
  <conditionalFormatting sqref="E81">
    <cfRule type="cellIs" dxfId="65" priority="49" operator="greaterThan">
      <formula>$E$74</formula>
    </cfRule>
  </conditionalFormatting>
  <conditionalFormatting sqref="F76">
    <cfRule type="cellIs" dxfId="64" priority="48" operator="greaterThan">
      <formula>$F$69</formula>
    </cfRule>
  </conditionalFormatting>
  <conditionalFormatting sqref="F77">
    <cfRule type="cellIs" dxfId="63" priority="47" operator="greaterThan">
      <formula>$F$70</formula>
    </cfRule>
  </conditionalFormatting>
  <conditionalFormatting sqref="F78">
    <cfRule type="cellIs" dxfId="62" priority="46" operator="greaterThan">
      <formula>$F$71</formula>
    </cfRule>
  </conditionalFormatting>
  <conditionalFormatting sqref="F79">
    <cfRule type="cellIs" dxfId="61" priority="45" operator="greaterThan">
      <formula>$F$72</formula>
    </cfRule>
  </conditionalFormatting>
  <conditionalFormatting sqref="F80">
    <cfRule type="cellIs" dxfId="60" priority="44" operator="greaterThan">
      <formula>$F$73</formula>
    </cfRule>
  </conditionalFormatting>
  <conditionalFormatting sqref="F81">
    <cfRule type="cellIs" dxfId="59" priority="43" operator="greaterThan">
      <formula>$F$74</formula>
    </cfRule>
  </conditionalFormatting>
  <conditionalFormatting sqref="G76">
    <cfRule type="cellIs" dxfId="58" priority="42" operator="greaterThan">
      <formula>$G$69</formula>
    </cfRule>
  </conditionalFormatting>
  <conditionalFormatting sqref="G77">
    <cfRule type="cellIs" dxfId="57" priority="41" operator="greaterThan">
      <formula>$G$70</formula>
    </cfRule>
  </conditionalFormatting>
  <conditionalFormatting sqref="G78">
    <cfRule type="cellIs" dxfId="56" priority="40" operator="greaterThan">
      <formula>$G$71</formula>
    </cfRule>
  </conditionalFormatting>
  <conditionalFormatting sqref="G79">
    <cfRule type="cellIs" dxfId="55" priority="39" operator="greaterThan">
      <formula>$G$72</formula>
    </cfRule>
  </conditionalFormatting>
  <conditionalFormatting sqref="G80">
    <cfRule type="cellIs" dxfId="54" priority="38" operator="greaterThan">
      <formula>$G$73</formula>
    </cfRule>
  </conditionalFormatting>
  <conditionalFormatting sqref="G81">
    <cfRule type="cellIs" dxfId="53" priority="37" operator="greaterThan">
      <formula>$G$74</formula>
    </cfRule>
  </conditionalFormatting>
  <conditionalFormatting sqref="H76">
    <cfRule type="cellIs" dxfId="52" priority="36" operator="greaterThan">
      <formula>$H$69</formula>
    </cfRule>
  </conditionalFormatting>
  <conditionalFormatting sqref="H77">
    <cfRule type="cellIs" dxfId="51" priority="35" operator="greaterThan">
      <formula>$H$70</formula>
    </cfRule>
  </conditionalFormatting>
  <conditionalFormatting sqref="H78">
    <cfRule type="cellIs" dxfId="50" priority="34" operator="greaterThan">
      <formula>$H$71</formula>
    </cfRule>
  </conditionalFormatting>
  <conditionalFormatting sqref="H79">
    <cfRule type="cellIs" dxfId="49" priority="33" operator="greaterThan">
      <formula>$H$72</formula>
    </cfRule>
  </conditionalFormatting>
  <conditionalFormatting sqref="H80">
    <cfRule type="cellIs" dxfId="48" priority="32" operator="greaterThan">
      <formula>$H$73</formula>
    </cfRule>
  </conditionalFormatting>
  <conditionalFormatting sqref="H81">
    <cfRule type="cellIs" dxfId="47" priority="31" operator="greaterThan">
      <formula>$H$74</formula>
    </cfRule>
  </conditionalFormatting>
  <conditionalFormatting sqref="I76">
    <cfRule type="cellIs" dxfId="46" priority="24" operator="greaterThan">
      <formula>$I$69</formula>
    </cfRule>
  </conditionalFormatting>
  <conditionalFormatting sqref="I77">
    <cfRule type="cellIs" dxfId="45" priority="23" operator="greaterThan">
      <formula>$I$70</formula>
    </cfRule>
  </conditionalFormatting>
  <conditionalFormatting sqref="I78">
    <cfRule type="cellIs" dxfId="44" priority="22" operator="greaterThan">
      <formula>$I$71</formula>
    </cfRule>
  </conditionalFormatting>
  <conditionalFormatting sqref="I79">
    <cfRule type="cellIs" dxfId="43" priority="21" operator="greaterThan">
      <formula>$I$72</formula>
    </cfRule>
  </conditionalFormatting>
  <conditionalFormatting sqref="I80">
    <cfRule type="cellIs" dxfId="42" priority="20" operator="greaterThan">
      <formula>$I$73</formula>
    </cfRule>
  </conditionalFormatting>
  <conditionalFormatting sqref="I81">
    <cfRule type="cellIs" dxfId="41" priority="19" operator="greaterThan">
      <formula>$I$74</formula>
    </cfRule>
  </conditionalFormatting>
  <conditionalFormatting sqref="J76">
    <cfRule type="cellIs" dxfId="40" priority="18" operator="greaterThan">
      <formula>$J$69</formula>
    </cfRule>
  </conditionalFormatting>
  <conditionalFormatting sqref="J77">
    <cfRule type="cellIs" dxfId="39" priority="17" operator="greaterThan">
      <formula>$J$70</formula>
    </cfRule>
  </conditionalFormatting>
  <conditionalFormatting sqref="J78">
    <cfRule type="cellIs" dxfId="38" priority="16" operator="greaterThan">
      <formula>$J$71</formula>
    </cfRule>
  </conditionalFormatting>
  <conditionalFormatting sqref="J79">
    <cfRule type="cellIs" dxfId="37" priority="15" operator="greaterThan">
      <formula>$J$72</formula>
    </cfRule>
  </conditionalFormatting>
  <conditionalFormatting sqref="J80">
    <cfRule type="cellIs" dxfId="36" priority="14" operator="greaterThan">
      <formula>$J$73</formula>
    </cfRule>
  </conditionalFormatting>
  <conditionalFormatting sqref="J81">
    <cfRule type="cellIs" dxfId="35" priority="13" operator="greaterThan">
      <formula>$J$74</formula>
    </cfRule>
  </conditionalFormatting>
  <conditionalFormatting sqref="K76">
    <cfRule type="cellIs" dxfId="34" priority="12" operator="greaterThan">
      <formula>$K$69</formula>
    </cfRule>
  </conditionalFormatting>
  <conditionalFormatting sqref="K77">
    <cfRule type="cellIs" dxfId="33" priority="11" operator="greaterThan">
      <formula>$K$70</formula>
    </cfRule>
  </conditionalFormatting>
  <conditionalFormatting sqref="K78">
    <cfRule type="cellIs" dxfId="32" priority="10" operator="greaterThan">
      <formula>$K$71</formula>
    </cfRule>
  </conditionalFormatting>
  <conditionalFormatting sqref="K79">
    <cfRule type="cellIs" dxfId="31" priority="9" operator="greaterThan">
      <formula>$K$72</formula>
    </cfRule>
  </conditionalFormatting>
  <conditionalFormatting sqref="K80">
    <cfRule type="cellIs" dxfId="30" priority="8" operator="greaterThan">
      <formula>$K$73</formula>
    </cfRule>
  </conditionalFormatting>
  <conditionalFormatting sqref="K81">
    <cfRule type="cellIs" dxfId="29" priority="7" operator="greaterThan">
      <formula>$K$74</formula>
    </cfRule>
  </conditionalFormatting>
  <conditionalFormatting sqref="L76">
    <cfRule type="cellIs" dxfId="28" priority="6" operator="greaterThan">
      <formula>$L$69</formula>
    </cfRule>
  </conditionalFormatting>
  <conditionalFormatting sqref="L77">
    <cfRule type="cellIs" dxfId="27" priority="5" operator="greaterThan">
      <formula>$L$70</formula>
    </cfRule>
  </conditionalFormatting>
  <conditionalFormatting sqref="L78">
    <cfRule type="cellIs" dxfId="26" priority="4" operator="greaterThan">
      <formula>$L$71</formula>
    </cfRule>
  </conditionalFormatting>
  <conditionalFormatting sqref="L79">
    <cfRule type="cellIs" dxfId="25" priority="3" operator="greaterThan">
      <formula>$L$72</formula>
    </cfRule>
  </conditionalFormatting>
  <conditionalFormatting sqref="L80">
    <cfRule type="cellIs" dxfId="24" priority="2" operator="greaterThan">
      <formula>$L$73</formula>
    </cfRule>
  </conditionalFormatting>
  <conditionalFormatting sqref="L81">
    <cfRule type="cellIs" dxfId="23" priority="1" operator="greaterThan">
      <formula>$L$74</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55</v>
      </c>
    </row>
    <row r="3" spans="1:24" x14ac:dyDescent="0.35">
      <c r="A3" t="s">
        <v>77</v>
      </c>
    </row>
    <row r="5" spans="1:24" s="1" customFormat="1" x14ac:dyDescent="0.35">
      <c r="A5" s="1" t="s">
        <v>57</v>
      </c>
      <c r="B5" s="1" t="s">
        <v>56</v>
      </c>
      <c r="C5" s="13" t="s">
        <v>5</v>
      </c>
      <c r="D5" s="13" t="s">
        <v>6</v>
      </c>
      <c r="E5" s="13" t="s">
        <v>7</v>
      </c>
      <c r="F5" s="13" t="s">
        <v>8</v>
      </c>
      <c r="G5" s="13" t="s">
        <v>9</v>
      </c>
      <c r="H5" s="13" t="s">
        <v>10</v>
      </c>
      <c r="I5" s="13" t="s">
        <v>11</v>
      </c>
      <c r="J5" s="13" t="s">
        <v>12</v>
      </c>
      <c r="K5" s="13" t="s">
        <v>36</v>
      </c>
      <c r="L5" s="13" t="s">
        <v>37</v>
      </c>
      <c r="M5" s="13" t="s">
        <v>60</v>
      </c>
      <c r="N5" s="13" t="s">
        <v>61</v>
      </c>
      <c r="O5" s="13" t="s">
        <v>62</v>
      </c>
      <c r="P5" s="13" t="s">
        <v>63</v>
      </c>
      <c r="Q5" s="13" t="s">
        <v>64</v>
      </c>
      <c r="R5" s="13" t="s">
        <v>65</v>
      </c>
      <c r="S5" s="13" t="s">
        <v>66</v>
      </c>
      <c r="T5" s="13" t="s">
        <v>67</v>
      </c>
      <c r="U5" s="13" t="s">
        <v>68</v>
      </c>
      <c r="V5" s="1" t="s">
        <v>84</v>
      </c>
      <c r="W5" s="1" t="s">
        <v>85</v>
      </c>
      <c r="X5" s="1" t="s">
        <v>58</v>
      </c>
    </row>
    <row r="6" spans="1:24" x14ac:dyDescent="0.35">
      <c r="A6" t="s">
        <v>87</v>
      </c>
      <c r="B6" t="s">
        <v>88</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72</v>
      </c>
    </row>
    <row r="7" spans="1:24" x14ac:dyDescent="0.35">
      <c r="A7" t="s">
        <v>89</v>
      </c>
      <c r="B7" t="s">
        <v>59</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72</v>
      </c>
    </row>
    <row r="8" spans="1:24" x14ac:dyDescent="0.35">
      <c r="A8" t="s">
        <v>90</v>
      </c>
      <c r="B8" t="s">
        <v>74</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73</v>
      </c>
    </row>
    <row r="9" spans="1:24" x14ac:dyDescent="0.35">
      <c r="A9" t="s">
        <v>90</v>
      </c>
      <c r="B9" t="s">
        <v>75</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73</v>
      </c>
    </row>
    <row r="10" spans="1:24" x14ac:dyDescent="0.35">
      <c r="A10" t="s">
        <v>90</v>
      </c>
      <c r="B10" t="s">
        <v>76</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73</v>
      </c>
    </row>
    <row r="11" spans="1:24" x14ac:dyDescent="0.35">
      <c r="A11" t="s">
        <v>78</v>
      </c>
      <c r="B11" t="s">
        <v>91</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80</v>
      </c>
      <c r="B12" t="s">
        <v>81</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83</v>
      </c>
    </row>
    <row r="13" spans="1:24" x14ac:dyDescent="0.35">
      <c r="A13" t="s">
        <v>82</v>
      </c>
      <c r="B13" t="s">
        <v>81</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83</v>
      </c>
    </row>
    <row r="14" spans="1:24" x14ac:dyDescent="0.35">
      <c r="A14" t="s">
        <v>79</v>
      </c>
      <c r="B14" t="s">
        <v>81</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72</v>
      </c>
    </row>
    <row r="15" spans="1:24" x14ac:dyDescent="0.35">
      <c r="A15" t="s">
        <v>86</v>
      </c>
      <c r="B15" t="s">
        <v>74</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73</v>
      </c>
    </row>
    <row r="16" spans="1:24" x14ac:dyDescent="0.35">
      <c r="A16" t="s">
        <v>86</v>
      </c>
      <c r="B16" t="s">
        <v>75</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73</v>
      </c>
    </row>
    <row r="18" spans="1:21" x14ac:dyDescent="0.35">
      <c r="A18" s="1" t="s">
        <v>92</v>
      </c>
    </row>
    <row r="19" spans="1:21" x14ac:dyDescent="0.35">
      <c r="A19" t="s">
        <v>69</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70</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71</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5" zoomScale="160" zoomScaleNormal="160" workbookViewId="0">
      <selection activeCell="C5" sqref="C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122</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15"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110</v>
      </c>
      <c r="B1" s="1"/>
    </row>
    <row r="2" spans="1:11" x14ac:dyDescent="0.35">
      <c r="A2" s="1"/>
      <c r="B2" s="1"/>
    </row>
    <row r="3" spans="1:11" ht="16.5" customHeight="1" x14ac:dyDescent="0.35">
      <c r="A3" s="26" t="s">
        <v>51</v>
      </c>
      <c r="B3" s="26"/>
      <c r="C3" s="26"/>
      <c r="D3" s="26"/>
      <c r="E3" s="26"/>
      <c r="F3" s="26"/>
      <c r="G3" s="26"/>
      <c r="H3" s="26"/>
      <c r="I3" s="26"/>
      <c r="J3" s="26"/>
      <c r="K3" s="26"/>
    </row>
    <row r="4" spans="1:11" x14ac:dyDescent="0.35">
      <c r="A4" s="17" t="s">
        <v>39</v>
      </c>
      <c r="B4" s="13" t="s">
        <v>43</v>
      </c>
      <c r="C4" s="1" t="s">
        <v>44</v>
      </c>
    </row>
    <row r="5" spans="1:11" x14ac:dyDescent="0.35">
      <c r="A5" s="27" t="s">
        <v>52</v>
      </c>
      <c r="B5" s="47"/>
      <c r="C5" s="121"/>
      <c r="D5" s="121"/>
      <c r="E5" s="121"/>
      <c r="F5" s="121"/>
      <c r="G5" s="121"/>
      <c r="H5" s="121"/>
    </row>
    <row r="6" spans="1:11" x14ac:dyDescent="0.35">
      <c r="A6" s="16" t="s">
        <v>40</v>
      </c>
      <c r="B6" s="47"/>
      <c r="C6" s="121"/>
      <c r="D6" s="121"/>
      <c r="E6" s="121"/>
      <c r="F6" s="121"/>
      <c r="G6" s="121"/>
      <c r="H6" s="121"/>
    </row>
    <row r="7" spans="1:11" x14ac:dyDescent="0.35">
      <c r="A7" s="16" t="s">
        <v>41</v>
      </c>
      <c r="B7" s="47"/>
      <c r="C7" s="121"/>
      <c r="D7" s="121"/>
      <c r="E7" s="121"/>
      <c r="F7" s="121"/>
      <c r="G7" s="121"/>
      <c r="H7" s="121"/>
    </row>
    <row r="8" spans="1:11" x14ac:dyDescent="0.35">
      <c r="A8" s="16" t="s">
        <v>42</v>
      </c>
      <c r="B8" s="47"/>
      <c r="C8" s="121"/>
      <c r="D8" s="121"/>
      <c r="E8" s="121"/>
      <c r="F8" s="121"/>
      <c r="G8" s="121"/>
      <c r="H8" s="121"/>
    </row>
    <row r="9" spans="1:11" x14ac:dyDescent="0.35">
      <c r="A9" s="16"/>
      <c r="B9" s="2"/>
      <c r="C9"/>
    </row>
    <row r="10" spans="1:11" x14ac:dyDescent="0.35">
      <c r="A10" s="19" t="s">
        <v>46</v>
      </c>
      <c r="B10" s="2"/>
      <c r="C10"/>
    </row>
    <row r="11" spans="1:11" x14ac:dyDescent="0.35">
      <c r="A11" s="20" t="s">
        <v>53</v>
      </c>
    </row>
    <row r="12" spans="1:11" x14ac:dyDescent="0.35">
      <c r="A12" s="22" t="s">
        <v>48</v>
      </c>
      <c r="B12" s="19"/>
    </row>
    <row r="13" spans="1:11" x14ac:dyDescent="0.35">
      <c r="A13" s="21" t="s">
        <v>47</v>
      </c>
    </row>
    <row r="15" spans="1:11" x14ac:dyDescent="0.35">
      <c r="A15" s="1" t="s">
        <v>54</v>
      </c>
      <c r="D15" s="20"/>
    </row>
    <row r="17" spans="1:13" x14ac:dyDescent="0.35">
      <c r="A17" s="1" t="s">
        <v>32</v>
      </c>
      <c r="B17" s="1" t="s">
        <v>112</v>
      </c>
      <c r="C17" s="13" t="s">
        <v>113</v>
      </c>
    </row>
    <row r="18" spans="1:13" x14ac:dyDescent="0.35">
      <c r="A18" t="s">
        <v>111</v>
      </c>
      <c r="B18" s="12">
        <v>5.73</v>
      </c>
      <c r="C18" s="12">
        <v>6</v>
      </c>
      <c r="D18" s="23" t="s">
        <v>142</v>
      </c>
    </row>
    <row r="19" spans="1:13" x14ac:dyDescent="0.35">
      <c r="A19" t="s">
        <v>33</v>
      </c>
      <c r="B19" s="12">
        <v>11</v>
      </c>
      <c r="C19" s="12">
        <v>10.1</v>
      </c>
      <c r="D19" s="11" t="s">
        <v>34</v>
      </c>
    </row>
    <row r="21" spans="1:13" s="1" customFormat="1" x14ac:dyDescent="0.35">
      <c r="A21" s="1" t="s">
        <v>35</v>
      </c>
      <c r="B21" s="1" t="s">
        <v>49</v>
      </c>
      <c r="C21" s="13" t="s">
        <v>5</v>
      </c>
      <c r="D21" s="13" t="s">
        <v>6</v>
      </c>
      <c r="E21" s="13" t="s">
        <v>7</v>
      </c>
      <c r="F21" s="13" t="s">
        <v>8</v>
      </c>
      <c r="G21" s="13" t="s">
        <v>9</v>
      </c>
      <c r="H21" s="13" t="s">
        <v>10</v>
      </c>
      <c r="I21" s="13" t="s">
        <v>11</v>
      </c>
      <c r="J21" s="13" t="s">
        <v>12</v>
      </c>
      <c r="K21" s="13" t="s">
        <v>36</v>
      </c>
      <c r="L21" s="13" t="s">
        <v>37</v>
      </c>
      <c r="M21" s="13" t="s">
        <v>108</v>
      </c>
    </row>
    <row r="22" spans="1:13" x14ac:dyDescent="0.35">
      <c r="A22" s="1" t="s">
        <v>45</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123</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126</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118</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119</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117</v>
      </c>
      <c r="C28"/>
    </row>
    <row r="29" spans="1:13" hidden="1" x14ac:dyDescent="0.35">
      <c r="A29" t="s">
        <v>115</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116</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121</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100</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101</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102</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120</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135</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105</v>
      </c>
      <c r="C39"/>
    </row>
    <row r="40" spans="1:13" x14ac:dyDescent="0.35">
      <c r="A40" s="32" t="s">
        <v>103</v>
      </c>
      <c r="B40" s="1"/>
      <c r="C40" s="25"/>
      <c r="D40" s="25"/>
      <c r="E40" s="25"/>
      <c r="F40" s="25"/>
      <c r="G40" s="25"/>
      <c r="H40" s="25"/>
      <c r="I40" s="25"/>
      <c r="J40" s="25"/>
      <c r="K40" s="25"/>
      <c r="L40" s="25"/>
    </row>
    <row r="41" spans="1:13" x14ac:dyDescent="0.35">
      <c r="A41" s="32" t="s">
        <v>104</v>
      </c>
      <c r="B41" s="1"/>
      <c r="C41" s="31"/>
      <c r="D41" s="31"/>
      <c r="E41" s="31"/>
      <c r="F41" s="31"/>
      <c r="G41" s="31"/>
      <c r="H41" s="31"/>
      <c r="I41" s="31"/>
      <c r="J41" s="31"/>
      <c r="K41" s="31"/>
      <c r="L41" s="31"/>
      <c r="M41" s="33">
        <f>SUM(C41:L41)</f>
        <v>0</v>
      </c>
    </row>
    <row r="42" spans="1:13" hidden="1" x14ac:dyDescent="0.35">
      <c r="A42" s="32" t="s">
        <v>106</v>
      </c>
      <c r="B42" s="1"/>
      <c r="C42" s="25"/>
      <c r="D42" s="25"/>
      <c r="E42" s="25"/>
      <c r="F42" s="25"/>
      <c r="G42" s="25"/>
      <c r="H42" s="25"/>
      <c r="I42" s="25"/>
      <c r="J42" s="25"/>
      <c r="K42" s="25"/>
      <c r="L42" s="25"/>
      <c r="M42" s="34"/>
    </row>
    <row r="43" spans="1:13" hidden="1" x14ac:dyDescent="0.35">
      <c r="A43" s="32" t="s">
        <v>107</v>
      </c>
      <c r="B43" s="1"/>
      <c r="C43" s="31"/>
      <c r="D43" s="31"/>
      <c r="E43" s="31"/>
      <c r="F43" s="31"/>
      <c r="G43" s="31"/>
      <c r="H43" s="31"/>
      <c r="I43" s="31"/>
      <c r="J43" s="31"/>
      <c r="K43" s="31"/>
      <c r="L43" s="31"/>
      <c r="M43" s="33">
        <f>SUM(C43:L43)</f>
        <v>0</v>
      </c>
    </row>
    <row r="44" spans="1:13" x14ac:dyDescent="0.35">
      <c r="A44" s="1" t="s">
        <v>124</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136</v>
      </c>
      <c r="B48" s="1"/>
      <c r="C48" s="29"/>
      <c r="D48" s="2"/>
      <c r="E48" s="2"/>
      <c r="F48" s="2"/>
      <c r="G48" s="2"/>
      <c r="H48" s="2"/>
      <c r="I48" s="2"/>
      <c r="J48" s="2"/>
      <c r="K48" s="2"/>
      <c r="L48" s="2"/>
    </row>
    <row r="49" spans="1:18" x14ac:dyDescent="0.35">
      <c r="A49" t="s">
        <v>137</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129</v>
      </c>
    </row>
    <row r="50" spans="1:18" x14ac:dyDescent="0.35">
      <c r="A50" t="s">
        <v>138</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130</v>
      </c>
      <c r="O50" s="37" t="s">
        <v>131</v>
      </c>
      <c r="P50" s="38" t="s">
        <v>132</v>
      </c>
      <c r="Q50" s="38" t="s">
        <v>133</v>
      </c>
      <c r="R50" s="37" t="s">
        <v>134</v>
      </c>
    </row>
    <row r="51" spans="1:18" x14ac:dyDescent="0.35">
      <c r="A51" t="s">
        <v>139</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140</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141</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125</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127</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128</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F12"/>
  <sheetViews>
    <sheetView tabSelected="1" zoomScale="150" zoomScaleNormal="150" workbookViewId="0">
      <selection activeCell="F4" sqref="F4"/>
    </sheetView>
  </sheetViews>
  <sheetFormatPr defaultRowHeight="14.5" x14ac:dyDescent="0.35"/>
  <cols>
    <col min="1" max="1" width="8.7265625" style="83"/>
    <col min="2" max="2" width="12.6328125" style="83" customWidth="1"/>
    <col min="3" max="3" width="29.90625" style="82" customWidth="1"/>
    <col min="4" max="4" width="12.453125" style="85" customWidth="1"/>
    <col min="5" max="5" width="15.08984375" style="85" customWidth="1"/>
    <col min="6" max="6" width="10.54296875" style="83" customWidth="1"/>
  </cols>
  <sheetData>
    <row r="1" spans="1:6" s="79" customFormat="1" ht="30.5" customHeight="1" x14ac:dyDescent="0.35">
      <c r="A1" s="80" t="s">
        <v>230</v>
      </c>
      <c r="B1" s="80" t="s">
        <v>206</v>
      </c>
      <c r="C1" s="81" t="s">
        <v>207</v>
      </c>
      <c r="D1" s="80" t="s">
        <v>209</v>
      </c>
      <c r="E1" s="80" t="s">
        <v>208</v>
      </c>
      <c r="F1" s="80" t="s">
        <v>210</v>
      </c>
    </row>
    <row r="3" spans="1:6" ht="43.5" x14ac:dyDescent="0.35">
      <c r="A3" s="83" t="s">
        <v>247</v>
      </c>
      <c r="B3" s="84">
        <v>44378</v>
      </c>
      <c r="C3" s="82" t="s">
        <v>248</v>
      </c>
      <c r="D3" s="85" t="s">
        <v>184</v>
      </c>
      <c r="E3" s="85" t="s">
        <v>184</v>
      </c>
      <c r="F3" s="84">
        <v>44378</v>
      </c>
    </row>
    <row r="4" spans="1:6" x14ac:dyDescent="0.35">
      <c r="A4" s="83" t="s">
        <v>244</v>
      </c>
      <c r="B4" s="84">
        <v>44377</v>
      </c>
      <c r="C4" s="82" t="s">
        <v>245</v>
      </c>
      <c r="D4" s="85" t="s">
        <v>184</v>
      </c>
      <c r="E4" s="85" t="s">
        <v>184</v>
      </c>
      <c r="F4" s="84">
        <v>44377</v>
      </c>
    </row>
    <row r="5" spans="1:6" ht="72.5" x14ac:dyDescent="0.35">
      <c r="A5" s="83" t="s">
        <v>242</v>
      </c>
      <c r="B5" s="84">
        <v>44377</v>
      </c>
      <c r="C5" s="82" t="s">
        <v>243</v>
      </c>
      <c r="D5" s="85" t="s">
        <v>184</v>
      </c>
      <c r="E5" s="85" t="s">
        <v>211</v>
      </c>
      <c r="F5" s="84">
        <v>44372</v>
      </c>
    </row>
    <row r="6" spans="1:6" ht="43.5" x14ac:dyDescent="0.35">
      <c r="A6" s="83">
        <v>3.3</v>
      </c>
      <c r="B6" s="84">
        <v>44377</v>
      </c>
      <c r="C6" s="82" t="s">
        <v>232</v>
      </c>
      <c r="D6" s="85" t="s">
        <v>184</v>
      </c>
      <c r="E6" s="85" t="s">
        <v>211</v>
      </c>
      <c r="F6" s="84">
        <v>44372</v>
      </c>
    </row>
    <row r="7" spans="1:6" ht="29" x14ac:dyDescent="0.35">
      <c r="A7" s="83" t="s">
        <v>231</v>
      </c>
      <c r="B7" s="84">
        <v>44377</v>
      </c>
      <c r="C7" s="82" t="s">
        <v>212</v>
      </c>
      <c r="D7" s="85" t="s">
        <v>184</v>
      </c>
      <c r="E7" s="85" t="s">
        <v>184</v>
      </c>
      <c r="F7" s="84">
        <v>44377</v>
      </c>
    </row>
    <row r="8" spans="1:6" ht="116" x14ac:dyDescent="0.35">
      <c r="A8" s="83">
        <v>3.2</v>
      </c>
      <c r="B8" s="84">
        <v>44367</v>
      </c>
      <c r="C8" s="82" t="s">
        <v>220</v>
      </c>
      <c r="D8" s="85" t="s">
        <v>184</v>
      </c>
      <c r="E8" s="85" t="s">
        <v>184</v>
      </c>
      <c r="F8" s="84">
        <v>44367</v>
      </c>
    </row>
    <row r="9" spans="1:6" ht="29" x14ac:dyDescent="0.35">
      <c r="A9" s="83">
        <v>3.1</v>
      </c>
      <c r="B9" s="84">
        <v>44331</v>
      </c>
      <c r="C9" s="82" t="s">
        <v>219</v>
      </c>
      <c r="D9" s="85" t="s">
        <v>184</v>
      </c>
      <c r="E9" s="85" t="s">
        <v>184</v>
      </c>
      <c r="F9" s="84">
        <v>44331</v>
      </c>
    </row>
    <row r="10" spans="1:6" ht="72.5" x14ac:dyDescent="0.35">
      <c r="A10" s="83">
        <v>3</v>
      </c>
      <c r="B10" s="84">
        <v>44319</v>
      </c>
      <c r="C10" s="82" t="s">
        <v>218</v>
      </c>
      <c r="D10" s="85" t="s">
        <v>184</v>
      </c>
      <c r="E10" s="85" t="s">
        <v>213</v>
      </c>
      <c r="F10" s="84">
        <v>44315</v>
      </c>
    </row>
    <row r="11" spans="1:6" ht="29" x14ac:dyDescent="0.35">
      <c r="A11" s="83">
        <v>2</v>
      </c>
      <c r="B11" s="84">
        <v>44307</v>
      </c>
      <c r="C11" s="82" t="s">
        <v>215</v>
      </c>
      <c r="D11" s="85" t="s">
        <v>184</v>
      </c>
      <c r="E11" s="85" t="s">
        <v>214</v>
      </c>
      <c r="F11" s="84">
        <v>44294</v>
      </c>
    </row>
    <row r="12" spans="1:6" ht="29" x14ac:dyDescent="0.35">
      <c r="A12" s="88">
        <v>1</v>
      </c>
      <c r="B12" s="84">
        <v>44291</v>
      </c>
      <c r="C12" s="82" t="s">
        <v>217</v>
      </c>
      <c r="D12" s="85" t="s">
        <v>184</v>
      </c>
      <c r="E12" s="85" t="s">
        <v>216</v>
      </c>
      <c r="F12" s="84">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Z133"/>
  <sheetViews>
    <sheetView topLeftCell="A18" zoomScale="150" zoomScaleNormal="150" workbookViewId="0">
      <selection activeCell="A105" sqref="A105"/>
    </sheetView>
  </sheetViews>
  <sheetFormatPr defaultRowHeight="14.5" x14ac:dyDescent="0.35"/>
  <cols>
    <col min="1" max="1" width="37.36328125" customWidth="1"/>
    <col min="2" max="2" width="7.8164062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90"/>
      <c r="I3" s="90"/>
      <c r="J3" s="90"/>
      <c r="K3" s="90"/>
    </row>
    <row r="4" spans="1:11" x14ac:dyDescent="0.35">
      <c r="A4" s="64" t="s">
        <v>39</v>
      </c>
      <c r="B4" s="64" t="s">
        <v>43</v>
      </c>
      <c r="C4" s="116" t="s">
        <v>44</v>
      </c>
      <c r="D4" s="117"/>
      <c r="E4" s="117"/>
      <c r="F4" s="117"/>
      <c r="G4" s="118"/>
    </row>
    <row r="5" spans="1:11" x14ac:dyDescent="0.35">
      <c r="A5" s="91" t="s">
        <v>52</v>
      </c>
      <c r="B5" s="91"/>
      <c r="C5" s="119"/>
      <c r="D5" s="119"/>
      <c r="E5" s="119"/>
      <c r="F5" s="119"/>
      <c r="G5" s="119"/>
    </row>
    <row r="6" spans="1:11" x14ac:dyDescent="0.35">
      <c r="A6" s="89" t="s">
        <v>40</v>
      </c>
      <c r="B6" s="89" t="s">
        <v>184</v>
      </c>
      <c r="C6" s="113" t="s">
        <v>189</v>
      </c>
      <c r="D6" s="113"/>
      <c r="E6" s="113"/>
      <c r="F6" s="113"/>
      <c r="G6" s="113"/>
    </row>
    <row r="7" spans="1:11" x14ac:dyDescent="0.35">
      <c r="A7" s="89" t="s">
        <v>41</v>
      </c>
      <c r="B7" s="89" t="s">
        <v>184</v>
      </c>
      <c r="C7" s="113" t="s">
        <v>190</v>
      </c>
      <c r="D7" s="113"/>
      <c r="E7" s="113"/>
      <c r="F7" s="113"/>
      <c r="G7" s="113"/>
    </row>
    <row r="8" spans="1:11" x14ac:dyDescent="0.35">
      <c r="A8" s="89" t="s">
        <v>42</v>
      </c>
      <c r="B8" s="89" t="s">
        <v>184</v>
      </c>
      <c r="C8" s="113" t="s">
        <v>181</v>
      </c>
      <c r="D8" s="113"/>
      <c r="E8" s="113"/>
      <c r="F8" s="113"/>
      <c r="G8" s="113"/>
    </row>
    <row r="9" spans="1:11" x14ac:dyDescent="0.35">
      <c r="A9" s="89" t="s">
        <v>165</v>
      </c>
      <c r="B9" s="89" t="s">
        <v>184</v>
      </c>
      <c r="C9" s="113" t="s">
        <v>182</v>
      </c>
      <c r="D9" s="113"/>
      <c r="E9" s="113"/>
      <c r="F9" s="113"/>
      <c r="G9" s="113"/>
    </row>
    <row r="10" spans="1:11" x14ac:dyDescent="0.35">
      <c r="A10" s="89" t="s">
        <v>200</v>
      </c>
      <c r="B10" s="89" t="s">
        <v>184</v>
      </c>
      <c r="C10" s="114" t="s">
        <v>237</v>
      </c>
      <c r="D10" s="114"/>
      <c r="E10" s="114"/>
      <c r="F10" s="114"/>
      <c r="G10" s="114"/>
    </row>
    <row r="11" spans="1:11" x14ac:dyDescent="0.35">
      <c r="A11" s="89"/>
      <c r="B11" s="89"/>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238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3" spans="1:14" x14ac:dyDescent="0.35">
      <c r="A23" t="s">
        <v>246</v>
      </c>
      <c r="B23" s="87">
        <v>3525</v>
      </c>
      <c r="C23" s="87">
        <v>1020</v>
      </c>
      <c r="D23" s="11"/>
    </row>
    <row r="24" spans="1:14" x14ac:dyDescent="0.35">
      <c r="A24" t="s">
        <v>227</v>
      </c>
      <c r="B24" s="12">
        <f>VLOOKUP(B23,'Powell-Elevation-Area'!$A$5:$B$689,2)/1000000</f>
        <v>5.9265762500000001</v>
      </c>
      <c r="C24" s="12">
        <f>VLOOKUP(C23,'Mead-Elevation-Area'!$A$5:$B$689,2)/1000000</f>
        <v>5.664593</v>
      </c>
      <c r="D24" s="11"/>
    </row>
    <row r="26" spans="1:14" s="1" customFormat="1" x14ac:dyDescent="0.35">
      <c r="A26" s="57" t="s">
        <v>35</v>
      </c>
      <c r="B26" s="57" t="s">
        <v>49</v>
      </c>
      <c r="C26" s="58" t="s">
        <v>5</v>
      </c>
      <c r="D26" s="58" t="s">
        <v>6</v>
      </c>
      <c r="E26" s="58" t="s">
        <v>7</v>
      </c>
      <c r="F26" s="58" t="s">
        <v>8</v>
      </c>
      <c r="G26" s="58" t="s">
        <v>9</v>
      </c>
      <c r="H26" s="58" t="s">
        <v>10</v>
      </c>
      <c r="I26" s="58" t="s">
        <v>11</v>
      </c>
      <c r="J26" s="58" t="s">
        <v>12</v>
      </c>
      <c r="K26" s="58" t="s">
        <v>36</v>
      </c>
      <c r="L26" s="58" t="s">
        <v>37</v>
      </c>
      <c r="M26" s="58" t="s">
        <v>108</v>
      </c>
      <c r="N26" s="58" t="s">
        <v>221</v>
      </c>
    </row>
    <row r="27" spans="1:14" x14ac:dyDescent="0.35">
      <c r="A27" s="1" t="s">
        <v>45</v>
      </c>
      <c r="B27" s="1"/>
      <c r="C27" s="45">
        <v>11</v>
      </c>
      <c r="D27" s="45">
        <f>C27</f>
        <v>11</v>
      </c>
      <c r="E27" s="45">
        <f t="shared" ref="E27:G27" si="0">D27</f>
        <v>11</v>
      </c>
      <c r="F27" s="45">
        <f t="shared" si="0"/>
        <v>11</v>
      </c>
      <c r="G27" s="45">
        <f t="shared" si="0"/>
        <v>11</v>
      </c>
      <c r="H27" s="45"/>
      <c r="I27" s="45"/>
      <c r="J27" s="45"/>
      <c r="K27" s="45"/>
      <c r="L27" s="45"/>
    </row>
    <row r="28" spans="1:14" x14ac:dyDescent="0.35">
      <c r="A28" s="1" t="s">
        <v>123</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126</v>
      </c>
      <c r="B29" s="14">
        <f>SUM(B30:B35)-SUM(B22:C22)</f>
        <v>0</v>
      </c>
      <c r="C29" s="14">
        <f>IF(C$27&lt;&gt;"",SUM(B22:C22),"")</f>
        <v>21.1</v>
      </c>
      <c r="D29" s="14">
        <f ca="1">IF(D$27&lt;&gt;"",C127,"")</f>
        <v>19.419925837338837</v>
      </c>
      <c r="E29" s="14">
        <f t="shared" ref="D29:L29" ca="1" si="2">IF(E$27&lt;&gt;"",D127,"")</f>
        <v>18.231948589758947</v>
      </c>
      <c r="F29" s="14">
        <f t="shared" ca="1" si="2"/>
        <v>17.380080030500842</v>
      </c>
      <c r="G29" s="14">
        <f t="shared" ca="1" si="2"/>
        <v>16.755834454698523</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5">
        <f>B22-B24</f>
        <v>5.0734237499999999</v>
      </c>
      <c r="C30" s="14">
        <f>IF(OR(C$27="",$A30=""),"",B30)</f>
        <v>5.0734237499999999</v>
      </c>
      <c r="D30" s="14">
        <f ca="1">IF(OR(D$27="",$A30=""),"",C121)</f>
        <v>3.1178582945981317</v>
      </c>
      <c r="E30" s="14">
        <f t="shared" ref="D30:L30" ca="1" si="4">IF(OR(E$27="",$A30=""),"",D121)</f>
        <v>1.7427998573977552</v>
      </c>
      <c r="F30" s="14">
        <f t="shared" ca="1" si="4"/>
        <v>0.72638872799576637</v>
      </c>
      <c r="G30" s="14">
        <f t="shared" ca="1" si="4"/>
        <v>0.36147702314945285</v>
      </c>
      <c r="H30" s="14" t="str">
        <f t="shared" si="4"/>
        <v/>
      </c>
      <c r="I30" s="14" t="str">
        <f t="shared" si="4"/>
        <v/>
      </c>
      <c r="J30" s="14" t="str">
        <f t="shared" si="4"/>
        <v/>
      </c>
      <c r="K30" s="14" t="str">
        <f t="shared" si="4"/>
        <v/>
      </c>
      <c r="L30" s="14" t="str">
        <f t="shared" si="4"/>
        <v/>
      </c>
      <c r="N30" t="s">
        <v>229</v>
      </c>
    </row>
    <row r="31" spans="1:14" x14ac:dyDescent="0.35">
      <c r="A31" t="str">
        <f t="shared" si="3"/>
        <v xml:space="preserve">    Lower Basin Balance</v>
      </c>
      <c r="B31" s="55">
        <f>C22-C24-B32</f>
        <v>4.3944069999999993</v>
      </c>
      <c r="C31" s="14">
        <f t="shared" ref="C31:C35" si="5">IF(OR(C$27="",$A31=""),"",B31)</f>
        <v>4.3944069999999993</v>
      </c>
      <c r="D31" s="14">
        <f t="shared" ref="D31:L31" ca="1" si="6">IF(OR(D$27="",$A31=""),"",C122)</f>
        <v>4.4717271200249602</v>
      </c>
      <c r="E31" s="14">
        <f t="shared" ca="1" si="6"/>
        <v>4.4289418826324098</v>
      </c>
      <c r="F31" s="14">
        <f t="shared" ca="1" si="6"/>
        <v>4.3745444740983803</v>
      </c>
      <c r="G31" s="14">
        <f t="shared" ca="1" si="6"/>
        <v>3.9187526506922019</v>
      </c>
      <c r="H31" s="14" t="str">
        <f t="shared" si="6"/>
        <v/>
      </c>
      <c r="I31" s="14" t="str">
        <f t="shared" si="6"/>
        <v/>
      </c>
      <c r="J31" s="14" t="str">
        <f t="shared" si="6"/>
        <v/>
      </c>
      <c r="K31" s="14" t="str">
        <f t="shared" si="6"/>
        <v/>
      </c>
      <c r="L31" s="14" t="str">
        <f t="shared" si="6"/>
        <v/>
      </c>
      <c r="N31" t="s">
        <v>225</v>
      </c>
    </row>
    <row r="32" spans="1:14" x14ac:dyDescent="0.35">
      <c r="A32" t="str">
        <f t="shared" si="3"/>
        <v xml:space="preserve">    Mexico Balance</v>
      </c>
      <c r="B32" s="86">
        <v>4.1000000000000002E-2</v>
      </c>
      <c r="C32" s="59">
        <f t="shared" si="5"/>
        <v>4.1000000000000002E-2</v>
      </c>
      <c r="D32" s="59">
        <f t="shared" ref="D32:L32" ca="1" si="7">IF(OR(D$27="",$A32=""),"",C123)</f>
        <v>0.23917117271574706</v>
      </c>
      <c r="E32" s="59">
        <f t="shared" ca="1" si="7"/>
        <v>0.46903759972878145</v>
      </c>
      <c r="F32" s="59">
        <f t="shared" ca="1" si="7"/>
        <v>0.68797757840669505</v>
      </c>
      <c r="G32" s="59">
        <f t="shared" ca="1" si="7"/>
        <v>0.88443553085686744</v>
      </c>
      <c r="H32" s="14" t="str">
        <f t="shared" si="7"/>
        <v/>
      </c>
      <c r="I32" s="14" t="str">
        <f t="shared" si="7"/>
        <v/>
      </c>
      <c r="J32" s="14" t="str">
        <f t="shared" si="7"/>
        <v/>
      </c>
      <c r="K32" s="14" t="str">
        <f t="shared" si="7"/>
        <v/>
      </c>
      <c r="L32" s="14" t="str">
        <f t="shared" si="7"/>
        <v/>
      </c>
      <c r="N32" t="s">
        <v>224</v>
      </c>
    </row>
    <row r="33" spans="1:14" x14ac:dyDescent="0.35">
      <c r="A33" t="str">
        <f t="shared" si="3"/>
        <v xml:space="preserve">    Mohave &amp; Havasu Evap &amp; ET Balance</v>
      </c>
      <c r="B33" s="56">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5">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228</v>
      </c>
    </row>
    <row r="35" spans="1:14" x14ac:dyDescent="0.35">
      <c r="A35" t="str">
        <f t="shared" si="3"/>
        <v/>
      </c>
      <c r="B35" s="56"/>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117</v>
      </c>
      <c r="C36"/>
    </row>
    <row r="37" spans="1:14" x14ac:dyDescent="0.35">
      <c r="A37" t="s">
        <v>115</v>
      </c>
      <c r="B37" s="35">
        <v>0.5</v>
      </c>
      <c r="C37" s="14">
        <f>IF(C$27&lt;&gt;"",B22,"")</f>
        <v>11</v>
      </c>
      <c r="D37" s="14">
        <f t="shared" ref="D37:L38" ca="1" si="11">IF(D27&lt;&gt;"",$B37*D$29,"")</f>
        <v>9.7099629186694187</v>
      </c>
      <c r="E37" s="14">
        <f t="shared" ca="1" si="11"/>
        <v>9.1159742948794733</v>
      </c>
      <c r="F37" s="14">
        <f t="shared" ca="1" si="11"/>
        <v>8.6900400152504211</v>
      </c>
      <c r="G37" s="14">
        <f t="shared" ca="1" si="11"/>
        <v>8.3779172273492613</v>
      </c>
      <c r="H37" s="14" t="str">
        <f t="shared" si="11"/>
        <v/>
      </c>
      <c r="I37" s="14" t="str">
        <f t="shared" si="11"/>
        <v/>
      </c>
      <c r="J37" s="14" t="str">
        <f t="shared" si="11"/>
        <v/>
      </c>
      <c r="K37" s="14" t="str">
        <f t="shared" si="11"/>
        <v/>
      </c>
      <c r="L37" s="14" t="str">
        <f t="shared" si="11"/>
        <v/>
      </c>
    </row>
    <row r="38" spans="1:14" x14ac:dyDescent="0.35">
      <c r="A38" t="s">
        <v>116</v>
      </c>
      <c r="B38" s="35">
        <f>1-B37</f>
        <v>0.5</v>
      </c>
      <c r="C38" s="14">
        <f>IF(C$27&lt;&gt;"",C22,"")</f>
        <v>10.1</v>
      </c>
      <c r="D38" s="14">
        <f t="shared" ca="1" si="11"/>
        <v>9.7099629186694187</v>
      </c>
      <c r="E38" s="14">
        <f t="shared" ca="1" si="11"/>
        <v>9.1159742948794733</v>
      </c>
      <c r="F38" s="14">
        <f t="shared" ca="1" si="11"/>
        <v>8.6900400152504211</v>
      </c>
      <c r="G38" s="14">
        <f t="shared" ca="1" si="11"/>
        <v>8.3779172273492613</v>
      </c>
      <c r="H38" s="14" t="str">
        <f t="shared" si="11"/>
        <v/>
      </c>
      <c r="I38" s="14" t="str">
        <f t="shared" si="11"/>
        <v/>
      </c>
      <c r="J38" s="14" t="str">
        <f t="shared" si="11"/>
        <v/>
      </c>
      <c r="K38" s="14" t="str">
        <f t="shared" si="11"/>
        <v/>
      </c>
      <c r="L38" s="14" t="str">
        <f t="shared" si="11"/>
        <v/>
      </c>
    </row>
    <row r="39" spans="1:14" x14ac:dyDescent="0.35">
      <c r="A39" s="1" t="s">
        <v>121</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0.93656952000060001</v>
      </c>
      <c r="F39" s="14">
        <f ca="1">IF(F$27&lt;&gt;"",VLOOKUP(F37*1000000,'Powell-Elevation-Area'!$B$5:$D$689,3)*$B$21/1000000 + VLOOKUP(F38*1000000,'Mead-Elevation-Area'!$B$5:$D$676,3)*$C$21/1000000,"")</f>
        <v>0.90936680550057303</v>
      </c>
      <c r="G39" s="14">
        <f ca="1">IF(G$27&lt;&gt;"",VLOOKUP(G37*1000000,'Powell-Elevation-Area'!$B$5:$D$689,3)*$B$21/1000000 + VLOOKUP(G38*1000000,'Mead-Elevation-Area'!$B$5:$D$676,3)*$C$21/1000000,"")</f>
        <v>0.88957864950059995</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f>IF(OR(C$27="",$A40=""),"",C$39*C30/C$29)</f>
        <v>0.24571184643515467</v>
      </c>
      <c r="D40" s="14">
        <f t="shared" ref="D40:L40" ca="1" si="13">IF(OR(D$27="",$A40=""),"",D$39*D30/D$29)</f>
        <v>0.15596973782093349</v>
      </c>
      <c r="E40" s="14">
        <f t="shared" ca="1" si="13"/>
        <v>8.9527085811166737E-2</v>
      </c>
      <c r="F40" s="14">
        <f t="shared" ca="1" si="13"/>
        <v>3.8006372581133596E-2</v>
      </c>
      <c r="G40" s="14">
        <f t="shared" ca="1" si="13"/>
        <v>1.9191061056861764E-2</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f t="shared" ref="C41:L45" si="14">IF(OR(C$27="",$A41=""),"",C$39*C31/C$29)</f>
        <v>0.21282627100832421</v>
      </c>
      <c r="D41" s="14">
        <f t="shared" ca="1" si="14"/>
        <v>0.22369653801310671</v>
      </c>
      <c r="E41" s="14">
        <f t="shared" ca="1" si="14"/>
        <v>0.22751336494320556</v>
      </c>
      <c r="F41" s="14">
        <f t="shared" ca="1" si="14"/>
        <v>0.22888649114099574</v>
      </c>
      <c r="G41" s="14">
        <f t="shared" ca="1" si="14"/>
        <v>0.20804924399048005</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f t="shared" si="14"/>
        <v>1.9856779563980523E-3</v>
      </c>
      <c r="D42" s="14">
        <f t="shared" ca="1" si="14"/>
        <v>1.196445174157872E-2</v>
      </c>
      <c r="E42" s="14">
        <f t="shared" ca="1" si="14"/>
        <v>2.4094315397914713E-2</v>
      </c>
      <c r="F42" s="14">
        <f t="shared" ca="1" si="14"/>
        <v>3.5996610581412132E-2</v>
      </c>
      <c r="G42" s="14">
        <f t="shared" ca="1" si="14"/>
        <v>4.695528397807594E-2</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f t="shared" si="14"/>
        <v>0</v>
      </c>
      <c r="D43" s="14">
        <f t="shared" ca="1" si="14"/>
        <v>0</v>
      </c>
      <c r="E43" s="14">
        <f t="shared" ca="1" si="14"/>
        <v>0</v>
      </c>
      <c r="F43" s="14">
        <f t="shared" ca="1" si="14"/>
        <v>0</v>
      </c>
      <c r="G43" s="14">
        <f t="shared" ca="1" si="14"/>
        <v>0</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f t="shared" si="14"/>
        <v>0.56137388460009618</v>
      </c>
      <c r="D44" s="14">
        <f t="shared" ca="1" si="14"/>
        <v>0.57984406542555433</v>
      </c>
      <c r="E44" s="14">
        <f t="shared" ca="1" si="14"/>
        <v>0.59543475384831301</v>
      </c>
      <c r="F44" s="14">
        <f t="shared" ca="1" si="14"/>
        <v>0.60647733119703151</v>
      </c>
      <c r="G44" s="14">
        <f t="shared" ca="1" si="14"/>
        <v>0.61538306047518221</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161</v>
      </c>
      <c r="B46" s="1"/>
      <c r="C46" s="50">
        <f>IF(C$27&lt;&gt;"",1.5-0.21/9/2-IF(SUM(C31,C32,C34/2)&lt;$T$66,$V$66,IF(C$31&lt;=$T$73,VLOOKUP(SUM(C31,C32,C34/2),$T$66:$V$74,3),0)),"")</f>
        <v>1.4583333333333333</v>
      </c>
      <c r="D46" s="50">
        <f t="shared" ref="D46:L46" ca="1" si="15">IF(D$27&lt;&gt;"",1.5-0.21/9/2-IF(SUM(D31,D32,D34/2)&lt;$T$66,$V$66,IF(D$31&lt;=$T$73,VLOOKUP(SUM(D31,D32,D34/2),$T$66:$V$74,3),0)),"")</f>
        <v>1.4583333333333333</v>
      </c>
      <c r="E46" s="50">
        <f t="shared" ca="1" si="15"/>
        <v>1.4583333333333333</v>
      </c>
      <c r="F46" s="50">
        <f t="shared" ca="1" si="15"/>
        <v>1.4473333333333334</v>
      </c>
      <c r="G46" s="50">
        <f t="shared" ca="1" si="15"/>
        <v>1.4583333333333333</v>
      </c>
      <c r="H46" s="50" t="str">
        <f t="shared" si="15"/>
        <v/>
      </c>
      <c r="I46" s="50" t="str">
        <f t="shared" si="15"/>
        <v/>
      </c>
      <c r="J46" s="50" t="str">
        <f t="shared" si="15"/>
        <v/>
      </c>
      <c r="K46" s="50" t="str">
        <f t="shared" si="15"/>
        <v/>
      </c>
      <c r="L46" s="50" t="str">
        <f t="shared" si="15"/>
        <v/>
      </c>
    </row>
    <row r="47" spans="1:14" x14ac:dyDescent="0.35">
      <c r="A47" s="1" t="s">
        <v>239</v>
      </c>
      <c r="B47" s="1"/>
      <c r="C47" s="53">
        <f>IF(C27="","",SUM(C27:C28))</f>
        <v>11.8</v>
      </c>
      <c r="D47" s="53">
        <f t="shared" ref="D47:L47" si="16">IF(D27="","",SUM(D27:D28))</f>
        <v>11.8</v>
      </c>
      <c r="E47" s="53">
        <f t="shared" si="16"/>
        <v>11.8</v>
      </c>
      <c r="F47" s="53">
        <f t="shared" si="16"/>
        <v>11.8</v>
      </c>
      <c r="G47" s="53">
        <f t="shared" si="16"/>
        <v>11.8</v>
      </c>
      <c r="H47" s="53" t="str">
        <f t="shared" si="16"/>
        <v/>
      </c>
      <c r="I47" s="53" t="str">
        <f t="shared" si="16"/>
        <v/>
      </c>
      <c r="J47" s="53" t="str">
        <f t="shared" si="16"/>
        <v/>
      </c>
      <c r="K47" s="53" t="str">
        <f t="shared" si="16"/>
        <v/>
      </c>
      <c r="L47" s="53" t="str">
        <f t="shared" si="16"/>
        <v/>
      </c>
      <c r="M47" s="46"/>
      <c r="N47" s="46"/>
    </row>
    <row r="48" spans="1:14" x14ac:dyDescent="0.35">
      <c r="A48" t="str">
        <f>IF(A6="","","    To "&amp;A6)</f>
        <v xml:space="preserve">    To Upper Basin</v>
      </c>
      <c r="B48" s="24" t="s">
        <v>164</v>
      </c>
      <c r="C48" s="14">
        <f>IF(OR(C$27="",$A48=""),"",IF(C$47&gt;SUM(C49:C53),C$47-SUM(C49:C53),0))</f>
        <v>2.4901463910332868</v>
      </c>
      <c r="D48" s="14">
        <f t="shared" ref="D48:L48" ca="1" si="17">IF(OR(D$27="",$A48=""),"",IF(D$47&gt;SUM(D49:D53),D$47-SUM(D49:D53),0))</f>
        <v>2.4809113006205568</v>
      </c>
      <c r="E48" s="14">
        <f t="shared" ca="1" si="17"/>
        <v>2.4731159564091776</v>
      </c>
      <c r="F48" s="14">
        <f t="shared" ca="1" si="17"/>
        <v>2.47309466773482</v>
      </c>
      <c r="G48" s="14">
        <f t="shared" ca="1" si="17"/>
        <v>2.463141803095743</v>
      </c>
      <c r="H48" s="14" t="str">
        <f t="shared" si="17"/>
        <v/>
      </c>
      <c r="I48" s="14" t="str">
        <f t="shared" si="17"/>
        <v/>
      </c>
      <c r="J48" s="14" t="str">
        <f t="shared" si="17"/>
        <v/>
      </c>
      <c r="K48" s="14" t="str">
        <f t="shared" si="17"/>
        <v/>
      </c>
      <c r="L48" s="14" t="str">
        <f t="shared" si="17"/>
        <v/>
      </c>
      <c r="M48" s="29">
        <f>SUM('11.0-TradeReserve'!C48,'11.0-TradeReserve'!C55)</f>
        <v>2.6347319773911586</v>
      </c>
      <c r="N48" s="29">
        <f>SUM('11.0-TradeReserve'!D48,'11.0-TradeReserve'!D55)</f>
        <v>2.6268267399978633</v>
      </c>
    </row>
    <row r="49" spans="1:26" x14ac:dyDescent="0.35">
      <c r="A49" t="str">
        <f t="shared" ref="A49:A53" si="18">IF(A7="","","    To "&amp;A7)</f>
        <v xml:space="preserve">    To Lower Basin</v>
      </c>
      <c r="B49" s="44">
        <f>7.5</f>
        <v>7.5</v>
      </c>
      <c r="C49" s="14">
        <f>IF(OR(C$27="",$A49=""),"",C28-C52/2-C51-C50/2+MIN($B49,C27-C50/2-C52/2))</f>
        <v>6.6901463910332852</v>
      </c>
      <c r="D49" s="14">
        <f t="shared" ref="D49:G49" ca="1" si="19">IF(OR(D$27="",$A49=""),"",D28-D52/2-D51-D50/2+MIN($B49,D27-D50/2-D52/2))</f>
        <v>6.680911300620556</v>
      </c>
      <c r="E49" s="14">
        <f t="shared" ca="1" si="19"/>
        <v>6.6731159564091769</v>
      </c>
      <c r="F49" s="14">
        <f t="shared" ca="1" si="19"/>
        <v>6.6730946677348175</v>
      </c>
      <c r="G49" s="14">
        <f t="shared" ca="1" si="19"/>
        <v>6.6631418030957423</v>
      </c>
      <c r="H49" s="14" t="str">
        <f>IF(OR(H$27="",$A49=""),"",H28-H52/2-H51-H50/2+MIN($B49,H27-H50/2-H52/2))</f>
        <v/>
      </c>
      <c r="I49" s="14" t="str">
        <f t="shared" ref="I49" si="20">IF(OR(I$27="",$A49=""),"",I28-I52/2-I51-I50/2+MIN($B49,I27-I50/2-I52/2))</f>
        <v/>
      </c>
      <c r="J49" s="14" t="str">
        <f t="shared" ref="J49" si="21">IF(OR(J$27="",$A49=""),"",J28-J52/2-J51-J50/2+MIN($B49,J27-J50/2-J52/2))</f>
        <v/>
      </c>
      <c r="K49" s="14" t="str">
        <f t="shared" ref="K49" si="22">IF(OR(K$27="",$A49=""),"",K28-K52/2-K51-K50/2+MIN($B49,K27-K50/2-K52/2))</f>
        <v/>
      </c>
      <c r="L49" s="14" t="str">
        <f t="shared" ref="L49" si="23">IF(OR(L$27="",$A49=""),"",L28-L52/2-L51-L50/2+MIN($B49,L27-L50/2-L52/2))</f>
        <v/>
      </c>
      <c r="M49" s="29">
        <f>SUM('11.0-TradeReserve'!C49,'11.0-TradeReserve'!C56)</f>
        <v>6.784731977391159</v>
      </c>
      <c r="N49" s="29">
        <f>SUM('11.0-TradeReserve'!D49,'11.0-TradeReserve'!D56)</f>
        <v>6.7768267399978628</v>
      </c>
    </row>
    <row r="50" spans="1:26" x14ac:dyDescent="0.35">
      <c r="A50" t="str">
        <f t="shared" si="18"/>
        <v xml:space="preserve">    To Mexico</v>
      </c>
      <c r="B50" s="44" t="s">
        <v>241</v>
      </c>
      <c r="C50" s="14">
        <f>IF(OR(C$27="",$A50=""),"",IF(C$47&gt;SUM(C51:C52,C46),C46,C$47-SUM(C51:C52)))</f>
        <v>1.4583333333333333</v>
      </c>
      <c r="D50" s="14">
        <f t="shared" ref="D50:L50" ca="1" si="24">IF(OR(D$27="",$A50=""),"",IF(D$47&gt;SUM(D51:D52,D46),D46,D$47-SUM(D51:D52)))</f>
        <v>1.4583333333333333</v>
      </c>
      <c r="E50" s="14">
        <f t="shared" ca="1" si="24"/>
        <v>1.4583333333333333</v>
      </c>
      <c r="F50" s="14">
        <f t="shared" ca="1" si="24"/>
        <v>1.4473333333333334</v>
      </c>
      <c r="G50" s="14">
        <f t="shared" ca="1" si="24"/>
        <v>1.4583333333333333</v>
      </c>
      <c r="H50" s="14" t="str">
        <f t="shared" si="24"/>
        <v/>
      </c>
      <c r="I50" s="14" t="str">
        <f t="shared" si="24"/>
        <v/>
      </c>
      <c r="J50" s="14" t="str">
        <f t="shared" si="24"/>
        <v/>
      </c>
      <c r="K50" s="14" t="str">
        <f t="shared" si="24"/>
        <v/>
      </c>
      <c r="L50" s="14" t="str">
        <f t="shared" si="24"/>
        <v/>
      </c>
      <c r="M50" s="29">
        <f>SUM('11.0-TradeReserve'!C50,'11.0-TradeReserve'!C57)</f>
        <v>1.2191621606175862</v>
      </c>
      <c r="N50" s="29">
        <f>SUM('11.0-TradeReserve'!D50,'11.0-TradeReserve'!D57)</f>
        <v>1.2165024545787202</v>
      </c>
    </row>
    <row r="51" spans="1:26" x14ac:dyDescent="0.35">
      <c r="A51" t="str">
        <f t="shared" si="18"/>
        <v xml:space="preserve">    To Mohave &amp; Havasu Evap &amp; ET</v>
      </c>
      <c r="B51" s="44">
        <v>0.6</v>
      </c>
      <c r="C51" s="14">
        <f>IF(OR(C$27="",$A51=""),"",IF(C$47&gt;C52+$B$51,$B51,C$47-C52))</f>
        <v>0.6</v>
      </c>
      <c r="D51" s="14">
        <f t="shared" ref="D51:L51" ca="1" si="25">IF(OR(D$27="",$A51=""),"",IF(D$47&gt;D52+$B$51,$B51,D$47-D52))</f>
        <v>0.6</v>
      </c>
      <c r="E51" s="14">
        <f t="shared" ca="1" si="25"/>
        <v>0.6</v>
      </c>
      <c r="F51" s="14">
        <f t="shared" ca="1" si="25"/>
        <v>0.6</v>
      </c>
      <c r="G51" s="14">
        <f t="shared" ca="1" si="25"/>
        <v>0.6</v>
      </c>
      <c r="H51" s="14" t="str">
        <f t="shared" si="25"/>
        <v/>
      </c>
      <c r="I51" s="14" t="str">
        <f t="shared" si="25"/>
        <v/>
      </c>
      <c r="J51" s="14" t="str">
        <f t="shared" si="25"/>
        <v/>
      </c>
      <c r="K51" s="14" t="str">
        <f t="shared" si="25"/>
        <v/>
      </c>
      <c r="L51" s="14" t="str">
        <f t="shared" si="25"/>
        <v/>
      </c>
      <c r="M51" s="29">
        <f>SUM('11.0-TradeReserve'!C51,'11.0-TradeReserve'!C58)</f>
        <v>0.6</v>
      </c>
      <c r="N51" s="29">
        <f>SUM('11.0-TradeReserve'!D51,'11.0-TradeReserve'!D58)</f>
        <v>0.6</v>
      </c>
    </row>
    <row r="52" spans="1:26" x14ac:dyDescent="0.35">
      <c r="A52" t="str">
        <f t="shared" si="18"/>
        <v xml:space="preserve">    To Shared, Reserve</v>
      </c>
      <c r="B52" s="44" t="s">
        <v>240</v>
      </c>
      <c r="C52" s="14">
        <f>IF(OR(C$27="",$A52=""),"",IF(C$47&gt;C44,C44,C$47))</f>
        <v>0.56137388460009618</v>
      </c>
      <c r="D52" s="14">
        <f t="shared" ref="D52:L52" ca="1" si="26">IF(OR(D$27="",$A52=""),"",IF(D$47&gt;D44,D44,D$47))</f>
        <v>0.57984406542555433</v>
      </c>
      <c r="E52" s="14">
        <f t="shared" ca="1" si="26"/>
        <v>0.59543475384831301</v>
      </c>
      <c r="F52" s="14">
        <f t="shared" ca="1" si="26"/>
        <v>0.60647733119703151</v>
      </c>
      <c r="G52" s="14">
        <f t="shared" ca="1" si="26"/>
        <v>0.61538306047518221</v>
      </c>
      <c r="H52" s="14" t="str">
        <f t="shared" si="26"/>
        <v/>
      </c>
      <c r="I52" s="14" t="str">
        <f t="shared" si="26"/>
        <v/>
      </c>
      <c r="J52" s="14" t="str">
        <f t="shared" si="26"/>
        <v/>
      </c>
      <c r="K52" s="14" t="str">
        <f t="shared" si="26"/>
        <v/>
      </c>
      <c r="L52" s="14" t="str">
        <f t="shared" si="26"/>
        <v/>
      </c>
      <c r="M52" s="29">
        <f>SUM('11.0-TradeReserve'!C52,'11.0-TradeReserve'!C59)</f>
        <v>0.56137388460009618</v>
      </c>
      <c r="N52" s="29">
        <f>SUM('11.0-TradeReserve'!D52,'11.0-TradeReserve'!D59)</f>
        <v>0.57984406542555433</v>
      </c>
    </row>
    <row r="53" spans="1:26" x14ac:dyDescent="0.35">
      <c r="A53" t="str">
        <f t="shared" si="18"/>
        <v/>
      </c>
      <c r="B53" s="44"/>
      <c r="C53" s="59" t="str">
        <f t="shared" ref="C53:L53" si="27">IF(OR(C$27="",$A53=""),"",IF(C$27&gt;$B53,$B53,C$27))</f>
        <v/>
      </c>
      <c r="D53" s="59" t="str">
        <f t="shared" si="27"/>
        <v/>
      </c>
      <c r="E53" s="59" t="str">
        <f t="shared" si="27"/>
        <v/>
      </c>
      <c r="F53" s="59" t="str">
        <f t="shared" si="27"/>
        <v/>
      </c>
      <c r="G53" s="59" t="str">
        <f t="shared" si="27"/>
        <v/>
      </c>
      <c r="H53" s="59" t="str">
        <f t="shared" si="27"/>
        <v/>
      </c>
      <c r="I53" s="59" t="str">
        <f t="shared" si="27"/>
        <v/>
      </c>
      <c r="J53" s="59" t="str">
        <f t="shared" si="27"/>
        <v/>
      </c>
      <c r="K53" s="59" t="str">
        <f t="shared" si="27"/>
        <v/>
      </c>
      <c r="L53" s="59" t="str">
        <f t="shared" si="27"/>
        <v/>
      </c>
      <c r="M53" s="29">
        <f>SUM('11.0-TradeReserve'!C53,'11.0-TradeReserve'!C60)</f>
        <v>0</v>
      </c>
      <c r="N53" s="29">
        <f>SUM('11.0-TradeReserve'!D53,'11.0-TradeReserve'!D60)</f>
        <v>0</v>
      </c>
    </row>
    <row r="54" spans="1:26" x14ac:dyDescent="0.35">
      <c r="C54"/>
    </row>
    <row r="55" spans="1:26" x14ac:dyDescent="0.35">
      <c r="A55" s="99" t="s">
        <v>233</v>
      </c>
      <c r="B55" s="100"/>
      <c r="C55" s="100"/>
      <c r="D55" s="100"/>
      <c r="E55" s="100"/>
      <c r="F55" s="100"/>
      <c r="G55" s="100"/>
      <c r="H55" s="100"/>
      <c r="I55" s="100"/>
      <c r="J55" s="100"/>
      <c r="K55" s="100"/>
      <c r="L55" s="100"/>
      <c r="M55" s="100"/>
      <c r="N55" s="100"/>
    </row>
    <row r="56" spans="1:26" x14ac:dyDescent="0.35">
      <c r="A56" s="96" t="str">
        <f>IF(A$6="[Unused]","",A6)</f>
        <v>Upper Basin</v>
      </c>
      <c r="B56" s="97"/>
      <c r="C56" s="97"/>
      <c r="D56" s="97"/>
      <c r="E56" s="97"/>
      <c r="F56" s="97"/>
      <c r="G56" s="97"/>
      <c r="H56" s="97"/>
      <c r="I56" s="97"/>
      <c r="J56" s="97"/>
      <c r="K56" s="97"/>
      <c r="L56" s="97"/>
      <c r="M56" s="98" t="s">
        <v>108</v>
      </c>
      <c r="N56" s="96" t="s">
        <v>221</v>
      </c>
    </row>
    <row r="57" spans="1:26" x14ac:dyDescent="0.35">
      <c r="A57" s="32" t="str">
        <f>IF(A56="[Unused]","","   Volume of Sales(+) and Purchases(-) [maf]")</f>
        <v xml:space="preserve">   Volume of Sales(+) and Purchases(-) [maf]</v>
      </c>
      <c r="C57" s="25">
        <v>0.5</v>
      </c>
      <c r="D57" s="25">
        <v>0.4</v>
      </c>
      <c r="E57" s="25">
        <v>0.4</v>
      </c>
      <c r="F57" s="25"/>
      <c r="G57" s="25"/>
      <c r="H57" s="25"/>
      <c r="I57" s="25"/>
      <c r="J57" s="25"/>
      <c r="K57" s="25"/>
      <c r="L57" s="25"/>
      <c r="M57" s="95">
        <f>SUM(C57:L57)</f>
        <v>1.3</v>
      </c>
      <c r="N57" t="str">
        <f>IF(A57="","","Add if multiple transactions, e.g.: 0.5 + 0.25")</f>
        <v>Add if multiple transactions, e.g.: 0.5 + 0.25</v>
      </c>
    </row>
    <row r="58" spans="1:26" x14ac:dyDescent="0.35">
      <c r="A58" s="32" t="str">
        <f>IF(A57="","","   Cash Intake(+) and Payments(-) [$ Mill]")</f>
        <v xml:space="preserve">   Cash Intake(+) and Payments(-) [$ Mill]</v>
      </c>
      <c r="C58" s="93">
        <f>350*C57</f>
        <v>175</v>
      </c>
      <c r="D58" s="93">
        <f t="shared" ref="D58:E58" si="28">350*D57</f>
        <v>140</v>
      </c>
      <c r="E58" s="93">
        <f t="shared" si="28"/>
        <v>140</v>
      </c>
      <c r="F58" s="93"/>
      <c r="G58" s="93"/>
      <c r="H58" s="93"/>
      <c r="I58" s="93"/>
      <c r="J58" s="93"/>
      <c r="K58" s="93"/>
      <c r="L58" s="93"/>
      <c r="M58" s="92">
        <f>SUM(C58:L58)</f>
        <v>455</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95">
        <f t="shared" ref="C59:M59" ca="1" si="29">IF(OR(C$27="",$A59=""),"",C$112)</f>
        <v>0</v>
      </c>
      <c r="D59" s="95">
        <f t="shared" ca="1" si="29"/>
        <v>0</v>
      </c>
      <c r="E59" s="95">
        <f t="shared" ca="1" si="29"/>
        <v>0</v>
      </c>
      <c r="F59" s="95">
        <f t="shared" ca="1" si="29"/>
        <v>0</v>
      </c>
      <c r="G59" s="95">
        <f t="shared" ca="1" si="29"/>
        <v>0</v>
      </c>
      <c r="H59" s="95" t="str">
        <f t="shared" si="29"/>
        <v/>
      </c>
      <c r="I59" s="95" t="str">
        <f t="shared" si="29"/>
        <v/>
      </c>
      <c r="J59" s="95" t="str">
        <f t="shared" si="29"/>
        <v/>
      </c>
      <c r="K59" s="95" t="str">
        <f t="shared" si="29"/>
        <v/>
      </c>
      <c r="L59" s="95" t="str">
        <f t="shared" si="29"/>
        <v/>
      </c>
      <c r="M59" t="str">
        <f t="shared" si="29"/>
        <v/>
      </c>
      <c r="N59" t="str">
        <f>IF(A59="","","If non-zero, players need to change amount(s)")</f>
        <v>If non-zero, players need to change amount(s)</v>
      </c>
    </row>
    <row r="60" spans="1:26" x14ac:dyDescent="0.35">
      <c r="A60" s="1" t="str">
        <f>IF(A58="","","   Available Water [maf]")</f>
        <v xml:space="preserve">   Available Water [maf]</v>
      </c>
      <c r="C60" s="14">
        <f>IF(OR(C$27="",$A60=""),"",C30+C48-C40-C57)</f>
        <v>6.8178582945981319</v>
      </c>
      <c r="D60" s="14">
        <f t="shared" ref="C60:L60" ca="1" si="30">IF(OR(D$27="",$A60=""),"",D30+D48-D40-D57)</f>
        <v>5.042799857397755</v>
      </c>
      <c r="E60" s="14">
        <f t="shared" ca="1" si="30"/>
        <v>3.7263887279957664</v>
      </c>
      <c r="F60" s="14">
        <f t="shared" ca="1" si="30"/>
        <v>3.1614770231494527</v>
      </c>
      <c r="G60" s="14">
        <f t="shared" ca="1" si="30"/>
        <v>2.8054277651883339</v>
      </c>
      <c r="H60" s="14" t="str">
        <f t="shared" si="30"/>
        <v/>
      </c>
      <c r="I60" s="14" t="str">
        <f t="shared" si="30"/>
        <v/>
      </c>
      <c r="J60" s="14" t="str">
        <f t="shared" si="30"/>
        <v/>
      </c>
      <c r="K60" s="14" t="str">
        <f t="shared" si="30"/>
        <v/>
      </c>
      <c r="L60" s="14" t="str">
        <f t="shared" si="30"/>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94">
        <f>IF(OR(C$27="",$A62=""),"",C60-C61)</f>
        <v>3.1178582945981317</v>
      </c>
      <c r="D62" s="94">
        <f t="shared" ref="D62:L62" ca="1" si="31">IF(OR(D$27="",$A62=""),"",D60-D61)</f>
        <v>1.7427998573977552</v>
      </c>
      <c r="E62" s="94">
        <f t="shared" ca="1" si="31"/>
        <v>0.72638872799576637</v>
      </c>
      <c r="F62" s="94">
        <f t="shared" ca="1" si="31"/>
        <v>0.36147702314945285</v>
      </c>
      <c r="G62" s="94">
        <f t="shared" ca="1" si="31"/>
        <v>0.10542776518833374</v>
      </c>
      <c r="H62" s="94" t="str">
        <f t="shared" si="31"/>
        <v/>
      </c>
      <c r="I62" s="94" t="str">
        <f t="shared" si="31"/>
        <v/>
      </c>
      <c r="J62" s="94" t="str">
        <f t="shared" si="31"/>
        <v/>
      </c>
      <c r="K62" s="94" t="str">
        <f t="shared" si="31"/>
        <v/>
      </c>
      <c r="L62" s="94" t="str">
        <f t="shared" si="31"/>
        <v/>
      </c>
      <c r="N62" t="str">
        <f>IF(A62="","","Available water - Account Withdraw")</f>
        <v>Available water - Account Withdraw</v>
      </c>
    </row>
    <row r="63" spans="1:26" x14ac:dyDescent="0.35">
      <c r="C63"/>
      <c r="S63" s="1" t="s">
        <v>236</v>
      </c>
    </row>
    <row r="64" spans="1:26" x14ac:dyDescent="0.35">
      <c r="A64" s="96" t="str">
        <f>IF(A$7="","[Unused]",A7)</f>
        <v>Lower Basin</v>
      </c>
      <c r="B64" s="97"/>
      <c r="C64" s="97"/>
      <c r="D64" s="97"/>
      <c r="E64" s="97"/>
      <c r="F64" s="97"/>
      <c r="G64" s="97"/>
      <c r="H64" s="97"/>
      <c r="I64" s="97"/>
      <c r="J64" s="97"/>
      <c r="K64" s="97"/>
      <c r="L64" s="97"/>
      <c r="M64" s="98" t="s">
        <v>108</v>
      </c>
      <c r="N64" s="96" t="s">
        <v>221</v>
      </c>
      <c r="S64" s="37" t="s">
        <v>130</v>
      </c>
      <c r="T64" s="37" t="s">
        <v>131</v>
      </c>
      <c r="U64" s="38" t="s">
        <v>132</v>
      </c>
      <c r="V64" s="38" t="s">
        <v>133</v>
      </c>
      <c r="W64" s="37" t="s">
        <v>134</v>
      </c>
      <c r="X64" s="37" t="s">
        <v>134</v>
      </c>
      <c r="Y64" s="51" t="s">
        <v>157</v>
      </c>
      <c r="Z64" s="51" t="s">
        <v>158</v>
      </c>
    </row>
    <row r="65" spans="1:26" x14ac:dyDescent="0.35">
      <c r="A65" s="32" t="str">
        <f>IF(A64="[Unused]","","   Volume of Sales(+) and Purchases(-) [maf]")</f>
        <v xml:space="preserve">   Volume of Sales(+) and Purchases(-) [maf]</v>
      </c>
      <c r="C65" s="25">
        <f>-C57</f>
        <v>-0.5</v>
      </c>
      <c r="D65" s="25">
        <f t="shared" ref="D65:E65" si="32">-D57</f>
        <v>-0.4</v>
      </c>
      <c r="E65" s="25">
        <f t="shared" si="32"/>
        <v>-0.4</v>
      </c>
      <c r="F65" s="25"/>
      <c r="G65" s="25"/>
      <c r="H65" s="25"/>
      <c r="I65" s="25"/>
      <c r="J65" s="25"/>
      <c r="K65" s="25"/>
      <c r="L65" s="25"/>
      <c r="M65" s="95">
        <f>SUM(C65:L65)</f>
        <v>-1.3</v>
      </c>
      <c r="N65" t="str">
        <f>IF(A65="","",N57)</f>
        <v>Add if multiple transactions, e.g.: 0.5 + 0.25</v>
      </c>
      <c r="S65">
        <v>955</v>
      </c>
      <c r="T65" s="29">
        <v>0</v>
      </c>
      <c r="U65" s="101">
        <f>U66</f>
        <v>1.2000000000000002</v>
      </c>
      <c r="V65" s="101">
        <f t="shared" ref="V65:Z65" si="33">V66</f>
        <v>0.15</v>
      </c>
      <c r="W65" s="101">
        <f t="shared" si="33"/>
        <v>1.325</v>
      </c>
      <c r="X65" s="101">
        <f t="shared" si="33"/>
        <v>1.35</v>
      </c>
      <c r="Y65" s="101">
        <f t="shared" si="33"/>
        <v>0.125</v>
      </c>
      <c r="Z65" s="6">
        <f t="shared" si="33"/>
        <v>1350000</v>
      </c>
    </row>
    <row r="66" spans="1:26" x14ac:dyDescent="0.35">
      <c r="A66" s="32" t="str">
        <f>IF(A65="","","   Cash Intake(+) and Payments(-) [$ Mill]")</f>
        <v xml:space="preserve">   Cash Intake(+) and Payments(-) [$ Mill]</v>
      </c>
      <c r="C66" s="93">
        <f>-C58</f>
        <v>-175</v>
      </c>
      <c r="D66" s="93">
        <f t="shared" ref="D66:E66" si="34">-D58</f>
        <v>-140</v>
      </c>
      <c r="E66" s="93">
        <f t="shared" si="34"/>
        <v>-140</v>
      </c>
      <c r="F66" s="93"/>
      <c r="G66" s="93"/>
      <c r="H66" s="93"/>
      <c r="I66" s="93"/>
      <c r="J66" s="93"/>
      <c r="K66" s="93"/>
      <c r="L66" s="93"/>
      <c r="M66" s="92">
        <f>SUM(C66:L66)</f>
        <v>-455</v>
      </c>
      <c r="N66" t="str">
        <f t="shared" ref="N66:N70" si="35">IF(A66="","",N58)</f>
        <v>Add if multiple transactions, e.g.: $350*0.5 + $450*0.25</v>
      </c>
      <c r="S66" s="39">
        <v>1025</v>
      </c>
      <c r="T66" s="40">
        <v>5.981122</v>
      </c>
      <c r="U66" s="41">
        <f>X66-V66</f>
        <v>1.2000000000000002</v>
      </c>
      <c r="V66" s="49">
        <v>0.15</v>
      </c>
      <c r="W66" s="41">
        <v>1.325</v>
      </c>
      <c r="X66" s="41">
        <f t="shared" ref="X66:X73" si="36">Z66/1000000</f>
        <v>1.35</v>
      </c>
      <c r="Y66" s="42">
        <v>0.125</v>
      </c>
      <c r="Z66" s="52">
        <v>1350000</v>
      </c>
    </row>
    <row r="67" spans="1:26" x14ac:dyDescent="0.35">
      <c r="A67" s="32" t="str">
        <f>IF(A66="","","   Volume all players (should be zero)")</f>
        <v xml:space="preserve">   Volume all players (should be zero)</v>
      </c>
      <c r="C67" s="95">
        <f t="shared" ref="C67:M67" ca="1" si="37">IF(OR(C$27="",$A67=""),"",C$112)</f>
        <v>0</v>
      </c>
      <c r="D67" s="95">
        <f t="shared" ca="1" si="37"/>
        <v>0</v>
      </c>
      <c r="E67" s="95">
        <f t="shared" ca="1" si="37"/>
        <v>0</v>
      </c>
      <c r="F67" s="95">
        <f t="shared" ca="1" si="37"/>
        <v>0</v>
      </c>
      <c r="G67" s="95">
        <f t="shared" ca="1" si="37"/>
        <v>0</v>
      </c>
      <c r="H67" s="95" t="str">
        <f t="shared" si="37"/>
        <v/>
      </c>
      <c r="I67" s="95" t="str">
        <f t="shared" si="37"/>
        <v/>
      </c>
      <c r="J67" s="95" t="str">
        <f t="shared" si="37"/>
        <v/>
      </c>
      <c r="K67" s="95" t="str">
        <f t="shared" si="37"/>
        <v/>
      </c>
      <c r="L67" s="95" t="str">
        <f t="shared" si="37"/>
        <v/>
      </c>
      <c r="M67" t="str">
        <f t="shared" si="37"/>
        <v/>
      </c>
      <c r="N67" t="str">
        <f t="shared" si="35"/>
        <v>If non-zero, players need to change amount(s)</v>
      </c>
      <c r="S67" s="39">
        <v>1030</v>
      </c>
      <c r="T67" s="40">
        <v>6.305377</v>
      </c>
      <c r="U67" s="41">
        <f t="shared" ref="U67:U73" si="38">X67-V67</f>
        <v>1.117</v>
      </c>
      <c r="V67" s="49">
        <v>0.10100000000000001</v>
      </c>
      <c r="W67" s="41">
        <v>1.1870000000000001</v>
      </c>
      <c r="X67" s="41">
        <f t="shared" si="36"/>
        <v>1.218</v>
      </c>
      <c r="Y67" s="42">
        <v>7.0000000000000007E-2</v>
      </c>
      <c r="Z67" s="52">
        <v>1218000</v>
      </c>
    </row>
    <row r="68" spans="1:26" x14ac:dyDescent="0.35">
      <c r="A68" s="1" t="str">
        <f>IF(A66="","","   Available Water [maf]")</f>
        <v xml:space="preserve">   Available Water [maf]</v>
      </c>
      <c r="C68" s="14">
        <f t="shared" ref="C68:L68" si="39">IF(OR(C$27="",$A68=""),"",C31+C49-C41-C65)</f>
        <v>11.371727120024961</v>
      </c>
      <c r="D68" s="14">
        <f t="shared" ca="1" si="39"/>
        <v>11.32894188263241</v>
      </c>
      <c r="E68" s="14">
        <f t="shared" ca="1" si="39"/>
        <v>11.274544474098381</v>
      </c>
      <c r="F68" s="14">
        <f t="shared" ca="1" si="39"/>
        <v>10.818752650692202</v>
      </c>
      <c r="G68" s="14">
        <f t="shared" ca="1" si="39"/>
        <v>10.373845209797464</v>
      </c>
      <c r="H68" s="14" t="str">
        <f t="shared" si="39"/>
        <v/>
      </c>
      <c r="I68" s="14" t="str">
        <f t="shared" si="39"/>
        <v/>
      </c>
      <c r="J68" s="14" t="str">
        <f t="shared" si="39"/>
        <v/>
      </c>
      <c r="K68" s="14" t="str">
        <f t="shared" si="39"/>
        <v/>
      </c>
      <c r="L68" s="14" t="str">
        <f t="shared" si="39"/>
        <v/>
      </c>
      <c r="N68" t="str">
        <f t="shared" si="35"/>
        <v>Available water = Account Balance + Available Inflow - Evaporation + Sales - Purchases</v>
      </c>
      <c r="S68" s="39">
        <v>1035</v>
      </c>
      <c r="T68" s="40">
        <v>6.6375080000000004</v>
      </c>
      <c r="U68" s="41">
        <f t="shared" si="38"/>
        <v>1.0669999999999999</v>
      </c>
      <c r="V68" s="49">
        <v>9.1999999999999998E-2</v>
      </c>
      <c r="W68" s="41">
        <v>1.137</v>
      </c>
      <c r="X68" s="41">
        <f t="shared" si="36"/>
        <v>1.159</v>
      </c>
      <c r="Y68" s="42">
        <v>7.0000000000000007E-2</v>
      </c>
      <c r="Z68" s="52">
        <v>1159000</v>
      </c>
    </row>
    <row r="69" spans="1:26" x14ac:dyDescent="0.35">
      <c r="A69" s="1" t="str">
        <f>IF(A68="","","   Account Withdraw [maf]")</f>
        <v xml:space="preserve">   Account Withdraw [maf]</v>
      </c>
      <c r="C69" s="43">
        <v>6.9</v>
      </c>
      <c r="D69" s="43">
        <v>6.9</v>
      </c>
      <c r="E69" s="43">
        <v>6.9</v>
      </c>
      <c r="F69" s="43">
        <v>6.9</v>
      </c>
      <c r="G69" s="43">
        <f t="shared" ref="G69" si="40">F69</f>
        <v>6.9</v>
      </c>
      <c r="H69" s="43"/>
      <c r="I69" s="43"/>
      <c r="J69" s="43"/>
      <c r="K69" s="43"/>
      <c r="L69" s="43"/>
      <c r="N69" t="str">
        <f t="shared" si="35"/>
        <v>Must be less than Available water</v>
      </c>
      <c r="S69" s="39">
        <v>1040</v>
      </c>
      <c r="T69" s="40">
        <v>6.977665</v>
      </c>
      <c r="U69" s="41">
        <f t="shared" si="38"/>
        <v>1.0169999999999999</v>
      </c>
      <c r="V69" s="49">
        <v>8.4000000000000005E-2</v>
      </c>
      <c r="W69" s="41">
        <v>1.087</v>
      </c>
      <c r="X69" s="41">
        <f t="shared" si="36"/>
        <v>1.101</v>
      </c>
      <c r="Y69" s="42">
        <v>7.0000000000000007E-2</v>
      </c>
      <c r="Z69" s="52">
        <v>1101000</v>
      </c>
    </row>
    <row r="70" spans="1:26" x14ac:dyDescent="0.35">
      <c r="A70" s="32" t="str">
        <f>IF(A69="","","   End of Year Balance [maf]")</f>
        <v xml:space="preserve">   End of Year Balance [maf]</v>
      </c>
      <c r="C70" s="94">
        <f>IF(OR(C$27="",$A70=""),"",C68-C69)</f>
        <v>4.4717271200249602</v>
      </c>
      <c r="D70" s="94">
        <f t="shared" ref="D70:L70" ca="1" si="41">IF(OR(D$27="",$A70=""),"",D68-D69)</f>
        <v>4.4289418826324098</v>
      </c>
      <c r="E70" s="94">
        <f t="shared" ca="1" si="41"/>
        <v>4.3745444740983803</v>
      </c>
      <c r="F70" s="94">
        <f t="shared" ca="1" si="41"/>
        <v>3.9187526506922019</v>
      </c>
      <c r="G70" s="94">
        <f t="shared" ca="1" si="41"/>
        <v>3.4738452097974637</v>
      </c>
      <c r="H70" s="94" t="str">
        <f t="shared" si="41"/>
        <v/>
      </c>
      <c r="I70" s="94" t="str">
        <f t="shared" si="41"/>
        <v/>
      </c>
      <c r="J70" s="94" t="str">
        <f t="shared" si="41"/>
        <v/>
      </c>
      <c r="K70" s="94" t="str">
        <f t="shared" si="41"/>
        <v/>
      </c>
      <c r="L70" s="94" t="str">
        <f t="shared" si="41"/>
        <v/>
      </c>
      <c r="N70" t="str">
        <f t="shared" si="35"/>
        <v>Available water - Account Withdraw</v>
      </c>
      <c r="S70" s="39">
        <v>1045</v>
      </c>
      <c r="T70" s="40">
        <v>7.3260519999999998</v>
      </c>
      <c r="U70" s="41">
        <f t="shared" si="38"/>
        <v>0.96699999999999997</v>
      </c>
      <c r="V70" s="49">
        <v>7.5999999999999998E-2</v>
      </c>
      <c r="W70" s="41">
        <v>1.0369999999999999</v>
      </c>
      <c r="X70" s="41">
        <f t="shared" si="36"/>
        <v>1.0429999999999999</v>
      </c>
      <c r="Y70" s="42">
        <v>7.0000000000000007E-2</v>
      </c>
      <c r="Z70" s="52">
        <v>1043000</v>
      </c>
    </row>
    <row r="71" spans="1:26" x14ac:dyDescent="0.35">
      <c r="C71"/>
      <c r="S71" s="39">
        <v>1050</v>
      </c>
      <c r="T71" s="40">
        <v>7.6828779999999997</v>
      </c>
      <c r="U71" s="41">
        <f t="shared" si="38"/>
        <v>0.71699999999999997</v>
      </c>
      <c r="V71" s="49">
        <v>3.4000000000000002E-2</v>
      </c>
      <c r="W71" s="41">
        <v>0.78700000000000003</v>
      </c>
      <c r="X71" s="41">
        <f t="shared" si="36"/>
        <v>0.751</v>
      </c>
      <c r="Y71" s="42">
        <v>7.0000000000000007E-2</v>
      </c>
      <c r="Z71" s="52">
        <v>751000</v>
      </c>
    </row>
    <row r="72" spans="1:26" x14ac:dyDescent="0.35">
      <c r="A72" s="96" t="str">
        <f>IF(A$8="","[Unused]",A8)</f>
        <v>Mexico</v>
      </c>
      <c r="B72" s="97"/>
      <c r="C72" s="97"/>
      <c r="D72" s="97"/>
      <c r="E72" s="97"/>
      <c r="F72" s="97"/>
      <c r="G72" s="97"/>
      <c r="H72" s="97"/>
      <c r="I72" s="97"/>
      <c r="J72" s="97"/>
      <c r="K72" s="97"/>
      <c r="L72" s="97"/>
      <c r="M72" s="98" t="s">
        <v>108</v>
      </c>
      <c r="N72" s="96" t="s">
        <v>221</v>
      </c>
      <c r="S72" s="39">
        <v>1075</v>
      </c>
      <c r="T72" s="40">
        <v>9.6009879999900001</v>
      </c>
      <c r="U72" s="41">
        <f t="shared" si="38"/>
        <v>0.63300000000000001</v>
      </c>
      <c r="V72" s="49">
        <v>0.03</v>
      </c>
      <c r="W72" s="41">
        <v>0.68300000000000005</v>
      </c>
      <c r="X72" s="41">
        <f t="shared" si="36"/>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95">
        <f>SUM(C73:L73)</f>
        <v>0</v>
      </c>
      <c r="N73" t="str">
        <f>IF(A73="","",N65)</f>
        <v>Add if multiple transactions, e.g.: 0.5 + 0.25</v>
      </c>
      <c r="S73" s="39">
        <v>1090</v>
      </c>
      <c r="T73" s="40">
        <v>10.857008</v>
      </c>
      <c r="U73" s="41">
        <f t="shared" si="38"/>
        <v>0.30000000000000004</v>
      </c>
      <c r="V73" s="49">
        <v>4.1000000000000002E-2</v>
      </c>
      <c r="W73" s="41">
        <v>0.3</v>
      </c>
      <c r="X73" s="41">
        <f t="shared" si="36"/>
        <v>0.34100000000000003</v>
      </c>
      <c r="Y73" s="38"/>
      <c r="Z73" s="52">
        <v>341000</v>
      </c>
    </row>
    <row r="74" spans="1:26" x14ac:dyDescent="0.35">
      <c r="A74" s="32" t="str">
        <f>IF(A73="","","   Cash Intake(+) and Payments(-) [$ Mill]")</f>
        <v xml:space="preserve">   Cash Intake(+) and Payments(-) [$ Mill]</v>
      </c>
      <c r="C74" s="93"/>
      <c r="D74" s="93"/>
      <c r="E74" s="93"/>
      <c r="F74" s="93"/>
      <c r="G74" s="93"/>
      <c r="H74" s="93"/>
      <c r="I74" s="93"/>
      <c r="J74" s="93"/>
      <c r="K74" s="93"/>
      <c r="L74" s="93"/>
      <c r="M74" s="92">
        <f>SUM(C74:L74)</f>
        <v>0</v>
      </c>
      <c r="N74" t="str">
        <f t="shared" ref="N74:N78" si="42">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95">
        <f t="shared" ref="C75:M75" ca="1" si="43">IF(OR(C$27="",$A75=""),"",C$112)</f>
        <v>0</v>
      </c>
      <c r="D75" s="95">
        <f t="shared" ca="1" si="43"/>
        <v>0</v>
      </c>
      <c r="E75" s="95">
        <f t="shared" ca="1" si="43"/>
        <v>0</v>
      </c>
      <c r="F75" s="95">
        <f t="shared" ca="1" si="43"/>
        <v>0</v>
      </c>
      <c r="G75" s="95">
        <f t="shared" ca="1" si="43"/>
        <v>0</v>
      </c>
      <c r="H75" s="95" t="str">
        <f t="shared" si="43"/>
        <v/>
      </c>
      <c r="I75" s="95" t="str">
        <f t="shared" si="43"/>
        <v/>
      </c>
      <c r="J75" s="95" t="str">
        <f t="shared" si="43"/>
        <v/>
      </c>
      <c r="K75" s="95" t="str">
        <f t="shared" si="43"/>
        <v/>
      </c>
      <c r="L75" s="95" t="str">
        <f t="shared" si="43"/>
        <v/>
      </c>
      <c r="M75" t="str">
        <f t="shared" si="43"/>
        <v/>
      </c>
      <c r="N75" t="str">
        <f t="shared" si="42"/>
        <v>If non-zero, players need to change amount(s)</v>
      </c>
    </row>
    <row r="76" spans="1:26" x14ac:dyDescent="0.35">
      <c r="A76" s="1" t="str">
        <f>IF(A74="","","   Available Water [maf]")</f>
        <v xml:space="preserve">   Available Water [maf]</v>
      </c>
      <c r="C76" s="14">
        <f t="shared" ref="C76:L76" si="44">IF(OR(C$27="",$A76=""),"",C32+C50-C42-C73)</f>
        <v>1.4973476553769351</v>
      </c>
      <c r="D76" s="14">
        <f t="shared" ca="1" si="44"/>
        <v>1.6855400543075016</v>
      </c>
      <c r="E76" s="14">
        <f t="shared" ca="1" si="44"/>
        <v>1.9032766176642</v>
      </c>
      <c r="F76" s="14">
        <f t="shared" ca="1" si="44"/>
        <v>2.0993143011586164</v>
      </c>
      <c r="G76" s="14">
        <f t="shared" ca="1" si="44"/>
        <v>2.2958135802121249</v>
      </c>
      <c r="H76" s="14" t="str">
        <f t="shared" si="44"/>
        <v/>
      </c>
      <c r="I76" s="14" t="str">
        <f t="shared" si="44"/>
        <v/>
      </c>
      <c r="J76" s="14" t="str">
        <f t="shared" si="44"/>
        <v/>
      </c>
      <c r="K76" s="14" t="str">
        <f t="shared" si="44"/>
        <v/>
      </c>
      <c r="L76" s="14" t="str">
        <f t="shared" si="44"/>
        <v/>
      </c>
      <c r="N76" t="str">
        <f t="shared" si="42"/>
        <v>Available water = Account Balance + Available Inflow - Evaporation + Sales - Purchases</v>
      </c>
    </row>
    <row r="77" spans="1:26" x14ac:dyDescent="0.35">
      <c r="A77" s="1" t="str">
        <f>IF(A76="","","   Account Withdraw [maf]")</f>
        <v xml:space="preserve">   Account Withdraw [maf]</v>
      </c>
      <c r="C77" s="43">
        <v>1.2581764826611881</v>
      </c>
      <c r="D77" s="43">
        <v>1.2165024545787202</v>
      </c>
      <c r="E77" s="43">
        <v>1.2152990392575049</v>
      </c>
      <c r="F77" s="43">
        <v>1.214878770301749</v>
      </c>
      <c r="G77" s="43">
        <v>1.2146518514841027</v>
      </c>
      <c r="H77" s="43"/>
      <c r="I77" s="43"/>
      <c r="J77" s="43"/>
      <c r="K77" s="43"/>
      <c r="L77" s="43"/>
      <c r="N77" t="str">
        <f t="shared" si="42"/>
        <v>Must be less than Available water</v>
      </c>
    </row>
    <row r="78" spans="1:26" x14ac:dyDescent="0.35">
      <c r="A78" s="32" t="str">
        <f>IF(A77="","","   End of Year Balance [maf]")</f>
        <v xml:space="preserve">   End of Year Balance [maf]</v>
      </c>
      <c r="C78" s="94">
        <f>IF(OR(C$27="",$A78=""),"",C76-C77)</f>
        <v>0.23917117271574706</v>
      </c>
      <c r="D78" s="94">
        <f t="shared" ref="D78:L78" ca="1" si="45">IF(OR(D$27="",$A78=""),"",D76-D77)</f>
        <v>0.46903759972878145</v>
      </c>
      <c r="E78" s="94">
        <f t="shared" ca="1" si="45"/>
        <v>0.68797757840669505</v>
      </c>
      <c r="F78" s="94">
        <f t="shared" ca="1" si="45"/>
        <v>0.88443553085686744</v>
      </c>
      <c r="G78" s="94">
        <f t="shared" ca="1" si="45"/>
        <v>1.0811617287280222</v>
      </c>
      <c r="H78" s="94" t="str">
        <f t="shared" si="45"/>
        <v/>
      </c>
      <c r="I78" s="94" t="str">
        <f t="shared" si="45"/>
        <v/>
      </c>
      <c r="J78" s="94" t="str">
        <f t="shared" si="45"/>
        <v/>
      </c>
      <c r="K78" s="94" t="str">
        <f t="shared" si="45"/>
        <v/>
      </c>
      <c r="L78" s="94" t="str">
        <f t="shared" si="45"/>
        <v/>
      </c>
      <c r="N78" t="str">
        <f t="shared" si="42"/>
        <v>Available water - Account Withdraw</v>
      </c>
    </row>
    <row r="79" spans="1:26" x14ac:dyDescent="0.35">
      <c r="C79"/>
    </row>
    <row r="80" spans="1:26" x14ac:dyDescent="0.35">
      <c r="A80" s="96" t="str">
        <f>IF(A$9="","[Unused]",A9)</f>
        <v>Mohave &amp; Havasu Evap &amp; ET</v>
      </c>
      <c r="B80" s="97"/>
      <c r="C80" s="97"/>
      <c r="D80" s="97"/>
      <c r="E80" s="97"/>
      <c r="F80" s="97"/>
      <c r="G80" s="97"/>
      <c r="H80" s="97"/>
      <c r="I80" s="97"/>
      <c r="J80" s="97"/>
      <c r="K80" s="97"/>
      <c r="L80" s="97"/>
      <c r="M80" s="98" t="s">
        <v>108</v>
      </c>
      <c r="N80" s="96" t="s">
        <v>221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95">
        <f>SUM(C81:L81)</f>
        <v>0</v>
      </c>
      <c r="N81" t="str">
        <f>IF(A81="","",N73)</f>
        <v>Add if multiple transactions, e.g.: 0.5 + 0.25</v>
      </c>
    </row>
    <row r="82" spans="1:14" x14ac:dyDescent="0.35">
      <c r="A82" s="32" t="str">
        <f>IF(A81="","","   Cash Intake(+) and Payments(-) [$ Mill]")</f>
        <v xml:space="preserve">   Cash Intake(+) and Payments(-) [$ Mill]</v>
      </c>
      <c r="C82" s="93"/>
      <c r="D82" s="93"/>
      <c r="E82" s="93"/>
      <c r="F82" s="93"/>
      <c r="G82" s="93"/>
      <c r="H82" s="93"/>
      <c r="I82" s="93"/>
      <c r="J82" s="93"/>
      <c r="K82" s="93"/>
      <c r="L82" s="93"/>
      <c r="M82" s="92">
        <f>SUM(C82:L82)</f>
        <v>0</v>
      </c>
      <c r="N82" t="str">
        <f t="shared" ref="N82:N86" si="46">IF(A82="","",N74)</f>
        <v>Add if multiple transactions, e.g.: $350*0.5 + $450*0.25</v>
      </c>
    </row>
    <row r="83" spans="1:14" x14ac:dyDescent="0.35">
      <c r="A83" s="32" t="str">
        <f>IF(A82="","","   Volume all players (should be zero)")</f>
        <v xml:space="preserve">   Volume all players (should be zero)</v>
      </c>
      <c r="C83" s="95">
        <f t="shared" ref="C83:M83" ca="1" si="47">IF(OR(C$27="",$A83=""),"",C$112)</f>
        <v>0</v>
      </c>
      <c r="D83" s="95">
        <f t="shared" ca="1" si="47"/>
        <v>0</v>
      </c>
      <c r="E83" s="95">
        <f t="shared" ca="1" si="47"/>
        <v>0</v>
      </c>
      <c r="F83" s="95">
        <f t="shared" ca="1" si="47"/>
        <v>0</v>
      </c>
      <c r="G83" s="95">
        <f t="shared" ca="1" si="47"/>
        <v>0</v>
      </c>
      <c r="H83" s="95" t="str">
        <f t="shared" si="47"/>
        <v/>
      </c>
      <c r="I83" s="95" t="str">
        <f t="shared" si="47"/>
        <v/>
      </c>
      <c r="J83" s="95" t="str">
        <f t="shared" si="47"/>
        <v/>
      </c>
      <c r="K83" s="95" t="str">
        <f t="shared" si="47"/>
        <v/>
      </c>
      <c r="L83" s="95" t="str">
        <f t="shared" si="47"/>
        <v/>
      </c>
      <c r="M83" t="str">
        <f t="shared" si="47"/>
        <v/>
      </c>
      <c r="N83" t="str">
        <f t="shared" si="46"/>
        <v>If non-zero, players need to change amount(s)</v>
      </c>
    </row>
    <row r="84" spans="1:14" x14ac:dyDescent="0.35">
      <c r="A84" s="1" t="str">
        <f>IF(A82="","","   Available Water [maf]")</f>
        <v xml:space="preserve">   Available Water [maf]</v>
      </c>
      <c r="C84" s="14">
        <f t="shared" ref="C84:L84" si="48">IF(OR(C$27="",$A84=""),"",C33+C51-C43-C81)</f>
        <v>0.6</v>
      </c>
      <c r="D84" s="14">
        <f t="shared" ca="1" si="48"/>
        <v>0.6</v>
      </c>
      <c r="E84" s="14">
        <f t="shared" ca="1" si="48"/>
        <v>0.6</v>
      </c>
      <c r="F84" s="14">
        <f t="shared" ca="1" si="48"/>
        <v>0.6</v>
      </c>
      <c r="G84" s="14">
        <f t="shared" ca="1" si="48"/>
        <v>0.6</v>
      </c>
      <c r="H84" s="14" t="str">
        <f t="shared" si="48"/>
        <v/>
      </c>
      <c r="I84" s="14" t="str">
        <f t="shared" si="48"/>
        <v/>
      </c>
      <c r="J84" s="14" t="str">
        <f t="shared" si="48"/>
        <v/>
      </c>
      <c r="K84" s="14" t="str">
        <f t="shared" si="48"/>
        <v/>
      </c>
      <c r="L84" s="14" t="str">
        <f t="shared" si="48"/>
        <v/>
      </c>
      <c r="N84" t="str">
        <f t="shared" si="46"/>
        <v>Available water = Account Balance + Available Inflow - Evaporation + Sales - Purchases</v>
      </c>
    </row>
    <row r="85" spans="1:14" x14ac:dyDescent="0.35">
      <c r="A85" s="1" t="str">
        <f>IF(A84="","","   Account Withdraw [maf]")</f>
        <v xml:space="preserve">   Account Withdraw [maf]</v>
      </c>
      <c r="C85" s="43">
        <f>C84</f>
        <v>0.6</v>
      </c>
      <c r="D85" s="43">
        <f t="shared" ref="D85:G85" ca="1" si="49">D84</f>
        <v>0.6</v>
      </c>
      <c r="E85" s="43">
        <f t="shared" ca="1" si="49"/>
        <v>0.6</v>
      </c>
      <c r="F85" s="43">
        <f t="shared" ca="1" si="49"/>
        <v>0.6</v>
      </c>
      <c r="G85" s="43">
        <f t="shared" ca="1" si="49"/>
        <v>0.6</v>
      </c>
      <c r="H85" s="43"/>
      <c r="I85" s="43"/>
      <c r="J85" s="43"/>
      <c r="K85" s="43"/>
      <c r="L85" s="43"/>
      <c r="N85" t="str">
        <f t="shared" si="46"/>
        <v>Must be less than Available water</v>
      </c>
    </row>
    <row r="86" spans="1:14" x14ac:dyDescent="0.35">
      <c r="A86" s="32" t="str">
        <f>IF(A85="","","   End of Year Balance [maf]")</f>
        <v xml:space="preserve">   End of Year Balance [maf]</v>
      </c>
      <c r="C86" s="94">
        <f>IF(OR(C$27="",$A86=""),"",C84-C85)</f>
        <v>0</v>
      </c>
      <c r="D86" s="94">
        <f t="shared" ref="D86" ca="1" si="50">IF(OR(D$27="",$A86=""),"",D84-D85)</f>
        <v>0</v>
      </c>
      <c r="E86" s="94">
        <f t="shared" ref="E86" ca="1" si="51">IF(OR(E$27="",$A86=""),"",E84-E85)</f>
        <v>0</v>
      </c>
      <c r="F86" s="94">
        <f t="shared" ref="F86" ca="1" si="52">IF(OR(F$27="",$A86=""),"",F84-F85)</f>
        <v>0</v>
      </c>
      <c r="G86" s="94">
        <f t="shared" ref="G86" ca="1" si="53">IF(OR(G$27="",$A86=""),"",G84-G85)</f>
        <v>0</v>
      </c>
      <c r="H86" s="94" t="str">
        <f t="shared" ref="H86" si="54">IF(OR(H$27="",$A86=""),"",H84-H85)</f>
        <v/>
      </c>
      <c r="I86" s="94" t="str">
        <f t="shared" ref="I86" si="55">IF(OR(I$27="",$A86=""),"",I84-I85)</f>
        <v/>
      </c>
      <c r="J86" s="94" t="str">
        <f t="shared" ref="J86" si="56">IF(OR(J$27="",$A86=""),"",J84-J85)</f>
        <v/>
      </c>
      <c r="K86" s="94" t="str">
        <f t="shared" ref="K86" si="57">IF(OR(K$27="",$A86=""),"",K84-K85)</f>
        <v/>
      </c>
      <c r="L86" s="94" t="str">
        <f t="shared" ref="L86" si="58">IF(OR(L$27="",$A86=""),"",L84-L85)</f>
        <v/>
      </c>
      <c r="N86" t="str">
        <f t="shared" si="46"/>
        <v>Available water - Account Withdraw</v>
      </c>
    </row>
    <row r="87" spans="1:14" x14ac:dyDescent="0.35">
      <c r="C87"/>
    </row>
    <row r="88" spans="1:14" x14ac:dyDescent="0.35">
      <c r="A88" s="96" t="str">
        <f>IF(A$10="","[Unused]",A10)</f>
        <v>Shared, Reserve</v>
      </c>
      <c r="B88" s="97"/>
      <c r="C88" s="97"/>
      <c r="D88" s="97"/>
      <c r="E88" s="97"/>
      <c r="F88" s="97"/>
      <c r="G88" s="97"/>
      <c r="H88" s="97"/>
      <c r="I88" s="97"/>
      <c r="J88" s="97"/>
      <c r="K88" s="97"/>
      <c r="L88" s="97"/>
      <c r="M88" s="98" t="s">
        <v>108</v>
      </c>
      <c r="N88" s="96" t="s">
        <v>221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95">
        <f>SUM(C89:L89)</f>
        <v>0</v>
      </c>
      <c r="N89" t="str">
        <f>IF(A89="","",N81)</f>
        <v>Add if multiple transactions, e.g.: 0.5 + 0.25</v>
      </c>
    </row>
    <row r="90" spans="1:14" x14ac:dyDescent="0.35">
      <c r="A90" s="32" t="str">
        <f>IF(A89="","","   Cash Intake(+) and Payments(-) [$ Mill]")</f>
        <v xml:space="preserve">   Cash Intake(+) and Payments(-) [$ Mill]</v>
      </c>
      <c r="C90" s="93"/>
      <c r="D90" s="93"/>
      <c r="E90" s="93"/>
      <c r="F90" s="93"/>
      <c r="G90" s="93"/>
      <c r="H90" s="93"/>
      <c r="I90" s="93"/>
      <c r="J90" s="93"/>
      <c r="K90" s="93"/>
      <c r="L90" s="93"/>
      <c r="M90" s="92">
        <f>SUM(C90:L90)</f>
        <v>0</v>
      </c>
      <c r="N90" t="str">
        <f t="shared" ref="N90:N94" si="59">IF(A90="","",N82)</f>
        <v>Add if multiple transactions, e.g.: $350*0.5 + $450*0.25</v>
      </c>
    </row>
    <row r="91" spans="1:14" x14ac:dyDescent="0.35">
      <c r="A91" s="32" t="str">
        <f>IF(A90="","","   Volume all players (should be zero)")</f>
        <v xml:space="preserve">   Volume all players (should be zero)</v>
      </c>
      <c r="C91" s="95">
        <f t="shared" ref="C91:M91" ca="1" si="60">IF(OR(C$27="",$A91=""),"",C$112)</f>
        <v>0</v>
      </c>
      <c r="D91" s="95">
        <f t="shared" ca="1" si="60"/>
        <v>0</v>
      </c>
      <c r="E91" s="95">
        <f t="shared" ca="1" si="60"/>
        <v>0</v>
      </c>
      <c r="F91" s="95">
        <f t="shared" ca="1" si="60"/>
        <v>0</v>
      </c>
      <c r="G91" s="95">
        <f t="shared" ca="1" si="60"/>
        <v>0</v>
      </c>
      <c r="H91" s="95" t="str">
        <f t="shared" si="60"/>
        <v/>
      </c>
      <c r="I91" s="95" t="str">
        <f t="shared" si="60"/>
        <v/>
      </c>
      <c r="J91" s="95" t="str">
        <f t="shared" si="60"/>
        <v/>
      </c>
      <c r="K91" s="95" t="str">
        <f t="shared" si="60"/>
        <v/>
      </c>
      <c r="L91" s="95" t="str">
        <f t="shared" si="60"/>
        <v/>
      </c>
      <c r="M91" t="str">
        <f t="shared" si="60"/>
        <v/>
      </c>
      <c r="N91" t="str">
        <f t="shared" si="59"/>
        <v>If non-zero, players need to change amount(s)</v>
      </c>
    </row>
    <row r="92" spans="1:14" x14ac:dyDescent="0.35">
      <c r="A92" s="1" t="str">
        <f>IF(A90="","","   Available Water [maf]")</f>
        <v xml:space="preserve">   Available Water [maf]</v>
      </c>
      <c r="C92" s="14">
        <f t="shared" ref="C92:L92" si="61">IF(OR(C$27="",$A92=""),"",C34+C52-C44-C89)</f>
        <v>11.59116925</v>
      </c>
      <c r="D92" s="14">
        <f t="shared" ca="1" si="61"/>
        <v>11.59116925</v>
      </c>
      <c r="E92" s="14">
        <f t="shared" ca="1" si="61"/>
        <v>11.59116925</v>
      </c>
      <c r="F92" s="14">
        <f t="shared" ca="1" si="61"/>
        <v>11.59116925</v>
      </c>
      <c r="G92" s="14">
        <f t="shared" ca="1" si="61"/>
        <v>11.59116925</v>
      </c>
      <c r="H92" s="14" t="str">
        <f t="shared" si="61"/>
        <v/>
      </c>
      <c r="I92" s="14" t="str">
        <f t="shared" si="61"/>
        <v/>
      </c>
      <c r="J92" s="14" t="str">
        <f t="shared" si="61"/>
        <v/>
      </c>
      <c r="K92" s="14" t="str">
        <f t="shared" si="61"/>
        <v/>
      </c>
      <c r="L92" s="14" t="str">
        <f t="shared" si="61"/>
        <v/>
      </c>
      <c r="N92" t="str">
        <f t="shared" si="5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9"/>
        <v>Must be less than Available water</v>
      </c>
    </row>
    <row r="94" spans="1:14" x14ac:dyDescent="0.35">
      <c r="A94" s="32" t="str">
        <f>IF(A93="","","   End of Year Balance [maf]")</f>
        <v xml:space="preserve">   End of Year Balance [maf]</v>
      </c>
      <c r="C94" s="94">
        <f>IF(OR(C$27="",$A94=""),"",C92-C93)</f>
        <v>11.59116925</v>
      </c>
      <c r="D94" s="94">
        <f t="shared" ref="D94" ca="1" si="62">IF(OR(D$27="",$A94=""),"",D92-D93)</f>
        <v>11.59116925</v>
      </c>
      <c r="E94" s="94">
        <f t="shared" ref="E94" ca="1" si="63">IF(OR(E$27="",$A94=""),"",E92-E93)</f>
        <v>11.59116925</v>
      </c>
      <c r="F94" s="94">
        <f t="shared" ref="F94" ca="1" si="64">IF(OR(F$27="",$A94=""),"",F92-F93)</f>
        <v>11.59116925</v>
      </c>
      <c r="G94" s="94">
        <f t="shared" ref="G94" ca="1" si="65">IF(OR(G$27="",$A94=""),"",G92-G93)</f>
        <v>11.59116925</v>
      </c>
      <c r="H94" s="94" t="str">
        <f t="shared" ref="H94" si="66">IF(OR(H$27="",$A94=""),"",H92-H93)</f>
        <v/>
      </c>
      <c r="I94" s="94" t="str">
        <f t="shared" ref="I94" si="67">IF(OR(I$27="",$A94=""),"",I92-I93)</f>
        <v/>
      </c>
      <c r="J94" s="94" t="str">
        <f t="shared" ref="J94" si="68">IF(OR(J$27="",$A94=""),"",J92-J93)</f>
        <v/>
      </c>
      <c r="K94" s="94" t="str">
        <f t="shared" ref="K94" si="69">IF(OR(K$27="",$A94=""),"",K92-K93)</f>
        <v/>
      </c>
      <c r="L94" s="94" t="str">
        <f t="shared" ref="L94" si="70">IF(OR(L$27="",$A94=""),"",L92-L93)</f>
        <v/>
      </c>
      <c r="N94" t="str">
        <f t="shared" si="59"/>
        <v>Available water - Account Withdraw</v>
      </c>
    </row>
    <row r="95" spans="1:14" x14ac:dyDescent="0.35">
      <c r="C95"/>
    </row>
    <row r="96" spans="1:14" x14ac:dyDescent="0.35">
      <c r="A96" s="96" t="str">
        <f>IF(A$11="","[Unused]",A11)</f>
        <v>[Unused]</v>
      </c>
      <c r="B96" s="97"/>
      <c r="C96" s="97"/>
      <c r="D96" s="97"/>
      <c r="E96" s="97"/>
      <c r="F96" s="97"/>
      <c r="G96" s="97"/>
      <c r="H96" s="97"/>
      <c r="I96" s="97"/>
      <c r="J96" s="97"/>
      <c r="K96" s="97"/>
      <c r="L96" s="97"/>
      <c r="M96" s="98" t="s">
        <v>108</v>
      </c>
      <c r="N96" s="96" t="s">
        <v>221</v>
      </c>
    </row>
    <row r="97" spans="1:14" x14ac:dyDescent="0.35">
      <c r="A97" s="32" t="str">
        <f>IF(A96="[Unused]","","   Volume of Sales(+) and Purchases(-) [maf]")</f>
        <v/>
      </c>
      <c r="C97" s="25"/>
      <c r="D97" s="25"/>
      <c r="E97" s="25"/>
      <c r="F97" s="25"/>
      <c r="G97" s="25"/>
      <c r="H97" s="25"/>
      <c r="I97" s="25"/>
      <c r="J97" s="25"/>
      <c r="K97" s="25"/>
      <c r="L97" s="25"/>
      <c r="M97" s="95">
        <f>SUM(C97:L97)</f>
        <v>0</v>
      </c>
      <c r="N97" t="str">
        <f>IF(A97="","",N89)</f>
        <v/>
      </c>
    </row>
    <row r="98" spans="1:14" x14ac:dyDescent="0.35">
      <c r="A98" s="32" t="str">
        <f>IF(A97="","","   Cash Intake(+) and Payments(-) [$ Mill]")</f>
        <v/>
      </c>
      <c r="C98" s="93"/>
      <c r="D98" s="93"/>
      <c r="E98" s="93"/>
      <c r="F98" s="93"/>
      <c r="G98" s="93"/>
      <c r="H98" s="93"/>
      <c r="I98" s="93"/>
      <c r="J98" s="93"/>
      <c r="K98" s="93"/>
      <c r="L98" s="93"/>
      <c r="M98" s="92">
        <f>SUM(C98:L98)</f>
        <v>0</v>
      </c>
      <c r="N98" t="str">
        <f t="shared" ref="N98:N102" si="71">IF(A98="","",N90)</f>
        <v/>
      </c>
    </row>
    <row r="99" spans="1:14" x14ac:dyDescent="0.35">
      <c r="A99" s="32" t="str">
        <f>IF(A98="","","   Volume all players (should be zero)")</f>
        <v/>
      </c>
      <c r="C99" s="95" t="str">
        <f t="shared" ref="C99:M99" si="72">IF(OR(C$27="",$A99=""),"",C$112)</f>
        <v/>
      </c>
      <c r="D99" s="95" t="str">
        <f t="shared" si="72"/>
        <v/>
      </c>
      <c r="E99" s="95" t="str">
        <f t="shared" si="72"/>
        <v/>
      </c>
      <c r="F99" s="95" t="str">
        <f t="shared" si="72"/>
        <v/>
      </c>
      <c r="G99" s="95" t="str">
        <f t="shared" si="72"/>
        <v/>
      </c>
      <c r="H99" s="95" t="str">
        <f t="shared" si="72"/>
        <v/>
      </c>
      <c r="I99" s="95" t="str">
        <f t="shared" si="72"/>
        <v/>
      </c>
      <c r="J99" s="95" t="str">
        <f t="shared" si="72"/>
        <v/>
      </c>
      <c r="K99" s="95" t="str">
        <f t="shared" si="72"/>
        <v/>
      </c>
      <c r="L99" s="95" t="str">
        <f t="shared" si="72"/>
        <v/>
      </c>
      <c r="M99" t="str">
        <f t="shared" si="72"/>
        <v/>
      </c>
      <c r="N99" t="str">
        <f t="shared" si="71"/>
        <v/>
      </c>
    </row>
    <row r="100" spans="1:14" x14ac:dyDescent="0.35">
      <c r="A100" s="1" t="str">
        <f>IF(A98="","","   Available Water [maf]")</f>
        <v/>
      </c>
      <c r="C100" s="14" t="str">
        <f t="shared" ref="C100:L100" si="73">IF(OR(C$27="",$A100=""),"",C35+C53-C45-C97)</f>
        <v/>
      </c>
      <c r="D100" s="14" t="str">
        <f t="shared" si="73"/>
        <v/>
      </c>
      <c r="E100" s="14" t="str">
        <f t="shared" si="73"/>
        <v/>
      </c>
      <c r="F100" s="14" t="str">
        <f t="shared" si="73"/>
        <v/>
      </c>
      <c r="G100" s="14" t="str">
        <f t="shared" si="73"/>
        <v/>
      </c>
      <c r="H100" s="14" t="str">
        <f t="shared" si="73"/>
        <v/>
      </c>
      <c r="I100" s="14" t="str">
        <f t="shared" si="73"/>
        <v/>
      </c>
      <c r="J100" s="14" t="str">
        <f t="shared" si="73"/>
        <v/>
      </c>
      <c r="K100" s="14" t="str">
        <f t="shared" si="73"/>
        <v/>
      </c>
      <c r="L100" s="14" t="str">
        <f t="shared" si="73"/>
        <v/>
      </c>
      <c r="N100" t="str">
        <f t="shared" si="71"/>
        <v/>
      </c>
    </row>
    <row r="101" spans="1:14" x14ac:dyDescent="0.35">
      <c r="A101" s="1" t="str">
        <f>IF(A100="","","   Account Withdraw [maf]")</f>
        <v/>
      </c>
      <c r="C101" s="43"/>
      <c r="D101" s="43"/>
      <c r="E101" s="43"/>
      <c r="F101" s="43"/>
      <c r="G101" s="43"/>
      <c r="H101" s="43"/>
      <c r="I101" s="43"/>
      <c r="J101" s="43"/>
      <c r="K101" s="43"/>
      <c r="L101" s="43"/>
      <c r="N101" t="str">
        <f t="shared" si="71"/>
        <v/>
      </c>
    </row>
    <row r="102" spans="1:14" x14ac:dyDescent="0.35">
      <c r="A102" s="32" t="str">
        <f>IF(A101="","","   End of Year Balance [maf]")</f>
        <v/>
      </c>
      <c r="C102" s="94" t="str">
        <f>IF(OR(C$27="",$A102=""),"",C100-C101)</f>
        <v/>
      </c>
      <c r="D102" s="94" t="str">
        <f t="shared" ref="D102" si="74">IF(OR(D$27="",$A102=""),"",D100-D101)</f>
        <v/>
      </c>
      <c r="E102" s="94" t="str">
        <f t="shared" ref="E102" si="75">IF(OR(E$27="",$A102=""),"",E100-E101)</f>
        <v/>
      </c>
      <c r="F102" s="94" t="str">
        <f t="shared" ref="F102" si="76">IF(OR(F$27="",$A102=""),"",F100-F101)</f>
        <v/>
      </c>
      <c r="G102" s="94" t="str">
        <f t="shared" ref="G102" si="77">IF(OR(G$27="",$A102=""),"",G100-G101)</f>
        <v/>
      </c>
      <c r="H102" s="94" t="str">
        <f t="shared" ref="H102" si="78">IF(OR(H$27="",$A102=""),"",H100-H101)</f>
        <v/>
      </c>
      <c r="I102" s="94" t="str">
        <f t="shared" ref="I102" si="79">IF(OR(I$27="",$A102=""),"",I100-I101)</f>
        <v/>
      </c>
      <c r="J102" s="94" t="str">
        <f t="shared" ref="J102" si="80">IF(OR(J$27="",$A102=""),"",J100-J101)</f>
        <v/>
      </c>
      <c r="K102" s="94" t="str">
        <f t="shared" ref="K102" si="81">IF(OR(K$27="",$A102=""),"",K100-K101)</f>
        <v/>
      </c>
      <c r="L102" s="94" t="str">
        <f t="shared" ref="L102" si="82">IF(OR(L$27="",$A102=""),"",L100-L101)</f>
        <v/>
      </c>
      <c r="N102" t="str">
        <f t="shared" si="71"/>
        <v/>
      </c>
    </row>
    <row r="103" spans="1:14" x14ac:dyDescent="0.35">
      <c r="C103"/>
    </row>
    <row r="104" spans="1:14" x14ac:dyDescent="0.35">
      <c r="A104" s="99" t="s">
        <v>235</v>
      </c>
      <c r="B104" s="100"/>
      <c r="C104" s="100"/>
      <c r="D104" s="100"/>
      <c r="E104" s="100"/>
      <c r="F104" s="100"/>
      <c r="G104" s="100"/>
      <c r="H104" s="100"/>
      <c r="I104" s="100"/>
      <c r="J104" s="100"/>
      <c r="K104" s="100"/>
      <c r="L104" s="100"/>
      <c r="M104" s="100"/>
      <c r="N104" s="100"/>
    </row>
    <row r="105" spans="1:14" x14ac:dyDescent="0.35">
      <c r="A105" s="1" t="s">
        <v>167</v>
      </c>
      <c r="C105"/>
      <c r="M105" t="s">
        <v>234</v>
      </c>
      <c r="N105" t="s">
        <v>168</v>
      </c>
    </row>
    <row r="106" spans="1:14" x14ac:dyDescent="0.35">
      <c r="A106" t="str">
        <f t="shared" ref="A106:A111" si="83">IF(A6="","","    "&amp;A6)</f>
        <v xml:space="preserve">    Upper Basin</v>
      </c>
      <c r="B106" s="1"/>
      <c r="C106" s="95">
        <f t="shared" ref="C106:L106" ca="1" si="84">IF(OR(C$27="",$A106=""),"",OFFSET(C$57,8*(ROW(B106)-ROW(B$106)),0))</f>
        <v>0.5</v>
      </c>
      <c r="D106" s="95">
        <f t="shared" ca="1" si="84"/>
        <v>0.4</v>
      </c>
      <c r="E106" s="95">
        <f t="shared" ca="1" si="84"/>
        <v>0.4</v>
      </c>
      <c r="F106" s="95">
        <f t="shared" ca="1" si="84"/>
        <v>0</v>
      </c>
      <c r="G106" s="95">
        <f t="shared" ca="1" si="84"/>
        <v>0</v>
      </c>
      <c r="H106" s="95" t="str">
        <f t="shared" ca="1" si="84"/>
        <v/>
      </c>
      <c r="I106" s="95" t="str">
        <f t="shared" ca="1" si="84"/>
        <v/>
      </c>
      <c r="J106" s="95" t="str">
        <f t="shared" ca="1" si="84"/>
        <v/>
      </c>
      <c r="K106" s="95" t="str">
        <f t="shared" ca="1" si="84"/>
        <v/>
      </c>
      <c r="L106" s="95" t="str">
        <f t="shared" ca="1" si="84"/>
        <v/>
      </c>
      <c r="M106" s="95">
        <f ca="1">IF(OR($A106=""),"",SUM(C106:L106))</f>
        <v>1.3</v>
      </c>
      <c r="N106" s="92">
        <f>IF(OR($A106=""),"",M58)</f>
        <v>455</v>
      </c>
    </row>
    <row r="107" spans="1:14" x14ac:dyDescent="0.35">
      <c r="A107" t="str">
        <f t="shared" si="83"/>
        <v xml:space="preserve">    Lower Basin</v>
      </c>
      <c r="B107" s="1"/>
      <c r="C107" s="95">
        <f t="shared" ref="C107:L107" ca="1" si="85">IF(OR(C$27="",$A107=""),"",OFFSET(C$57,8*(ROW(B107)-ROW(B$106)),0))</f>
        <v>-0.5</v>
      </c>
      <c r="D107" s="95">
        <f t="shared" ca="1" si="85"/>
        <v>-0.4</v>
      </c>
      <c r="E107" s="95">
        <f t="shared" ca="1" si="85"/>
        <v>-0.4</v>
      </c>
      <c r="F107" s="95">
        <f t="shared" ca="1" si="85"/>
        <v>0</v>
      </c>
      <c r="G107" s="95">
        <f t="shared" ca="1" si="85"/>
        <v>0</v>
      </c>
      <c r="H107" s="95" t="str">
        <f t="shared" ca="1" si="85"/>
        <v/>
      </c>
      <c r="I107" s="95" t="str">
        <f t="shared" ca="1" si="85"/>
        <v/>
      </c>
      <c r="J107" s="95" t="str">
        <f t="shared" ca="1" si="85"/>
        <v/>
      </c>
      <c r="K107" s="95" t="str">
        <f t="shared" ca="1" si="85"/>
        <v/>
      </c>
      <c r="L107" s="95" t="str">
        <f t="shared" ca="1" si="85"/>
        <v/>
      </c>
      <c r="M107" s="95">
        <f t="shared" ref="M107:M111" ca="1" si="86">IF(OR($A107=""),"",SUM(C107:L107))</f>
        <v>-1.3</v>
      </c>
      <c r="N107" s="92">
        <f>IF(OR($A107=""),"",M66)</f>
        <v>-455</v>
      </c>
    </row>
    <row r="108" spans="1:14" x14ac:dyDescent="0.35">
      <c r="A108" t="str">
        <f t="shared" si="83"/>
        <v xml:space="preserve">    Mexico</v>
      </c>
      <c r="B108" s="1"/>
      <c r="C108" s="95">
        <f t="shared" ref="C108:L108" ca="1" si="87">IF(OR(C$27="",$A108=""),"",OFFSET(C$57,8*(ROW(B108)-ROW(B$106)),0))</f>
        <v>0</v>
      </c>
      <c r="D108" s="95">
        <f t="shared" ca="1" si="87"/>
        <v>0</v>
      </c>
      <c r="E108" s="95">
        <f t="shared" ca="1" si="87"/>
        <v>0</v>
      </c>
      <c r="F108" s="95">
        <f t="shared" ca="1" si="87"/>
        <v>0</v>
      </c>
      <c r="G108" s="95">
        <f t="shared" ca="1" si="87"/>
        <v>0</v>
      </c>
      <c r="H108" s="95" t="str">
        <f t="shared" ca="1" si="87"/>
        <v/>
      </c>
      <c r="I108" s="95" t="str">
        <f t="shared" ca="1" si="87"/>
        <v/>
      </c>
      <c r="J108" s="95" t="str">
        <f t="shared" ca="1" si="87"/>
        <v/>
      </c>
      <c r="K108" s="95" t="str">
        <f t="shared" ca="1" si="87"/>
        <v/>
      </c>
      <c r="L108" s="95" t="str">
        <f t="shared" ca="1" si="87"/>
        <v/>
      </c>
      <c r="M108" s="95">
        <f t="shared" ca="1" si="86"/>
        <v>0</v>
      </c>
      <c r="N108" s="92">
        <f>IF(OR($A108=""),"",M74)</f>
        <v>0</v>
      </c>
    </row>
    <row r="109" spans="1:14" x14ac:dyDescent="0.35">
      <c r="A109" t="str">
        <f t="shared" si="83"/>
        <v xml:space="preserve">    Mohave &amp; Havasu Evap &amp; ET</v>
      </c>
      <c r="B109" s="1"/>
      <c r="C109" s="95">
        <f t="shared" ref="C109:L109" ca="1" si="88">IF(OR(C$27="",$A109=""),"",OFFSET(C$57,8*(ROW(B109)-ROW(B$106)),0))</f>
        <v>0</v>
      </c>
      <c r="D109" s="95">
        <f t="shared" ca="1" si="88"/>
        <v>0</v>
      </c>
      <c r="E109" s="95">
        <f t="shared" ca="1" si="88"/>
        <v>0</v>
      </c>
      <c r="F109" s="95">
        <f t="shared" ca="1" si="88"/>
        <v>0</v>
      </c>
      <c r="G109" s="95">
        <f t="shared" ca="1" si="88"/>
        <v>0</v>
      </c>
      <c r="H109" s="95" t="str">
        <f t="shared" ca="1" si="88"/>
        <v/>
      </c>
      <c r="I109" s="95" t="str">
        <f t="shared" ca="1" si="88"/>
        <v/>
      </c>
      <c r="J109" s="95" t="str">
        <f t="shared" ca="1" si="88"/>
        <v/>
      </c>
      <c r="K109" s="95" t="str">
        <f t="shared" ca="1" si="88"/>
        <v/>
      </c>
      <c r="L109" s="95" t="str">
        <f t="shared" ca="1" si="88"/>
        <v/>
      </c>
      <c r="M109" s="95">
        <f t="shared" ca="1" si="86"/>
        <v>0</v>
      </c>
      <c r="N109" s="92">
        <f>IF(OR($A109=""),"",M82)</f>
        <v>0</v>
      </c>
    </row>
    <row r="110" spans="1:14" x14ac:dyDescent="0.35">
      <c r="A110" t="str">
        <f t="shared" si="83"/>
        <v xml:space="preserve">    Shared, Reserve</v>
      </c>
      <c r="B110" s="1"/>
      <c r="C110" s="95">
        <f t="shared" ref="C110:L110" ca="1" si="89">IF(OR(C$27="",$A110=""),"",OFFSET(C$57,8*(ROW(B110)-ROW(B$106)),0))</f>
        <v>0</v>
      </c>
      <c r="D110" s="95">
        <f t="shared" ca="1" si="89"/>
        <v>0</v>
      </c>
      <c r="E110" s="95">
        <f t="shared" ca="1" si="89"/>
        <v>0</v>
      </c>
      <c r="F110" s="95">
        <f t="shared" ca="1" si="89"/>
        <v>0</v>
      </c>
      <c r="G110" s="95">
        <f t="shared" ca="1" si="89"/>
        <v>0</v>
      </c>
      <c r="H110" s="95" t="str">
        <f t="shared" ca="1" si="89"/>
        <v/>
      </c>
      <c r="I110" s="95" t="str">
        <f t="shared" ca="1" si="89"/>
        <v/>
      </c>
      <c r="J110" s="95" t="str">
        <f t="shared" ca="1" si="89"/>
        <v/>
      </c>
      <c r="K110" s="95" t="str">
        <f t="shared" ca="1" si="89"/>
        <v/>
      </c>
      <c r="L110" s="95" t="str">
        <f t="shared" ca="1" si="89"/>
        <v/>
      </c>
      <c r="M110" s="95">
        <f t="shared" ca="1" si="86"/>
        <v>0</v>
      </c>
      <c r="N110" s="92">
        <f>IF(OR($A110=""),"",M90)</f>
        <v>0</v>
      </c>
    </row>
    <row r="111" spans="1:14" x14ac:dyDescent="0.35">
      <c r="A111" t="str">
        <f t="shared" si="83"/>
        <v/>
      </c>
      <c r="B111" s="1"/>
      <c r="C111" s="95" t="str">
        <f t="shared" ref="C111:L111" ca="1" si="90">IF(OR(C$27="",$A111=""),"",OFFSET(C$57,8*(ROW(B111)-ROW(B$106)),0))</f>
        <v/>
      </c>
      <c r="D111" s="95" t="str">
        <f t="shared" ca="1" si="90"/>
        <v/>
      </c>
      <c r="E111" s="95" t="str">
        <f t="shared" ca="1" si="90"/>
        <v/>
      </c>
      <c r="F111" s="95" t="str">
        <f t="shared" ca="1" si="90"/>
        <v/>
      </c>
      <c r="G111" s="95" t="str">
        <f t="shared" ca="1" si="90"/>
        <v/>
      </c>
      <c r="H111" s="95" t="str">
        <f t="shared" ca="1" si="90"/>
        <v/>
      </c>
      <c r="I111" s="95" t="str">
        <f t="shared" ca="1" si="90"/>
        <v/>
      </c>
      <c r="J111" s="95" t="str">
        <f t="shared" ca="1" si="90"/>
        <v/>
      </c>
      <c r="K111" s="95" t="str">
        <f t="shared" ca="1" si="90"/>
        <v/>
      </c>
      <c r="L111" s="95" t="str">
        <f t="shared" ca="1" si="90"/>
        <v/>
      </c>
      <c r="M111" s="95" t="str">
        <f t="shared" si="86"/>
        <v/>
      </c>
      <c r="N111" s="92" t="str">
        <f>IF(OR($A111=""),"",M98)</f>
        <v/>
      </c>
    </row>
    <row r="112" spans="1:14" x14ac:dyDescent="0.35">
      <c r="A112" t="s">
        <v>159</v>
      </c>
      <c r="B112" s="1"/>
      <c r="C112" s="53">
        <f ca="1">IF(C$27&lt;&gt;"",SUM(C106:C111),"")</f>
        <v>0</v>
      </c>
      <c r="D112" s="53">
        <f t="shared" ref="D112:L112" ca="1" si="91">IF(D$27&lt;&gt;"",SUM(D106:D111),"")</f>
        <v>0</v>
      </c>
      <c r="E112" s="53">
        <f t="shared" ca="1" si="91"/>
        <v>0</v>
      </c>
      <c r="F112" s="53">
        <f t="shared" ca="1" si="91"/>
        <v>0</v>
      </c>
      <c r="G112" s="53">
        <f t="shared" ca="1" si="91"/>
        <v>0</v>
      </c>
      <c r="H112" s="53" t="str">
        <f t="shared" si="91"/>
        <v/>
      </c>
      <c r="I112" s="53" t="str">
        <f t="shared" si="91"/>
        <v/>
      </c>
      <c r="J112" s="53" t="str">
        <f t="shared" si="91"/>
        <v/>
      </c>
      <c r="K112" s="53" t="str">
        <f t="shared" si="91"/>
        <v/>
      </c>
      <c r="L112" s="53" t="str">
        <f t="shared" si="91"/>
        <v/>
      </c>
      <c r="M112" s="34"/>
    </row>
    <row r="113" spans="1:12" x14ac:dyDescent="0.35">
      <c r="A113" s="1" t="s">
        <v>136</v>
      </c>
      <c r="B113" s="1"/>
      <c r="C113" s="69"/>
      <c r="D113" s="2"/>
      <c r="E113" s="69"/>
      <c r="F113" s="2"/>
      <c r="G113" s="2"/>
      <c r="H113" s="2"/>
      <c r="I113" s="2"/>
      <c r="J113" s="2"/>
      <c r="K113" s="2"/>
      <c r="L113" s="2"/>
    </row>
    <row r="114" spans="1:12" x14ac:dyDescent="0.35">
      <c r="A114" t="str">
        <f>IF(A6="","","    "&amp;A6&amp;" - Consumptive Use and Headwaters Losses")</f>
        <v xml:space="preserve">    Upper Basin - Consumptive Use and Headwaters Losses</v>
      </c>
      <c r="C114" s="95">
        <f t="shared" ref="C114:L114" ca="1" si="92">IF(OR(C$27="",$A114=""),"",OFFSET(C$61,8*(ROW(B114)-ROW(B$114)),0))</f>
        <v>3.7</v>
      </c>
      <c r="D114" s="95">
        <f t="shared" ca="1" si="92"/>
        <v>3.3</v>
      </c>
      <c r="E114" s="95">
        <f t="shared" ca="1" si="92"/>
        <v>3</v>
      </c>
      <c r="F114" s="95">
        <f t="shared" ca="1" si="92"/>
        <v>2.8</v>
      </c>
      <c r="G114" s="95">
        <f t="shared" ca="1" si="92"/>
        <v>2.7</v>
      </c>
      <c r="H114" s="95" t="str">
        <f t="shared" ca="1" si="92"/>
        <v/>
      </c>
      <c r="I114" s="95" t="str">
        <f t="shared" ca="1" si="92"/>
        <v/>
      </c>
      <c r="J114" s="95" t="str">
        <f t="shared" ca="1" si="92"/>
        <v/>
      </c>
      <c r="K114" s="95" t="str">
        <f t="shared" ca="1" si="92"/>
        <v/>
      </c>
      <c r="L114" s="95" t="str">
        <f t="shared" ca="1" si="92"/>
        <v/>
      </c>
    </row>
    <row r="115" spans="1:12" x14ac:dyDescent="0.35">
      <c r="A115" t="str">
        <f>IF(A7="","","    "&amp;A7&amp;" - Release from Mead")</f>
        <v xml:space="preserve">    Lower Basin - Release from Mead</v>
      </c>
      <c r="C115" s="95">
        <f t="shared" ref="C115:L115" ca="1" si="93">IF(OR(C$27="",$A115=""),"",OFFSET(C$61,8*(ROW(B115)-ROW(B$114)),0))</f>
        <v>6.9</v>
      </c>
      <c r="D115" s="95">
        <f t="shared" ca="1" si="93"/>
        <v>6.9</v>
      </c>
      <c r="E115" s="95">
        <f t="shared" ca="1" si="93"/>
        <v>6.9</v>
      </c>
      <c r="F115" s="95">
        <f t="shared" ca="1" si="93"/>
        <v>6.9</v>
      </c>
      <c r="G115" s="95">
        <f t="shared" ca="1" si="93"/>
        <v>6.9</v>
      </c>
      <c r="H115" s="95" t="str">
        <f t="shared" ca="1" si="93"/>
        <v/>
      </c>
      <c r="I115" s="95" t="str">
        <f t="shared" ca="1" si="93"/>
        <v/>
      </c>
      <c r="J115" s="95" t="str">
        <f t="shared" ca="1" si="93"/>
        <v/>
      </c>
      <c r="K115" s="95" t="str">
        <f t="shared" ca="1" si="93"/>
        <v/>
      </c>
      <c r="L115" s="95" t="str">
        <f t="shared" ca="1" si="93"/>
        <v/>
      </c>
    </row>
    <row r="116" spans="1:12" x14ac:dyDescent="0.35">
      <c r="A116" t="str">
        <f>IF(A8="","","    "&amp;A8&amp;" - Release from Mead")</f>
        <v xml:space="preserve">    Mexico - Release from Mead</v>
      </c>
      <c r="C116" s="95">
        <f t="shared" ref="C116:L116" ca="1" si="94">IF(OR(C$27="",$A116=""),"",OFFSET(C$61,8*(ROW(B116)-ROW(B$114)),0))</f>
        <v>1.2581764826611881</v>
      </c>
      <c r="D116" s="95">
        <f t="shared" ca="1" si="94"/>
        <v>1.2165024545787202</v>
      </c>
      <c r="E116" s="95">
        <f t="shared" ca="1" si="94"/>
        <v>1.2152990392575049</v>
      </c>
      <c r="F116" s="95">
        <f t="shared" ca="1" si="94"/>
        <v>1.214878770301749</v>
      </c>
      <c r="G116" s="95">
        <f t="shared" ca="1" si="94"/>
        <v>1.2146518514841027</v>
      </c>
      <c r="H116" s="95" t="str">
        <f t="shared" ca="1" si="94"/>
        <v/>
      </c>
      <c r="I116" s="95" t="str">
        <f t="shared" ca="1" si="94"/>
        <v/>
      </c>
      <c r="J116" s="95" t="str">
        <f t="shared" ca="1" si="94"/>
        <v/>
      </c>
      <c r="K116" s="95" t="str">
        <f t="shared" ca="1" si="94"/>
        <v/>
      </c>
      <c r="L116" s="95" t="str">
        <f t="shared" ca="1" si="94"/>
        <v/>
      </c>
    </row>
    <row r="117" spans="1:12" x14ac:dyDescent="0.35">
      <c r="A117" t="str">
        <f>IF(A9="","","    "&amp;A9&amp;" - Release from Mead")</f>
        <v xml:space="preserve">    Mohave &amp; Havasu Evap &amp; ET - Release from Mead</v>
      </c>
      <c r="C117" s="95">
        <f t="shared" ref="C117:L117" ca="1" si="95">IF(OR(C$27="",$A117=""),"",OFFSET(C$61,8*(ROW(B117)-ROW(B$114)),0))</f>
        <v>0.6</v>
      </c>
      <c r="D117" s="95">
        <f t="shared" ca="1" si="95"/>
        <v>0.6</v>
      </c>
      <c r="E117" s="95">
        <f t="shared" ca="1" si="95"/>
        <v>0.6</v>
      </c>
      <c r="F117" s="95">
        <f t="shared" ca="1" si="95"/>
        <v>0.6</v>
      </c>
      <c r="G117" s="95">
        <f t="shared" ca="1" si="95"/>
        <v>0.6</v>
      </c>
      <c r="H117" s="95" t="str">
        <f t="shared" ca="1" si="95"/>
        <v/>
      </c>
      <c r="I117" s="95" t="str">
        <f t="shared" ca="1" si="95"/>
        <v/>
      </c>
      <c r="J117" s="95" t="str">
        <f t="shared" ca="1" si="95"/>
        <v/>
      </c>
      <c r="K117" s="95" t="str">
        <f t="shared" ca="1" si="95"/>
        <v/>
      </c>
      <c r="L117" s="95" t="str">
        <f t="shared" ca="1" si="95"/>
        <v/>
      </c>
    </row>
    <row r="118" spans="1:12" x14ac:dyDescent="0.35">
      <c r="A118" t="str">
        <f>IF(A10="","","    "&amp;A10&amp;" - Release from Mead")</f>
        <v xml:space="preserve">    Shared, Reserve - Release from Mead</v>
      </c>
      <c r="C118" s="95">
        <f t="shared" ref="C118:L118" ca="1" si="96">IF(OR(C$27="",$A118=""),"",OFFSET(C$61,8*(ROW(B118)-ROW(B$114)),0))</f>
        <v>0</v>
      </c>
      <c r="D118" s="95">
        <f t="shared" ca="1" si="96"/>
        <v>0</v>
      </c>
      <c r="E118" s="95">
        <f t="shared" ca="1" si="96"/>
        <v>0</v>
      </c>
      <c r="F118" s="95">
        <f t="shared" ca="1" si="96"/>
        <v>0</v>
      </c>
      <c r="G118" s="95">
        <f t="shared" ca="1" si="96"/>
        <v>0</v>
      </c>
      <c r="H118" s="95" t="str">
        <f t="shared" ca="1" si="96"/>
        <v/>
      </c>
      <c r="I118" s="95" t="str">
        <f t="shared" ca="1" si="96"/>
        <v/>
      </c>
      <c r="J118" s="95" t="str">
        <f t="shared" ca="1" si="96"/>
        <v/>
      </c>
      <c r="K118" s="95" t="str">
        <f t="shared" ca="1" si="96"/>
        <v/>
      </c>
      <c r="L118" s="95" t="str">
        <f t="shared" ca="1" si="96"/>
        <v/>
      </c>
    </row>
    <row r="119" spans="1:12" x14ac:dyDescent="0.35">
      <c r="A119" t="str">
        <f>IF(A11="","","    "&amp;A11&amp;" - Release from Mead")</f>
        <v/>
      </c>
      <c r="C119" s="95" t="str">
        <f t="shared" ref="C119:L119" ca="1" si="97">IF(OR(C$27="",$A119=""),"",OFFSET(C$61,8*(ROW(B119)-ROW(B$114)),0))</f>
        <v/>
      </c>
      <c r="D119" s="95" t="str">
        <f t="shared" ca="1" si="97"/>
        <v/>
      </c>
      <c r="E119" s="95" t="str">
        <f t="shared" ca="1" si="97"/>
        <v/>
      </c>
      <c r="F119" s="95" t="str">
        <f t="shared" ca="1" si="97"/>
        <v/>
      </c>
      <c r="G119" s="95" t="str">
        <f t="shared" ca="1" si="97"/>
        <v/>
      </c>
      <c r="H119" s="95" t="str">
        <f t="shared" ca="1" si="97"/>
        <v/>
      </c>
      <c r="I119" s="95" t="str">
        <f t="shared" ca="1" si="97"/>
        <v/>
      </c>
      <c r="J119" s="95" t="str">
        <f t="shared" ca="1" si="97"/>
        <v/>
      </c>
      <c r="K119" s="95" t="str">
        <f t="shared" ca="1" si="97"/>
        <v/>
      </c>
      <c r="L119" s="95" t="str">
        <f t="shared" ca="1" si="97"/>
        <v/>
      </c>
    </row>
    <row r="120" spans="1:12" x14ac:dyDescent="0.35">
      <c r="A120" s="1" t="s">
        <v>141</v>
      </c>
      <c r="B120" s="1"/>
      <c r="D120" s="2"/>
      <c r="E120" s="2"/>
      <c r="F120" s="2"/>
      <c r="G120" s="2"/>
      <c r="H120" s="2"/>
      <c r="I120" s="2"/>
      <c r="J120" s="2"/>
      <c r="K120" s="2"/>
      <c r="L120" s="2"/>
    </row>
    <row r="121" spans="1:12" x14ac:dyDescent="0.35">
      <c r="A121" t="str">
        <f t="shared" ref="A121:A126" si="98">IF(A6="","","    "&amp;A6)</f>
        <v xml:space="preserve">    Upper Basin</v>
      </c>
      <c r="C121" s="95">
        <f t="shared" ref="C121:L121" ca="1" si="99">IF(OR(C$27="",$A121=""),"",OFFSET(C$62,8*(ROW(B121)-ROW(B$121)),0))</f>
        <v>3.1178582945981317</v>
      </c>
      <c r="D121" s="95">
        <f t="shared" ca="1" si="99"/>
        <v>1.7427998573977552</v>
      </c>
      <c r="E121" s="95">
        <f t="shared" ca="1" si="99"/>
        <v>0.72638872799576637</v>
      </c>
      <c r="F121" s="95">
        <f t="shared" ca="1" si="99"/>
        <v>0.36147702314945285</v>
      </c>
      <c r="G121" s="95">
        <f t="shared" ca="1" si="99"/>
        <v>0.10542776518833374</v>
      </c>
      <c r="H121" s="95" t="str">
        <f t="shared" ca="1" si="99"/>
        <v/>
      </c>
      <c r="I121" s="95" t="str">
        <f t="shared" ca="1" si="99"/>
        <v/>
      </c>
      <c r="J121" s="95" t="str">
        <f t="shared" ca="1" si="99"/>
        <v/>
      </c>
      <c r="K121" s="95" t="str">
        <f t="shared" ca="1" si="99"/>
        <v/>
      </c>
      <c r="L121" s="95" t="str">
        <f t="shared" ca="1" si="99"/>
        <v/>
      </c>
    </row>
    <row r="122" spans="1:12" x14ac:dyDescent="0.35">
      <c r="A122" t="str">
        <f t="shared" si="98"/>
        <v xml:space="preserve">    Lower Basin</v>
      </c>
      <c r="C122" s="95">
        <f t="shared" ref="C122:L122" ca="1" si="100">IF(OR(C$27="",$A122=""),"",OFFSET(C$62,8*(ROW(B122)-ROW(B$121)),0))</f>
        <v>4.4717271200249602</v>
      </c>
      <c r="D122" s="95">
        <f t="shared" ca="1" si="100"/>
        <v>4.4289418826324098</v>
      </c>
      <c r="E122" s="95">
        <f t="shared" ca="1" si="100"/>
        <v>4.3745444740983803</v>
      </c>
      <c r="F122" s="95">
        <f t="shared" ca="1" si="100"/>
        <v>3.9187526506922019</v>
      </c>
      <c r="G122" s="95">
        <f t="shared" ca="1" si="100"/>
        <v>3.4738452097974637</v>
      </c>
      <c r="H122" s="95" t="str">
        <f t="shared" ca="1" si="100"/>
        <v/>
      </c>
      <c r="I122" s="95" t="str">
        <f t="shared" ca="1" si="100"/>
        <v/>
      </c>
      <c r="J122" s="95" t="str">
        <f t="shared" ca="1" si="100"/>
        <v/>
      </c>
      <c r="K122" s="95" t="str">
        <f t="shared" ca="1" si="100"/>
        <v/>
      </c>
      <c r="L122" s="95" t="str">
        <f t="shared" ca="1" si="100"/>
        <v/>
      </c>
    </row>
    <row r="123" spans="1:12" x14ac:dyDescent="0.35">
      <c r="A123" t="str">
        <f t="shared" si="98"/>
        <v xml:space="preserve">    Mexico</v>
      </c>
      <c r="C123" s="95">
        <f t="shared" ref="C123:L123" ca="1" si="101">IF(OR(C$27="",$A123=""),"",OFFSET(C$62,8*(ROW(B123)-ROW(B$121)),0))</f>
        <v>0.23917117271574706</v>
      </c>
      <c r="D123" s="95">
        <f t="shared" ca="1" si="101"/>
        <v>0.46903759972878145</v>
      </c>
      <c r="E123" s="95">
        <f t="shared" ca="1" si="101"/>
        <v>0.68797757840669505</v>
      </c>
      <c r="F123" s="95">
        <f t="shared" ca="1" si="101"/>
        <v>0.88443553085686744</v>
      </c>
      <c r="G123" s="95">
        <f t="shared" ca="1" si="101"/>
        <v>1.0811617287280222</v>
      </c>
      <c r="H123" s="95" t="str">
        <f t="shared" ca="1" si="101"/>
        <v/>
      </c>
      <c r="I123" s="95" t="str">
        <f t="shared" ca="1" si="101"/>
        <v/>
      </c>
      <c r="J123" s="95" t="str">
        <f t="shared" ca="1" si="101"/>
        <v/>
      </c>
      <c r="K123" s="95" t="str">
        <f t="shared" ca="1" si="101"/>
        <v/>
      </c>
      <c r="L123" s="95" t="str">
        <f t="shared" ca="1" si="101"/>
        <v/>
      </c>
    </row>
    <row r="124" spans="1:12" x14ac:dyDescent="0.35">
      <c r="A124" t="str">
        <f t="shared" si="98"/>
        <v xml:space="preserve">    Mohave &amp; Havasu Evap &amp; ET</v>
      </c>
      <c r="C124" s="95">
        <f t="shared" ref="C124:L124" ca="1" si="102">IF(OR(C$27="",$A124=""),"",OFFSET(C$62,8*(ROW(B124)-ROW(B$121)),0))</f>
        <v>0</v>
      </c>
      <c r="D124" s="95">
        <f t="shared" ca="1" si="102"/>
        <v>0</v>
      </c>
      <c r="E124" s="95">
        <f t="shared" ca="1" si="102"/>
        <v>0</v>
      </c>
      <c r="F124" s="95">
        <f t="shared" ca="1" si="102"/>
        <v>0</v>
      </c>
      <c r="G124" s="95">
        <f t="shared" ca="1" si="102"/>
        <v>0</v>
      </c>
      <c r="H124" s="95" t="str">
        <f t="shared" ca="1" si="102"/>
        <v/>
      </c>
      <c r="I124" s="95" t="str">
        <f t="shared" ca="1" si="102"/>
        <v/>
      </c>
      <c r="J124" s="95" t="str">
        <f t="shared" ca="1" si="102"/>
        <v/>
      </c>
      <c r="K124" s="95" t="str">
        <f t="shared" ca="1" si="102"/>
        <v/>
      </c>
      <c r="L124" s="95" t="str">
        <f t="shared" ca="1" si="102"/>
        <v/>
      </c>
    </row>
    <row r="125" spans="1:12" x14ac:dyDescent="0.35">
      <c r="A125" t="str">
        <f t="shared" si="98"/>
        <v xml:space="preserve">    Shared, Reserve</v>
      </c>
      <c r="C125" s="95">
        <f t="shared" ref="C125:L125" ca="1" si="103">IF(OR(C$27="",$A125=""),"",OFFSET(C$62,8*(ROW(B125)-ROW(B$121)),0))</f>
        <v>11.59116925</v>
      </c>
      <c r="D125" s="95">
        <f t="shared" ca="1" si="103"/>
        <v>11.59116925</v>
      </c>
      <c r="E125" s="95">
        <f t="shared" ca="1" si="103"/>
        <v>11.59116925</v>
      </c>
      <c r="F125" s="95">
        <f t="shared" ca="1" si="103"/>
        <v>11.59116925</v>
      </c>
      <c r="G125" s="95">
        <f t="shared" ca="1" si="103"/>
        <v>11.59116925</v>
      </c>
      <c r="H125" s="95" t="str">
        <f t="shared" ca="1" si="103"/>
        <v/>
      </c>
      <c r="I125" s="95" t="str">
        <f t="shared" ca="1" si="103"/>
        <v/>
      </c>
      <c r="J125" s="95" t="str">
        <f t="shared" ca="1" si="103"/>
        <v/>
      </c>
      <c r="K125" s="95" t="str">
        <f t="shared" ca="1" si="103"/>
        <v/>
      </c>
      <c r="L125" s="95" t="str">
        <f t="shared" ca="1" si="103"/>
        <v/>
      </c>
    </row>
    <row r="126" spans="1:12" x14ac:dyDescent="0.35">
      <c r="A126" t="str">
        <f t="shared" si="98"/>
        <v/>
      </c>
      <c r="C126" s="95" t="str">
        <f t="shared" ref="C126:L126" ca="1" si="104">IF(OR(C$27="",$A126=""),"",OFFSET(C$62,8*(ROW(B126)-ROW(B$121)),0))</f>
        <v/>
      </c>
      <c r="D126" s="95" t="str">
        <f t="shared" ca="1" si="104"/>
        <v/>
      </c>
      <c r="E126" s="95" t="str">
        <f t="shared" ca="1" si="104"/>
        <v/>
      </c>
      <c r="F126" s="95" t="str">
        <f t="shared" ca="1" si="104"/>
        <v/>
      </c>
      <c r="G126" s="95" t="str">
        <f t="shared" ca="1" si="104"/>
        <v/>
      </c>
      <c r="H126" s="95" t="str">
        <f t="shared" ca="1" si="104"/>
        <v/>
      </c>
      <c r="I126" s="95" t="str">
        <f t="shared" ca="1" si="104"/>
        <v/>
      </c>
      <c r="J126" s="95" t="str">
        <f t="shared" ca="1" si="104"/>
        <v/>
      </c>
      <c r="K126" s="95" t="str">
        <f t="shared" ca="1" si="104"/>
        <v/>
      </c>
      <c r="L126" s="95" t="str">
        <f t="shared" ca="1" si="104"/>
        <v/>
      </c>
    </row>
    <row r="127" spans="1:12" x14ac:dyDescent="0.35">
      <c r="A127" s="1" t="s">
        <v>125</v>
      </c>
      <c r="B127" s="1"/>
      <c r="C127" s="59">
        <f ca="1">IF(C$27&lt;&gt;"",SUM(C121:C126),"")</f>
        <v>19.419925837338837</v>
      </c>
      <c r="D127" s="59">
        <f t="shared" ref="D127:L127" ca="1" si="105">IF(D$27&lt;&gt;"",SUM(D121:D126),"")</f>
        <v>18.231948589758947</v>
      </c>
      <c r="E127" s="59">
        <f t="shared" ca="1" si="105"/>
        <v>17.380080030500842</v>
      </c>
      <c r="F127" s="59">
        <f t="shared" ca="1" si="105"/>
        <v>16.755834454698523</v>
      </c>
      <c r="G127" s="59">
        <f t="shared" ca="1" si="105"/>
        <v>16.251603953713818</v>
      </c>
      <c r="H127" s="14" t="str">
        <f t="shared" si="105"/>
        <v/>
      </c>
      <c r="I127" s="14" t="str">
        <f t="shared" si="105"/>
        <v/>
      </c>
      <c r="J127" s="14" t="str">
        <f t="shared" si="105"/>
        <v/>
      </c>
      <c r="K127" s="14" t="str">
        <f t="shared" si="105"/>
        <v/>
      </c>
      <c r="L127" s="14" t="str">
        <f t="shared" si="105"/>
        <v/>
      </c>
    </row>
    <row r="128" spans="1:12" x14ac:dyDescent="0.35">
      <c r="A128" s="1" t="s">
        <v>147</v>
      </c>
      <c r="B128" s="1"/>
      <c r="C128" s="14">
        <f t="shared" ref="C128:L128" ca="1" si="106">IF(C27&lt;&gt;"",C37+C27-C40-C114-C127*$B$37,"")</f>
        <v>8.3443252348954289</v>
      </c>
      <c r="D128" s="14">
        <f t="shared" ca="1" si="106"/>
        <v>8.1380188859690126</v>
      </c>
      <c r="E128" s="14">
        <f t="shared" ca="1" si="106"/>
        <v>8.3364071938178839</v>
      </c>
      <c r="F128" s="14">
        <f t="shared" ca="1" si="106"/>
        <v>8.4741164153200259</v>
      </c>
      <c r="G128" s="14">
        <f t="shared" ca="1" si="106"/>
        <v>8.5329241894354908</v>
      </c>
      <c r="H128" s="14" t="str">
        <f t="shared" si="106"/>
        <v/>
      </c>
      <c r="I128" s="14" t="str">
        <f t="shared" si="106"/>
        <v/>
      </c>
      <c r="J128" s="14" t="str">
        <f t="shared" si="106"/>
        <v/>
      </c>
      <c r="K128" s="14" t="str">
        <f t="shared" si="106"/>
        <v/>
      </c>
      <c r="L128" s="14" t="str">
        <f t="shared" si="106"/>
        <v/>
      </c>
    </row>
    <row r="130" spans="1:12" x14ac:dyDescent="0.35">
      <c r="A130" s="1" t="s">
        <v>127</v>
      </c>
      <c r="C130" s="12">
        <f>IF(C$27&lt;&gt;"",0.2,"")</f>
        <v>0.2</v>
      </c>
      <c r="D130" s="12">
        <f t="shared" ref="D130:L130" si="107">IF(D$27&lt;&gt;"",0.2,"")</f>
        <v>0.2</v>
      </c>
      <c r="E130" s="12">
        <f t="shared" si="107"/>
        <v>0.2</v>
      </c>
      <c r="F130" s="12">
        <f t="shared" si="107"/>
        <v>0.2</v>
      </c>
      <c r="G130" s="12">
        <f t="shared" si="107"/>
        <v>0.2</v>
      </c>
      <c r="H130" s="12" t="str">
        <f t="shared" si="107"/>
        <v/>
      </c>
      <c r="I130" s="12" t="str">
        <f t="shared" si="107"/>
        <v/>
      </c>
      <c r="J130" s="12" t="str">
        <f t="shared" si="107"/>
        <v/>
      </c>
      <c r="K130" s="12" t="str">
        <f t="shared" si="107"/>
        <v/>
      </c>
      <c r="L130" s="12" t="str">
        <f t="shared" si="107"/>
        <v/>
      </c>
    </row>
    <row r="131" spans="1:12" x14ac:dyDescent="0.35">
      <c r="A131" t="s">
        <v>128</v>
      </c>
      <c r="C131" s="14">
        <f t="shared" ref="C131:L131" ca="1" si="108">IF(C$27&lt;&gt;"",C115+C130,"")</f>
        <v>7.1000000000000005</v>
      </c>
      <c r="D131" s="14">
        <f t="shared" ca="1" si="108"/>
        <v>7.1000000000000005</v>
      </c>
      <c r="E131" s="14">
        <f t="shared" ca="1" si="108"/>
        <v>7.1000000000000005</v>
      </c>
      <c r="F131" s="14">
        <f t="shared" ca="1" si="108"/>
        <v>7.1000000000000005</v>
      </c>
      <c r="G131" s="14">
        <f t="shared" ca="1" si="108"/>
        <v>7.1000000000000005</v>
      </c>
      <c r="H131" s="14" t="str">
        <f t="shared" si="108"/>
        <v/>
      </c>
      <c r="I131" s="14" t="str">
        <f t="shared" si="108"/>
        <v/>
      </c>
      <c r="J131" s="14" t="str">
        <f t="shared" si="108"/>
        <v/>
      </c>
      <c r="K131" s="14" t="str">
        <f t="shared" si="108"/>
        <v/>
      </c>
      <c r="L131" s="14" t="str">
        <f t="shared" si="108"/>
        <v/>
      </c>
    </row>
    <row r="133" spans="1:12" x14ac:dyDescent="0.35">
      <c r="D133" s="18"/>
    </row>
  </sheetData>
  <mergeCells count="9">
    <mergeCell ref="C9:G9"/>
    <mergeCell ref="C10:G10"/>
    <mergeCell ref="C11:G11"/>
    <mergeCell ref="A3:G3"/>
    <mergeCell ref="C4:G4"/>
    <mergeCell ref="C5:G5"/>
    <mergeCell ref="C6:G6"/>
    <mergeCell ref="C7:G7"/>
    <mergeCell ref="C8:G8"/>
  </mergeCells>
  <conditionalFormatting sqref="D61">
    <cfRule type="cellIs" dxfId="492" priority="79" operator="greaterThan">
      <formula>$D$60</formula>
    </cfRule>
  </conditionalFormatting>
  <conditionalFormatting sqref="C61">
    <cfRule type="cellIs" dxfId="491" priority="68" operator="greaterThan">
      <formula>$C$60</formula>
    </cfRule>
  </conditionalFormatting>
  <conditionalFormatting sqref="E61">
    <cfRule type="cellIs" dxfId="490" priority="66" operator="greaterThan">
      <formula>$E$60</formula>
    </cfRule>
  </conditionalFormatting>
  <conditionalFormatting sqref="F61">
    <cfRule type="cellIs" dxfId="489" priority="65" operator="greaterThan">
      <formula>$F$60</formula>
    </cfRule>
  </conditionalFormatting>
  <conditionalFormatting sqref="G61">
    <cfRule type="cellIs" dxfId="488" priority="64" operator="greaterThan">
      <formula>$G$60</formula>
    </cfRule>
  </conditionalFormatting>
  <conditionalFormatting sqref="H61">
    <cfRule type="cellIs" dxfId="487" priority="63" operator="greaterThan">
      <formula>$H$60</formula>
    </cfRule>
  </conditionalFormatting>
  <conditionalFormatting sqref="I61">
    <cfRule type="cellIs" dxfId="486" priority="62" operator="greaterThan">
      <formula>$I$60</formula>
    </cfRule>
  </conditionalFormatting>
  <conditionalFormatting sqref="J61">
    <cfRule type="cellIs" dxfId="485" priority="61" operator="greaterThan">
      <formula>$J$60</formula>
    </cfRule>
  </conditionalFormatting>
  <conditionalFormatting sqref="K61">
    <cfRule type="cellIs" dxfId="484" priority="60" operator="greaterThan">
      <formula>$K$60</formula>
    </cfRule>
  </conditionalFormatting>
  <conditionalFormatting sqref="L61">
    <cfRule type="cellIs" dxfId="483" priority="59" operator="greaterThan">
      <formula>$L$60</formula>
    </cfRule>
  </conditionalFormatting>
  <conditionalFormatting sqref="C69">
    <cfRule type="cellIs" dxfId="482" priority="51" operator="greaterThan">
      <formula>$C$68</formula>
    </cfRule>
  </conditionalFormatting>
  <conditionalFormatting sqref="D69">
    <cfRule type="cellIs" dxfId="481" priority="50" operator="greaterThan">
      <formula>$D$68</formula>
    </cfRule>
  </conditionalFormatting>
  <conditionalFormatting sqref="E69">
    <cfRule type="cellIs" dxfId="480" priority="49" operator="greaterThan">
      <formula>$E$68</formula>
    </cfRule>
  </conditionalFormatting>
  <conditionalFormatting sqref="F69">
    <cfRule type="cellIs" dxfId="479" priority="48" operator="greaterThan">
      <formula>$F$68</formula>
    </cfRule>
  </conditionalFormatting>
  <conditionalFormatting sqref="G69">
    <cfRule type="cellIs" dxfId="478" priority="47" operator="greaterThan">
      <formula>$G$68</formula>
    </cfRule>
  </conditionalFormatting>
  <conditionalFormatting sqref="H69">
    <cfRule type="cellIs" dxfId="477" priority="46" operator="greaterThan">
      <formula>$H$68</formula>
    </cfRule>
  </conditionalFormatting>
  <conditionalFormatting sqref="I69">
    <cfRule type="cellIs" dxfId="476" priority="45" operator="greaterThan">
      <formula>$I$68</formula>
    </cfRule>
  </conditionalFormatting>
  <conditionalFormatting sqref="J69">
    <cfRule type="cellIs" dxfId="475" priority="44" operator="greaterThan">
      <formula>$J$68</formula>
    </cfRule>
  </conditionalFormatting>
  <conditionalFormatting sqref="K69">
    <cfRule type="cellIs" dxfId="474" priority="43" operator="greaterThan">
      <formula>$K$68</formula>
    </cfRule>
  </conditionalFormatting>
  <conditionalFormatting sqref="L69">
    <cfRule type="cellIs" dxfId="473" priority="42" operator="greaterThan">
      <formula>$L$68</formula>
    </cfRule>
  </conditionalFormatting>
  <conditionalFormatting sqref="C77">
    <cfRule type="cellIs" dxfId="472" priority="41" operator="greaterThan">
      <formula>$C$76</formula>
    </cfRule>
  </conditionalFormatting>
  <conditionalFormatting sqref="D77">
    <cfRule type="cellIs" dxfId="471" priority="40" operator="greaterThan">
      <formula>$D$76</formula>
    </cfRule>
  </conditionalFormatting>
  <conditionalFormatting sqref="E77">
    <cfRule type="cellIs" dxfId="470" priority="39" operator="greaterThan">
      <formula>$E$76</formula>
    </cfRule>
  </conditionalFormatting>
  <conditionalFormatting sqref="F77">
    <cfRule type="cellIs" dxfId="469" priority="38" operator="greaterThan">
      <formula>$F$76</formula>
    </cfRule>
  </conditionalFormatting>
  <conditionalFormatting sqref="G77">
    <cfRule type="cellIs" dxfId="468" priority="37" operator="greaterThan">
      <formula>$G$76</formula>
    </cfRule>
  </conditionalFormatting>
  <conditionalFormatting sqref="H77">
    <cfRule type="cellIs" dxfId="467" priority="36" operator="greaterThan">
      <formula>$H$76</formula>
    </cfRule>
  </conditionalFormatting>
  <conditionalFormatting sqref="I77">
    <cfRule type="cellIs" dxfId="466" priority="35" operator="greaterThan">
      <formula>$I$76</formula>
    </cfRule>
  </conditionalFormatting>
  <conditionalFormatting sqref="J77">
    <cfRule type="cellIs" dxfId="465" priority="34" operator="greaterThan">
      <formula>$J$76</formula>
    </cfRule>
  </conditionalFormatting>
  <conditionalFormatting sqref="K77">
    <cfRule type="cellIs" dxfId="464" priority="33" operator="greaterThan">
      <formula>$K$76</formula>
    </cfRule>
  </conditionalFormatting>
  <conditionalFormatting sqref="L77">
    <cfRule type="cellIs" dxfId="463" priority="32" operator="greaterThan">
      <formula>$L$76</formula>
    </cfRule>
  </conditionalFormatting>
  <conditionalFormatting sqref="C85">
    <cfRule type="cellIs" dxfId="462" priority="31" operator="greaterThan">
      <formula>$C$84</formula>
    </cfRule>
  </conditionalFormatting>
  <conditionalFormatting sqref="D85">
    <cfRule type="cellIs" dxfId="461" priority="30" operator="greaterThan">
      <formula>$D$84</formula>
    </cfRule>
  </conditionalFormatting>
  <conditionalFormatting sqref="E85">
    <cfRule type="cellIs" dxfId="460" priority="29" operator="greaterThan">
      <formula>$E$84</formula>
    </cfRule>
  </conditionalFormatting>
  <conditionalFormatting sqref="F85">
    <cfRule type="cellIs" dxfId="459" priority="28" operator="greaterThan">
      <formula>$F$84</formula>
    </cfRule>
  </conditionalFormatting>
  <conditionalFormatting sqref="G85">
    <cfRule type="cellIs" dxfId="458" priority="27" operator="greaterThan">
      <formula>$G$84</formula>
    </cfRule>
  </conditionalFormatting>
  <conditionalFormatting sqref="H85">
    <cfRule type="cellIs" dxfId="457" priority="26" operator="greaterThan">
      <formula>$H$84</formula>
    </cfRule>
  </conditionalFormatting>
  <conditionalFormatting sqref="I85">
    <cfRule type="cellIs" dxfId="456" priority="25" operator="greaterThan">
      <formula>$I$84</formula>
    </cfRule>
  </conditionalFormatting>
  <conditionalFormatting sqref="J85">
    <cfRule type="cellIs" dxfId="455" priority="24" operator="greaterThan">
      <formula>$J$84</formula>
    </cfRule>
  </conditionalFormatting>
  <conditionalFormatting sqref="K85">
    <cfRule type="cellIs" dxfId="454" priority="23" operator="greaterThan">
      <formula>$K$84</formula>
    </cfRule>
  </conditionalFormatting>
  <conditionalFormatting sqref="L85">
    <cfRule type="cellIs" dxfId="453" priority="22" operator="greaterThan">
      <formula>$L$84</formula>
    </cfRule>
  </conditionalFormatting>
  <conditionalFormatting sqref="C93">
    <cfRule type="cellIs" dxfId="452" priority="21" operator="greaterThan">
      <formula>$C$92</formula>
    </cfRule>
  </conditionalFormatting>
  <conditionalFormatting sqref="D93">
    <cfRule type="cellIs" dxfId="451" priority="20" operator="greaterThan">
      <formula>$D$92</formula>
    </cfRule>
  </conditionalFormatting>
  <conditionalFormatting sqref="E93">
    <cfRule type="cellIs" dxfId="450" priority="19" operator="greaterThan">
      <formula>$E$92</formula>
    </cfRule>
  </conditionalFormatting>
  <conditionalFormatting sqref="F93">
    <cfRule type="cellIs" dxfId="449" priority="18" operator="greaterThan">
      <formula>$F$92</formula>
    </cfRule>
  </conditionalFormatting>
  <conditionalFormatting sqref="G93">
    <cfRule type="cellIs" dxfId="448" priority="17" operator="greaterThan">
      <formula>$G$92</formula>
    </cfRule>
  </conditionalFormatting>
  <conditionalFormatting sqref="H93">
    <cfRule type="cellIs" dxfId="447" priority="16" operator="greaterThan">
      <formula>$H$92</formula>
    </cfRule>
  </conditionalFormatting>
  <conditionalFormatting sqref="I93">
    <cfRule type="cellIs" dxfId="446" priority="15" operator="greaterThan">
      <formula>$I$92</formula>
    </cfRule>
  </conditionalFormatting>
  <conditionalFormatting sqref="J93">
    <cfRule type="cellIs" dxfId="445" priority="14" operator="greaterThan">
      <formula>$J$92</formula>
    </cfRule>
  </conditionalFormatting>
  <conditionalFormatting sqref="K93">
    <cfRule type="cellIs" dxfId="444" priority="13" operator="greaterThan">
      <formula>$K$92</formula>
    </cfRule>
  </conditionalFormatting>
  <conditionalFormatting sqref="L93">
    <cfRule type="cellIs" dxfId="443" priority="12" operator="greaterThan">
      <formula>$L$92</formula>
    </cfRule>
  </conditionalFormatting>
  <conditionalFormatting sqref="C101">
    <cfRule type="cellIs" dxfId="442" priority="11" operator="greaterThan">
      <formula>$C$100</formula>
    </cfRule>
  </conditionalFormatting>
  <conditionalFormatting sqref="D101">
    <cfRule type="cellIs" dxfId="441" priority="10" operator="greaterThan">
      <formula>$D$100</formula>
    </cfRule>
  </conditionalFormatting>
  <conditionalFormatting sqref="E101">
    <cfRule type="cellIs" dxfId="440" priority="9" operator="greaterThan">
      <formula>$E$100</formula>
    </cfRule>
  </conditionalFormatting>
  <conditionalFormatting sqref="F101">
    <cfRule type="cellIs" dxfId="439" priority="8" operator="greaterThan">
      <formula>$F$100</formula>
    </cfRule>
  </conditionalFormatting>
  <conditionalFormatting sqref="G101">
    <cfRule type="cellIs" dxfId="438" priority="7" operator="greaterThan">
      <formula>$G$100</formula>
    </cfRule>
  </conditionalFormatting>
  <conditionalFormatting sqref="H101">
    <cfRule type="cellIs" dxfId="437" priority="6" operator="greaterThan">
      <formula>$H$100</formula>
    </cfRule>
  </conditionalFormatting>
  <conditionalFormatting sqref="I101">
    <cfRule type="cellIs" dxfId="436" priority="5" operator="greaterThan">
      <formula>$I$100</formula>
    </cfRule>
  </conditionalFormatting>
  <conditionalFormatting sqref="J101">
    <cfRule type="cellIs" dxfId="435" priority="4" operator="greaterThan">
      <formula>$J$100</formula>
    </cfRule>
  </conditionalFormatting>
  <conditionalFormatting sqref="K101">
    <cfRule type="cellIs" dxfId="434" priority="3" operator="greaterThan">
      <formula>$K$100</formula>
    </cfRule>
  </conditionalFormatting>
  <conditionalFormatting sqref="L101">
    <cfRule type="cellIs" dxfId="433"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2CB9-382E-4775-9CE6-35716C807132}">
  <dimension ref="A1:U95"/>
  <sheetViews>
    <sheetView topLeftCell="A50" zoomScale="150" zoomScaleNormal="150" workbookViewId="0">
      <selection activeCell="N77" sqref="N77"/>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63"/>
      <c r="I3" s="63"/>
      <c r="J3" s="63"/>
      <c r="K3" s="63"/>
    </row>
    <row r="4" spans="1:11" x14ac:dyDescent="0.35">
      <c r="A4" s="64" t="s">
        <v>39</v>
      </c>
      <c r="B4" s="64" t="s">
        <v>43</v>
      </c>
      <c r="C4" s="116" t="s">
        <v>44</v>
      </c>
      <c r="D4" s="117"/>
      <c r="E4" s="117"/>
      <c r="F4" s="117"/>
      <c r="G4" s="118"/>
    </row>
    <row r="5" spans="1:11" x14ac:dyDescent="0.35">
      <c r="A5" s="65" t="s">
        <v>52</v>
      </c>
      <c r="B5" s="65"/>
      <c r="C5" s="119"/>
      <c r="D5" s="119"/>
      <c r="E5" s="119"/>
      <c r="F5" s="119"/>
      <c r="G5" s="119"/>
    </row>
    <row r="6" spans="1:11" x14ac:dyDescent="0.35">
      <c r="A6" s="66" t="s">
        <v>40</v>
      </c>
      <c r="B6" s="66"/>
      <c r="C6" s="113"/>
      <c r="D6" s="113"/>
      <c r="E6" s="113"/>
      <c r="F6" s="113"/>
      <c r="G6" s="113"/>
    </row>
    <row r="7" spans="1:11" x14ac:dyDescent="0.35">
      <c r="A7" s="66" t="s">
        <v>41</v>
      </c>
      <c r="B7" s="66"/>
      <c r="C7" s="114"/>
      <c r="D7" s="114"/>
      <c r="E7" s="114"/>
      <c r="F7" s="114"/>
      <c r="G7" s="114"/>
    </row>
    <row r="8" spans="1:11" x14ac:dyDescent="0.35">
      <c r="A8" s="66" t="s">
        <v>42</v>
      </c>
      <c r="B8" s="66"/>
      <c r="C8" s="113"/>
      <c r="D8" s="113"/>
      <c r="E8" s="113"/>
      <c r="F8" s="113"/>
      <c r="G8" s="113"/>
    </row>
    <row r="9" spans="1:11" x14ac:dyDescent="0.35">
      <c r="A9" s="66" t="s">
        <v>165</v>
      </c>
      <c r="B9" s="66"/>
      <c r="C9" s="114" t="s">
        <v>187</v>
      </c>
      <c r="D9" s="114"/>
      <c r="E9" s="114"/>
      <c r="F9" s="114"/>
      <c r="G9" s="114"/>
    </row>
    <row r="10" spans="1:11" x14ac:dyDescent="0.35">
      <c r="A10" s="66"/>
      <c r="B10" s="66"/>
      <c r="C10" s="114"/>
      <c r="D10" s="114"/>
      <c r="E10" s="114"/>
      <c r="F10" s="114"/>
      <c r="G10" s="114"/>
    </row>
    <row r="11" spans="1:11" x14ac:dyDescent="0.35">
      <c r="A11" s="66"/>
      <c r="B11" s="66"/>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c r="D25" s="45"/>
      <c r="E25" s="45"/>
      <c r="F25" s="45"/>
      <c r="G25" s="45"/>
      <c r="H25" s="45"/>
      <c r="I25" s="45"/>
      <c r="J25" s="45"/>
      <c r="K25" s="45"/>
      <c r="L25" s="45"/>
    </row>
    <row r="26" spans="1:14" x14ac:dyDescent="0.35">
      <c r="A26" s="1" t="s">
        <v>123</v>
      </c>
      <c r="B26" s="1"/>
      <c r="C26" s="12" t="str">
        <f>IF(C$25&lt;&gt;"",0.8,"")</f>
        <v/>
      </c>
      <c r="D26" s="12" t="str">
        <f t="shared" ref="D26:L26" si="0">IF(D$25&lt;&gt;"",0.8,"")</f>
        <v/>
      </c>
      <c r="E26" s="12" t="str">
        <f t="shared" si="0"/>
        <v/>
      </c>
      <c r="F26" s="12" t="str">
        <f t="shared" si="0"/>
        <v/>
      </c>
      <c r="G26" s="12" t="str">
        <f t="shared" si="0"/>
        <v/>
      </c>
      <c r="H26" s="12" t="str">
        <f t="shared" si="0"/>
        <v/>
      </c>
      <c r="I26" s="12" t="str">
        <f t="shared" si="0"/>
        <v/>
      </c>
      <c r="J26" s="12" t="str">
        <f t="shared" si="0"/>
        <v/>
      </c>
      <c r="K26" s="12" t="str">
        <f t="shared" si="0"/>
        <v/>
      </c>
      <c r="L26" s="12" t="str">
        <f t="shared" si="0"/>
        <v/>
      </c>
    </row>
    <row r="27" spans="1:14" x14ac:dyDescent="0.35">
      <c r="A27" s="1" t="s">
        <v>126</v>
      </c>
      <c r="B27" s="14">
        <f>SUM(B28:B33)-SUM(B22:C22)</f>
        <v>0</v>
      </c>
      <c r="C27" s="14" t="str">
        <f>IF(C$25&lt;&gt;"",SUM(B22:C22),"")</f>
        <v/>
      </c>
      <c r="D27" s="14" t="str">
        <f>IF(D$25&lt;&gt;"",C89,"")</f>
        <v/>
      </c>
      <c r="E27" s="14" t="str">
        <f t="shared" ref="E27:L27" si="1">IF(E$25&lt;&gt;"",D89,"")</f>
        <v/>
      </c>
      <c r="F27" s="14" t="str">
        <f t="shared" si="1"/>
        <v/>
      </c>
      <c r="G27" s="14" t="str">
        <f t="shared" si="1"/>
        <v/>
      </c>
      <c r="H27" s="14" t="str">
        <f t="shared" si="1"/>
        <v/>
      </c>
      <c r="I27" s="14" t="str">
        <f t="shared" si="1"/>
        <v/>
      </c>
      <c r="J27" s="14" t="str">
        <f t="shared" si="1"/>
        <v/>
      </c>
      <c r="K27" s="14" t="str">
        <f t="shared" si="1"/>
        <v/>
      </c>
      <c r="L27" s="14" t="str">
        <f t="shared" si="1"/>
        <v/>
      </c>
    </row>
    <row r="28" spans="1:14" x14ac:dyDescent="0.35">
      <c r="A28" t="str">
        <f>IF(A6="","","    "&amp;A6&amp;" Balance")</f>
        <v xml:space="preserve">    Upper Basin Balance</v>
      </c>
      <c r="B28" s="55">
        <f>B22</f>
        <v>11</v>
      </c>
      <c r="C28" s="14" t="str">
        <f>IF(OR(C$25="",$A28=""),"",B28)</f>
        <v/>
      </c>
      <c r="D28" s="14" t="str">
        <f>IF(OR(D$25="",$A28=""),"",C83)</f>
        <v/>
      </c>
      <c r="E28" s="14" t="str">
        <f t="shared" ref="E28:L28" si="2">IF(OR(E$25="",$A28=""),"",D83)</f>
        <v/>
      </c>
      <c r="F28" s="14" t="str">
        <f t="shared" si="2"/>
        <v/>
      </c>
      <c r="G28" s="14" t="str">
        <f t="shared" si="2"/>
        <v/>
      </c>
      <c r="H28" s="14" t="str">
        <f t="shared" si="2"/>
        <v/>
      </c>
      <c r="I28" s="14" t="str">
        <f t="shared" si="2"/>
        <v/>
      </c>
      <c r="J28" s="14" t="str">
        <f t="shared" si="2"/>
        <v/>
      </c>
      <c r="K28" s="14" t="str">
        <f t="shared" si="2"/>
        <v/>
      </c>
      <c r="L28" s="14" t="str">
        <f t="shared" si="2"/>
        <v/>
      </c>
      <c r="N28" t="s">
        <v>222</v>
      </c>
    </row>
    <row r="29" spans="1:14" x14ac:dyDescent="0.35">
      <c r="A29" t="str">
        <f t="shared" ref="A29:A33" si="3">IF(A7="","","    "&amp;A7&amp;" Balance")</f>
        <v xml:space="preserve">    Lower Basin Balance</v>
      </c>
      <c r="B29" s="55">
        <f>C22-B30</f>
        <v>10.058999999999999</v>
      </c>
      <c r="C29" s="14" t="str">
        <f t="shared" ref="C29:C33" si="4">IF(OR(C$25="",$A29=""),"",B29)</f>
        <v/>
      </c>
      <c r="D29" s="14" t="str">
        <f t="shared" ref="D29:L33" si="5">IF(OR(D$25="",$A29=""),"",C84)</f>
        <v/>
      </c>
      <c r="E29" s="14" t="str">
        <f t="shared" si="5"/>
        <v/>
      </c>
      <c r="F29" s="14" t="str">
        <f t="shared" si="5"/>
        <v/>
      </c>
      <c r="G29" s="14" t="str">
        <f t="shared" si="5"/>
        <v/>
      </c>
      <c r="H29" s="14" t="str">
        <f t="shared" si="5"/>
        <v/>
      </c>
      <c r="I29" s="14" t="str">
        <f t="shared" si="5"/>
        <v/>
      </c>
      <c r="J29" s="14" t="str">
        <f t="shared" si="5"/>
        <v/>
      </c>
      <c r="K29" s="14" t="str">
        <f t="shared" si="5"/>
        <v/>
      </c>
      <c r="L29" s="14" t="str">
        <f t="shared" si="5"/>
        <v/>
      </c>
      <c r="N29" t="s">
        <v>223</v>
      </c>
    </row>
    <row r="30" spans="1:14" x14ac:dyDescent="0.35">
      <c r="A30" t="str">
        <f t="shared" si="3"/>
        <v xml:space="preserve">    Mexico Balance</v>
      </c>
      <c r="B30" s="86">
        <f>0.041</f>
        <v>4.1000000000000002E-2</v>
      </c>
      <c r="C30" s="14" t="str">
        <f t="shared" si="4"/>
        <v/>
      </c>
      <c r="D30" s="14" t="str">
        <f t="shared" si="5"/>
        <v/>
      </c>
      <c r="E30" s="14" t="str">
        <f t="shared" si="5"/>
        <v/>
      </c>
      <c r="F30" s="14" t="str">
        <f t="shared" si="5"/>
        <v/>
      </c>
      <c r="G30" s="14" t="str">
        <f t="shared" si="5"/>
        <v/>
      </c>
      <c r="H30" s="14" t="str">
        <f t="shared" si="5"/>
        <v/>
      </c>
      <c r="I30" s="14" t="str">
        <f t="shared" si="5"/>
        <v/>
      </c>
      <c r="J30" s="14" t="str">
        <f t="shared" si="5"/>
        <v/>
      </c>
      <c r="K30" s="14" t="str">
        <f t="shared" si="5"/>
        <v/>
      </c>
      <c r="L30" s="14" t="str">
        <f t="shared" si="5"/>
        <v/>
      </c>
      <c r="N30" t="s">
        <v>224</v>
      </c>
    </row>
    <row r="31" spans="1:14" x14ac:dyDescent="0.35">
      <c r="A31" t="str">
        <f t="shared" si="3"/>
        <v xml:space="preserve">    Mohave &amp; Havasu Evap &amp; ET Balance</v>
      </c>
      <c r="B31" s="56">
        <v>0</v>
      </c>
      <c r="C31" s="14" t="str">
        <f t="shared" si="4"/>
        <v/>
      </c>
      <c r="D31" s="14" t="str">
        <f t="shared" si="5"/>
        <v/>
      </c>
      <c r="E31" s="14" t="str">
        <f t="shared" si="5"/>
        <v/>
      </c>
      <c r="F31" s="14" t="str">
        <f t="shared" si="5"/>
        <v/>
      </c>
      <c r="G31" s="14" t="str">
        <f t="shared" si="5"/>
        <v/>
      </c>
      <c r="H31" s="14" t="str">
        <f t="shared" si="5"/>
        <v/>
      </c>
      <c r="I31" s="14" t="str">
        <f t="shared" si="5"/>
        <v/>
      </c>
      <c r="J31" s="14" t="str">
        <f t="shared" si="5"/>
        <v/>
      </c>
      <c r="K31" s="14" t="str">
        <f t="shared" si="5"/>
        <v/>
      </c>
      <c r="L31" s="14" t="str">
        <f t="shared" si="5"/>
        <v/>
      </c>
    </row>
    <row r="32" spans="1:14" x14ac:dyDescent="0.35">
      <c r="A32" t="str">
        <f t="shared" si="3"/>
        <v/>
      </c>
      <c r="B32" s="56"/>
      <c r="C32" s="14" t="str">
        <f t="shared" si="4"/>
        <v/>
      </c>
      <c r="D32" s="14" t="str">
        <f t="shared" si="5"/>
        <v/>
      </c>
      <c r="E32" s="14" t="str">
        <f t="shared" si="5"/>
        <v/>
      </c>
      <c r="F32" s="14" t="str">
        <f t="shared" si="5"/>
        <v/>
      </c>
      <c r="G32" s="14" t="str">
        <f t="shared" si="5"/>
        <v/>
      </c>
      <c r="H32" s="14" t="str">
        <f t="shared" si="5"/>
        <v/>
      </c>
      <c r="I32" s="14" t="str">
        <f t="shared" si="5"/>
        <v/>
      </c>
      <c r="J32" s="14" t="str">
        <f t="shared" si="5"/>
        <v/>
      </c>
      <c r="K32" s="14" t="str">
        <f t="shared" si="5"/>
        <v/>
      </c>
      <c r="L32" s="14" t="str">
        <f t="shared" si="5"/>
        <v/>
      </c>
    </row>
    <row r="33" spans="1:12" x14ac:dyDescent="0.35">
      <c r="A33" t="str">
        <f t="shared" si="3"/>
        <v/>
      </c>
      <c r="B33" s="56"/>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2" x14ac:dyDescent="0.35">
      <c r="A34" s="1" t="s">
        <v>117</v>
      </c>
      <c r="C34"/>
    </row>
    <row r="35" spans="1:12" x14ac:dyDescent="0.35">
      <c r="A35" t="s">
        <v>115</v>
      </c>
      <c r="B35" s="35">
        <v>0.5</v>
      </c>
      <c r="C35" s="14" t="str">
        <f>IF(C$25&lt;&gt;"",B22,"")</f>
        <v/>
      </c>
      <c r="D35" s="14" t="str">
        <f t="shared" ref="D35:L36" si="6">IF(D25&lt;&gt;"",$B35*D$27,"")</f>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2" x14ac:dyDescent="0.35">
      <c r="A36" t="s">
        <v>116</v>
      </c>
      <c r="B36" s="35">
        <f>1-B35</f>
        <v>0.5</v>
      </c>
      <c r="C36" s="14" t="str">
        <f>IF(C$25&lt;&gt;"",C22,"")</f>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row>
    <row r="37" spans="1:12" x14ac:dyDescent="0.35">
      <c r="A37" s="1" t="s">
        <v>121</v>
      </c>
      <c r="B37" s="1"/>
      <c r="C37" s="14" t="str">
        <f>IF(C$25&lt;&gt;"",VLOOKUP(C35*1000000,'Powell-Elevation-Area'!$B$5:$D$689,3)*$B$21/1000000 + VLOOKUP(C36*1000000,'Mead-Elevation-Area'!$B$5:$D$676,3)*$C$21/1000000,"")</f>
        <v/>
      </c>
      <c r="D37" s="14" t="str">
        <f>IF(D$25&lt;&gt;"",VLOOKUP(D35*1000000,'Powell-Elevation-Area'!$B$5:$D$689,3)*$B$21/1000000 + VLOOKUP(D36*1000000,'Mead-Elevation-Area'!$B$5:$D$676,3)*$C$21/1000000,"")</f>
        <v/>
      </c>
      <c r="E37" s="14" t="str">
        <f>IF(E$25&lt;&gt;"",VLOOKUP(E35*1000000,'Powell-Elevation-Area'!$B$5:$D$689,3)*$B$21/1000000 + VLOOKUP(E36*1000000,'Mead-Elevation-Area'!$B$5:$D$676,3)*$C$21/1000000,"")</f>
        <v/>
      </c>
      <c r="F37" s="14" t="str">
        <f>IF(F$25&lt;&gt;"",VLOOKUP(F35*1000000,'Powell-Elevation-Area'!$B$5:$D$689,3)*$B$21/1000000 + VLOOKUP(F36*1000000,'Mead-Elevation-Area'!$B$5:$D$676,3)*$C$21/1000000,"")</f>
        <v/>
      </c>
      <c r="G37" s="14" t="str">
        <f>IF(G$25&lt;&gt;"",VLOOKUP(G35*1000000,'Powell-Elevation-Area'!$B$5:$D$689,3)*$B$21/1000000 + VLOOKUP(G36*1000000,'Mead-Elevation-Area'!$B$5:$D$676,3)*$C$21/1000000,"")</f>
        <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t="str">
        <f>IF(OR(C$25="",$A38=""),"",C$37*C28/C$27)</f>
        <v/>
      </c>
      <c r="D38" s="14" t="str">
        <f t="shared" ref="D38:L38" si="7">IF(OR(D$25="",$A38=""),"",D$37*D28/D$27)</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2" x14ac:dyDescent="0.35">
      <c r="A39" t="str">
        <f t="shared" ref="A39:A43" si="8">IF(A7="","","    "&amp;A7&amp;" Share")</f>
        <v xml:space="preserve">    Lower Basin Share</v>
      </c>
      <c r="B39" s="1"/>
      <c r="C39" s="14" t="str">
        <f t="shared" ref="C39:L43" si="9">IF(OR(C$25="",$A39=""),"",C$37*C29/C$27)</f>
        <v/>
      </c>
      <c r="D39" s="14" t="str">
        <f t="shared" si="9"/>
        <v/>
      </c>
      <c r="E39" s="14" t="str">
        <f t="shared" si="9"/>
        <v/>
      </c>
      <c r="F39" s="14" t="str">
        <f t="shared" si="9"/>
        <v/>
      </c>
      <c r="G39" s="14" t="str">
        <f t="shared" si="9"/>
        <v/>
      </c>
      <c r="H39" s="14" t="str">
        <f t="shared" si="9"/>
        <v/>
      </c>
      <c r="I39" s="14" t="str">
        <f t="shared" si="9"/>
        <v/>
      </c>
      <c r="J39" s="14" t="str">
        <f t="shared" si="9"/>
        <v/>
      </c>
      <c r="K39" s="14" t="str">
        <f t="shared" si="9"/>
        <v/>
      </c>
      <c r="L39" s="14" t="str">
        <f t="shared" si="9"/>
        <v/>
      </c>
    </row>
    <row r="40" spans="1:12" x14ac:dyDescent="0.35">
      <c r="A40" t="str">
        <f t="shared" si="8"/>
        <v xml:space="preserve">    Mexico Share</v>
      </c>
      <c r="B40" s="1"/>
      <c r="C40" s="14" t="str">
        <f t="shared" si="9"/>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2" x14ac:dyDescent="0.35">
      <c r="A41" t="str">
        <f t="shared" si="8"/>
        <v xml:space="preserve">    Mohave &amp; Havasu Evap &amp; ET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2" x14ac:dyDescent="0.35">
      <c r="A42" t="str">
        <f t="shared" si="8"/>
        <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2" x14ac:dyDescent="0.35">
      <c r="A43" t="str">
        <f t="shared" si="8"/>
        <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2" x14ac:dyDescent="0.35">
      <c r="A44" s="1" t="s">
        <v>161</v>
      </c>
      <c r="B44" s="1"/>
      <c r="C44" s="50" t="str">
        <f>IF(C$25&lt;&gt;"",1.5-$B$50/9/2-IF(C$29&lt;$O$78,$Q$78,IF(C$29&lt;=$O$85,VLOOKUP(C$29,$O$78:$Q$85,3),0)),"")</f>
        <v/>
      </c>
      <c r="D44" s="50" t="str">
        <f t="shared" ref="D44:L44" si="10">IF(D$25&lt;&gt;"",1.5-$B$50/9-IF(D$29&lt;$O$78,$Q$78,IF(D$29&lt;=$O$85,VLOOKUP(D$29,$O$78:$Q$85,3),0)),"")</f>
        <v/>
      </c>
      <c r="E44" s="50" t="str">
        <f t="shared" si="10"/>
        <v/>
      </c>
      <c r="F44" s="50" t="str">
        <f t="shared" si="10"/>
        <v/>
      </c>
      <c r="G44" s="50" t="str">
        <f t="shared" si="10"/>
        <v/>
      </c>
      <c r="H44" s="50" t="str">
        <f t="shared" si="10"/>
        <v/>
      </c>
      <c r="I44" s="50" t="str">
        <f t="shared" si="10"/>
        <v/>
      </c>
      <c r="J44" s="50" t="str">
        <f t="shared" si="10"/>
        <v/>
      </c>
      <c r="K44" s="50" t="str">
        <f t="shared" si="10"/>
        <v/>
      </c>
      <c r="L44" s="50" t="str">
        <f t="shared" si="10"/>
        <v/>
      </c>
    </row>
    <row r="45" spans="1:12" x14ac:dyDescent="0.35">
      <c r="A45" s="1" t="s">
        <v>162</v>
      </c>
      <c r="B45" s="1"/>
      <c r="C45"/>
    </row>
    <row r="46" spans="1:12" x14ac:dyDescent="0.35">
      <c r="A46" t="str">
        <f>IF(A6="","","    To "&amp;A6)</f>
        <v xml:space="preserve">    To Upper Basin</v>
      </c>
      <c r="B46" s="24" t="s">
        <v>164</v>
      </c>
      <c r="C46" s="14" t="str">
        <f>IF(OR(C$25="",$A4=""),"",MAX(0,C$25-SUM(C47:C48)))</f>
        <v/>
      </c>
      <c r="D46" s="14" t="str">
        <f t="shared" ref="D46:L46" si="11">IF(OR(D$25="",$A4=""),"",MAX(0,D$25-SUM(D47:D48)))</f>
        <v/>
      </c>
      <c r="E46" s="14" t="str">
        <f t="shared" si="11"/>
        <v/>
      </c>
      <c r="F46" s="14" t="str">
        <f t="shared" si="11"/>
        <v/>
      </c>
      <c r="G46" s="14" t="str">
        <f t="shared" si="11"/>
        <v/>
      </c>
      <c r="H46" s="14" t="str">
        <f t="shared" si="11"/>
        <v/>
      </c>
      <c r="I46" s="14" t="str">
        <f t="shared" si="11"/>
        <v/>
      </c>
      <c r="J46" s="14" t="str">
        <f t="shared" si="11"/>
        <v/>
      </c>
      <c r="K46" s="14" t="str">
        <f t="shared" si="11"/>
        <v/>
      </c>
      <c r="L46" s="14" t="str">
        <f t="shared" si="11"/>
        <v/>
      </c>
    </row>
    <row r="47" spans="1:12" x14ac:dyDescent="0.35">
      <c r="A47" t="str">
        <f t="shared" ref="A47:A51" si="12">IF(A7="","","    To "&amp;A7)</f>
        <v xml:space="preserve">    To Lower Basin</v>
      </c>
      <c r="B47" s="44">
        <f>7.5-$B$50</f>
        <v>7.5</v>
      </c>
      <c r="C47" s="14" t="str">
        <f>IF(OR(C$25="",$A47=""),"",IF(C$25&lt;$B48,0,IF(C$25&gt;$B47,$B47,C$25)))</f>
        <v/>
      </c>
      <c r="D47" s="14" t="str">
        <f t="shared" ref="D47:L47" si="13">IF(OR(D$25="",$A47=""),"",IF(D$25&lt;$B48,0,IF(D$25&gt;$B47,$B47,D$25)))</f>
        <v/>
      </c>
      <c r="E47" s="14" t="str">
        <f t="shared" si="13"/>
        <v/>
      </c>
      <c r="F47" s="14" t="str">
        <f t="shared" si="13"/>
        <v/>
      </c>
      <c r="G47" s="14" t="str">
        <f t="shared" si="13"/>
        <v/>
      </c>
      <c r="H47" s="14" t="str">
        <f t="shared" si="13"/>
        <v/>
      </c>
      <c r="I47" s="14" t="str">
        <f t="shared" si="13"/>
        <v/>
      </c>
      <c r="J47" s="14" t="str">
        <f t="shared" si="13"/>
        <v/>
      </c>
      <c r="K47" s="14" t="str">
        <f t="shared" si="13"/>
        <v/>
      </c>
      <c r="L47" s="14" t="str">
        <f t="shared" si="13"/>
        <v/>
      </c>
    </row>
    <row r="48" spans="1:12" x14ac:dyDescent="0.35">
      <c r="A48" t="str">
        <f t="shared" si="12"/>
        <v xml:space="preserve">    To Mexico</v>
      </c>
      <c r="B48" s="44">
        <f>IF(C44="",0.75,C$44/2)</f>
        <v>0.75</v>
      </c>
      <c r="C48" s="14" t="str">
        <f>IF(OR(C$25="",$A48=""),"",IF(C$25&gt;$B48,$B48,C$25))</f>
        <v/>
      </c>
      <c r="D48" s="14" t="str">
        <f t="shared" ref="D48:L48" si="14">IF(OR(D$25="",$A48=""),"",IF(D$25&gt;$B48,$B48,D$25))</f>
        <v/>
      </c>
      <c r="E48" s="14" t="str">
        <f t="shared" si="14"/>
        <v/>
      </c>
      <c r="F48" s="14" t="str">
        <f t="shared" si="14"/>
        <v/>
      </c>
      <c r="G48" s="14" t="str">
        <f t="shared" si="14"/>
        <v/>
      </c>
      <c r="H48" s="14" t="str">
        <f t="shared" si="14"/>
        <v/>
      </c>
      <c r="I48" s="14" t="str">
        <f t="shared" si="14"/>
        <v/>
      </c>
      <c r="J48" s="14" t="str">
        <f t="shared" si="14"/>
        <v/>
      </c>
      <c r="K48" s="14" t="str">
        <f t="shared" si="14"/>
        <v/>
      </c>
      <c r="L48" s="14" t="str">
        <f t="shared" si="14"/>
        <v/>
      </c>
    </row>
    <row r="49" spans="1:13" x14ac:dyDescent="0.35">
      <c r="A49" t="str">
        <f t="shared" si="12"/>
        <v xml:space="preserve">    To Mohave &amp; Havasu Evap &amp; ET</v>
      </c>
      <c r="B49" s="44">
        <v>0</v>
      </c>
      <c r="C49" s="14" t="str">
        <f t="shared" ref="C49:L51" si="15">IF(OR(C$25="",$A49=""),"",IF(C$25&gt;$B49,$B49,C$25))</f>
        <v/>
      </c>
      <c r="D49" s="14" t="str">
        <f t="shared" si="15"/>
        <v/>
      </c>
      <c r="E49" s="14" t="str">
        <f t="shared" si="15"/>
        <v/>
      </c>
      <c r="F49" s="14" t="str">
        <f t="shared" si="15"/>
        <v/>
      </c>
      <c r="G49" s="14" t="str">
        <f t="shared" si="15"/>
        <v/>
      </c>
      <c r="H49" s="14" t="str">
        <f t="shared" si="15"/>
        <v/>
      </c>
      <c r="I49" s="14" t="str">
        <f t="shared" si="15"/>
        <v/>
      </c>
      <c r="J49" s="14" t="str">
        <f t="shared" si="15"/>
        <v/>
      </c>
      <c r="K49" s="14" t="str">
        <f t="shared" si="15"/>
        <v/>
      </c>
      <c r="L49" s="14" t="str">
        <f t="shared" si="15"/>
        <v/>
      </c>
    </row>
    <row r="50" spans="1:13" x14ac:dyDescent="0.35">
      <c r="A50" t="str">
        <f t="shared" si="12"/>
        <v/>
      </c>
      <c r="B50" s="44"/>
      <c r="C50" s="14" t="str">
        <f t="shared" si="15"/>
        <v/>
      </c>
      <c r="D50" s="59" t="str">
        <f t="shared" si="15"/>
        <v/>
      </c>
      <c r="E50" s="59" t="str">
        <f t="shared" si="15"/>
        <v/>
      </c>
      <c r="F50" s="59" t="str">
        <f t="shared" si="15"/>
        <v/>
      </c>
      <c r="G50" s="59" t="str">
        <f t="shared" si="15"/>
        <v/>
      </c>
      <c r="H50" s="59" t="str">
        <f t="shared" si="15"/>
        <v/>
      </c>
      <c r="I50" s="59" t="str">
        <f t="shared" si="15"/>
        <v/>
      </c>
      <c r="J50" s="59" t="str">
        <f t="shared" si="15"/>
        <v/>
      </c>
      <c r="K50" s="59" t="str">
        <f t="shared" si="15"/>
        <v/>
      </c>
      <c r="L50" s="59" t="str">
        <f t="shared" si="15"/>
        <v/>
      </c>
    </row>
    <row r="51" spans="1:13" x14ac:dyDescent="0.35">
      <c r="A51" t="str">
        <f t="shared" si="12"/>
        <v/>
      </c>
      <c r="B51" s="44"/>
      <c r="C51" s="14" t="str">
        <f t="shared" si="15"/>
        <v/>
      </c>
      <c r="D51" s="14" t="str">
        <f t="shared" si="15"/>
        <v/>
      </c>
      <c r="E51" s="14" t="str">
        <f t="shared" si="15"/>
        <v/>
      </c>
      <c r="F51" s="14" t="str">
        <f t="shared" si="15"/>
        <v/>
      </c>
      <c r="G51" s="14" t="str">
        <f t="shared" si="15"/>
        <v/>
      </c>
      <c r="H51" s="14" t="str">
        <f t="shared" si="15"/>
        <v/>
      </c>
      <c r="I51" s="14" t="str">
        <f t="shared" si="15"/>
        <v/>
      </c>
      <c r="J51" s="14" t="str">
        <f t="shared" si="15"/>
        <v/>
      </c>
      <c r="K51" s="14" t="str">
        <f t="shared" si="15"/>
        <v/>
      </c>
      <c r="L51" s="14" t="str">
        <f t="shared" si="15"/>
        <v/>
      </c>
    </row>
    <row r="52" spans="1:13" x14ac:dyDescent="0.35">
      <c r="A52" s="1" t="s">
        <v>163</v>
      </c>
      <c r="B52" s="1"/>
      <c r="C52"/>
    </row>
    <row r="53" spans="1:13" x14ac:dyDescent="0.35">
      <c r="A53" t="str">
        <f>IF(A6="","","    To "&amp;A6)</f>
        <v xml:space="preserve">    To Upper Basin</v>
      </c>
      <c r="B53" s="24">
        <v>0</v>
      </c>
      <c r="C53" s="14" t="str">
        <f>IF(OR($A53="",C$25=""),"",IF(C$26&gt;$B53,$B53,C$26))</f>
        <v/>
      </c>
      <c r="D53" s="14" t="str">
        <f t="shared" ref="D53:L53" si="16">IF(OR($A53="",D$25=""),"",IF(D$26&gt;$B53,$B53,D$26))</f>
        <v/>
      </c>
      <c r="E53" s="14" t="str">
        <f t="shared" si="16"/>
        <v/>
      </c>
      <c r="F53" s="14" t="str">
        <f t="shared" si="16"/>
        <v/>
      </c>
      <c r="G53" s="14" t="str">
        <f t="shared" si="16"/>
        <v/>
      </c>
      <c r="H53" s="14" t="str">
        <f t="shared" si="16"/>
        <v/>
      </c>
      <c r="I53" s="14" t="str">
        <f t="shared" si="16"/>
        <v/>
      </c>
      <c r="J53" s="14" t="str">
        <f t="shared" si="16"/>
        <v/>
      </c>
      <c r="K53" s="14" t="str">
        <f t="shared" si="16"/>
        <v/>
      </c>
      <c r="L53" s="14" t="str">
        <f t="shared" si="16"/>
        <v/>
      </c>
    </row>
    <row r="54" spans="1:13" x14ac:dyDescent="0.35">
      <c r="A54" t="str">
        <f t="shared" ref="A54:A58" si="17">IF(A7="","","    To "&amp;A7)</f>
        <v xml:space="preserve">    To Lower Basin</v>
      </c>
      <c r="B54" s="44" t="s">
        <v>164</v>
      </c>
      <c r="C54" s="14" t="str">
        <f>IF(OR(C$25="",$A54=""),"",C$26-SUM(C55:C56))</f>
        <v/>
      </c>
      <c r="D54" s="14" t="str">
        <f t="shared" ref="D54:L54" si="18">IF(OR(D$25="",$A54=""),"",D$26-SUM(D55:D56))</f>
        <v/>
      </c>
      <c r="E54" s="14" t="str">
        <f t="shared" si="18"/>
        <v/>
      </c>
      <c r="F54" s="14" t="str">
        <f t="shared" si="18"/>
        <v/>
      </c>
      <c r="G54" s="14" t="str">
        <f t="shared" si="18"/>
        <v/>
      </c>
      <c r="H54" s="14" t="str">
        <f t="shared" si="18"/>
        <v/>
      </c>
      <c r="I54" s="14" t="str">
        <f t="shared" si="18"/>
        <v/>
      </c>
      <c r="J54" s="14" t="str">
        <f t="shared" si="18"/>
        <v/>
      </c>
      <c r="K54" s="14" t="str">
        <f t="shared" si="18"/>
        <v/>
      </c>
      <c r="L54" s="14" t="str">
        <f t="shared" si="18"/>
        <v/>
      </c>
    </row>
    <row r="55" spans="1:13" x14ac:dyDescent="0.35">
      <c r="A55" t="str">
        <f t="shared" si="17"/>
        <v xml:space="preserve">    To Mexico</v>
      </c>
      <c r="B55" s="44">
        <f>IF(C51="",0.75,C$44/2)</f>
        <v>0.75</v>
      </c>
      <c r="C55" s="14" t="str">
        <f>IF(OR(C$25="",$A55=""),"",C44/2)</f>
        <v/>
      </c>
      <c r="D55" s="14" t="str">
        <f t="shared" ref="D55:L55" si="19">IF(OR(D$25="",$A55=""),"",D44/2)</f>
        <v/>
      </c>
      <c r="E55" s="14" t="str">
        <f t="shared" si="19"/>
        <v/>
      </c>
      <c r="F55" s="14" t="str">
        <f t="shared" si="19"/>
        <v/>
      </c>
      <c r="G55" s="14" t="str">
        <f t="shared" si="19"/>
        <v/>
      </c>
      <c r="H55" s="14" t="str">
        <f t="shared" si="19"/>
        <v/>
      </c>
      <c r="I55" s="14" t="str">
        <f t="shared" si="19"/>
        <v/>
      </c>
      <c r="J55" s="14" t="str">
        <f t="shared" si="19"/>
        <v/>
      </c>
      <c r="K55" s="14" t="str">
        <f t="shared" si="19"/>
        <v/>
      </c>
      <c r="L55" s="14" t="str">
        <f t="shared" si="19"/>
        <v/>
      </c>
    </row>
    <row r="56" spans="1:13" x14ac:dyDescent="0.35">
      <c r="A56" t="str">
        <f t="shared" si="17"/>
        <v xml:space="preserve">    To Mohave &amp; Havasu Evap &amp; ET</v>
      </c>
      <c r="B56" s="44">
        <v>0.6</v>
      </c>
      <c r="C56" s="14" t="str">
        <f>IF(OR($A56="",C$25=""),"",IF(C$26&gt;$B56,$B56,C$26))</f>
        <v/>
      </c>
      <c r="D56" s="14" t="str">
        <f t="shared" ref="D56:L56" si="20">IF(OR($A56="",D$25=""),"",IF(D$26&gt;$B56,$B56,D$26))</f>
        <v/>
      </c>
      <c r="E56" s="14" t="str">
        <f t="shared" si="20"/>
        <v/>
      </c>
      <c r="F56" s="14" t="str">
        <f t="shared" si="20"/>
        <v/>
      </c>
      <c r="G56" s="14" t="str">
        <f t="shared" si="20"/>
        <v/>
      </c>
      <c r="H56" s="14" t="str">
        <f t="shared" si="20"/>
        <v/>
      </c>
      <c r="I56" s="14" t="str">
        <f t="shared" si="20"/>
        <v/>
      </c>
      <c r="J56" s="14" t="str">
        <f t="shared" si="20"/>
        <v/>
      </c>
      <c r="K56" s="14" t="str">
        <f t="shared" si="20"/>
        <v/>
      </c>
      <c r="L56" s="14" t="str">
        <f t="shared" si="20"/>
        <v/>
      </c>
    </row>
    <row r="57" spans="1:13" x14ac:dyDescent="0.35">
      <c r="A57" t="str">
        <f t="shared" si="17"/>
        <v/>
      </c>
      <c r="B57" s="61"/>
      <c r="C57" s="14" t="str">
        <f t="shared" ref="C57:L58" si="21">IF(OR($A57="",C$25=""),"",IF(C$26&gt;$B57,$B57,C$26))</f>
        <v/>
      </c>
      <c r="D57" s="14" t="str">
        <f t="shared" si="21"/>
        <v/>
      </c>
      <c r="E57" s="14" t="str">
        <f t="shared" si="21"/>
        <v/>
      </c>
      <c r="F57" s="14" t="str">
        <f t="shared" si="21"/>
        <v/>
      </c>
      <c r="G57" s="14" t="str">
        <f t="shared" si="21"/>
        <v/>
      </c>
      <c r="H57" s="14" t="str">
        <f t="shared" si="21"/>
        <v/>
      </c>
      <c r="I57" s="14" t="str">
        <f t="shared" si="21"/>
        <v/>
      </c>
      <c r="J57" s="14" t="str">
        <f t="shared" si="21"/>
        <v/>
      </c>
      <c r="K57" s="14" t="str">
        <f t="shared" si="21"/>
        <v/>
      </c>
      <c r="L57" s="14" t="str">
        <f t="shared" si="21"/>
        <v/>
      </c>
    </row>
    <row r="58" spans="1:13" x14ac:dyDescent="0.35">
      <c r="A58" t="str">
        <f t="shared" si="17"/>
        <v/>
      </c>
      <c r="B58" s="44"/>
      <c r="C58" s="14" t="str">
        <f t="shared" si="21"/>
        <v/>
      </c>
      <c r="D58" s="14" t="str">
        <f t="shared" si="21"/>
        <v/>
      </c>
      <c r="E58" s="14" t="str">
        <f t="shared" si="21"/>
        <v/>
      </c>
      <c r="F58" s="14" t="str">
        <f t="shared" si="21"/>
        <v/>
      </c>
      <c r="G58" s="14" t="str">
        <f t="shared" si="21"/>
        <v/>
      </c>
      <c r="H58" s="14" t="str">
        <f t="shared" si="21"/>
        <v/>
      </c>
      <c r="I58" s="14" t="str">
        <f t="shared" si="21"/>
        <v/>
      </c>
      <c r="J58" s="14" t="str">
        <f t="shared" si="21"/>
        <v/>
      </c>
      <c r="K58" s="14" t="str">
        <f t="shared" si="21"/>
        <v/>
      </c>
      <c r="L58" s="14" t="str">
        <f t="shared" si="21"/>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2">IF(A7="","","    "&amp;A7)</f>
        <v xml:space="preserve">    Lower Basin</v>
      </c>
      <c r="B61" s="1"/>
      <c r="C61" s="62"/>
      <c r="D61" s="62"/>
      <c r="E61" s="67"/>
      <c r="F61" s="62"/>
      <c r="G61" s="62"/>
      <c r="H61" s="62"/>
      <c r="I61" s="62"/>
      <c r="J61" s="62"/>
      <c r="K61" s="67"/>
      <c r="L61" s="62"/>
      <c r="M61" s="54">
        <f t="shared" ref="M61:M65" si="23">SUMPRODUCT(C61:L61,C$67:L$67)</f>
        <v>0</v>
      </c>
    </row>
    <row r="62" spans="1:13" x14ac:dyDescent="0.35">
      <c r="A62" t="str">
        <f t="shared" si="22"/>
        <v xml:space="preserve">    Mexico</v>
      </c>
      <c r="B62" s="1"/>
      <c r="C62" s="50"/>
      <c r="D62" s="50"/>
      <c r="E62" s="68"/>
      <c r="F62" s="50"/>
      <c r="G62" s="50"/>
      <c r="H62" s="68"/>
      <c r="I62" s="50"/>
      <c r="J62" s="50"/>
      <c r="K62" s="68"/>
      <c r="L62" s="50"/>
      <c r="M62" s="54">
        <f t="shared" si="23"/>
        <v>0</v>
      </c>
    </row>
    <row r="63" spans="1:13" x14ac:dyDescent="0.35">
      <c r="A63" t="str">
        <f t="shared" si="22"/>
        <v xml:space="preserve">    Mohave &amp; Havasu Evap &amp; ET</v>
      </c>
      <c r="B63" s="1"/>
      <c r="C63" s="50"/>
      <c r="D63" s="50"/>
      <c r="E63" s="68"/>
      <c r="F63" s="50"/>
      <c r="G63" s="50"/>
      <c r="H63" s="68"/>
      <c r="I63" s="50"/>
      <c r="J63" s="50"/>
      <c r="K63" s="68"/>
      <c r="L63" s="50"/>
      <c r="M63" s="54">
        <f t="shared" si="23"/>
        <v>0</v>
      </c>
    </row>
    <row r="64" spans="1:13" x14ac:dyDescent="0.35">
      <c r="A64" t="str">
        <f t="shared" si="22"/>
        <v/>
      </c>
      <c r="B64" s="1"/>
      <c r="C64" s="50"/>
      <c r="D64" s="50"/>
      <c r="E64" s="68"/>
      <c r="F64" s="50"/>
      <c r="G64" s="50"/>
      <c r="H64" s="68"/>
      <c r="I64" s="50"/>
      <c r="J64" s="50"/>
      <c r="K64" s="68"/>
      <c r="L64" s="50"/>
      <c r="M64" s="54">
        <f t="shared" si="23"/>
        <v>0</v>
      </c>
    </row>
    <row r="65" spans="1:21" x14ac:dyDescent="0.35">
      <c r="A65" t="str">
        <f t="shared" si="22"/>
        <v/>
      </c>
      <c r="B65" s="1"/>
      <c r="C65" s="50"/>
      <c r="D65" s="50"/>
      <c r="E65" s="50"/>
      <c r="F65" s="50"/>
      <c r="G65" s="50"/>
      <c r="H65" s="50"/>
      <c r="I65" s="50"/>
      <c r="J65" s="50"/>
      <c r="K65" s="50"/>
      <c r="L65" s="50"/>
      <c r="M65" s="54">
        <f t="shared" si="23"/>
        <v>0</v>
      </c>
    </row>
    <row r="66" spans="1:21" x14ac:dyDescent="0.35">
      <c r="A66" t="s">
        <v>159</v>
      </c>
      <c r="B66" s="1"/>
      <c r="C66" s="53" t="str">
        <f>IF(C$25&lt;&gt;"",SUM(C60:C65),"")</f>
        <v/>
      </c>
      <c r="D66" s="53" t="str">
        <f t="shared" ref="D66:L66" si="24">IF(D$25&lt;&gt;"",SUM(D60:D65),"")</f>
        <v/>
      </c>
      <c r="E66" s="53" t="str">
        <f t="shared" si="24"/>
        <v/>
      </c>
      <c r="F66" s="53" t="str">
        <f t="shared" si="24"/>
        <v/>
      </c>
      <c r="G66" s="53" t="str">
        <f t="shared" si="24"/>
        <v/>
      </c>
      <c r="H66" s="53" t="str">
        <f t="shared" si="24"/>
        <v/>
      </c>
      <c r="I66" s="53" t="str">
        <f t="shared" si="24"/>
        <v/>
      </c>
      <c r="J66" s="53" t="str">
        <f t="shared" si="24"/>
        <v/>
      </c>
      <c r="K66" s="53" t="str">
        <f t="shared" si="24"/>
        <v/>
      </c>
      <c r="L66" s="53" t="str">
        <f t="shared" si="24"/>
        <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t="str">
        <f>IF(OR(C$25="",$A69=""),"",C28+C46+C53-C38-C60)</f>
        <v/>
      </c>
      <c r="D69" s="14" t="str">
        <f t="shared" ref="D69:L69" si="25">IF(OR(D$25="",$A69=""),"",D28+D46+D53-D38-D60)</f>
        <v/>
      </c>
      <c r="E69" s="14" t="str">
        <f t="shared" si="25"/>
        <v/>
      </c>
      <c r="F69" s="14" t="str">
        <f t="shared" si="25"/>
        <v/>
      </c>
      <c r="G69" s="14" t="str">
        <f t="shared" si="25"/>
        <v/>
      </c>
      <c r="H69" s="14" t="str">
        <f t="shared" si="25"/>
        <v/>
      </c>
      <c r="I69" s="14" t="str">
        <f t="shared" si="25"/>
        <v/>
      </c>
      <c r="J69" s="14" t="str">
        <f t="shared" si="25"/>
        <v/>
      </c>
      <c r="K69" s="14" t="str">
        <f t="shared" si="25"/>
        <v/>
      </c>
      <c r="L69" s="14" t="str">
        <f t="shared" si="25"/>
        <v/>
      </c>
    </row>
    <row r="70" spans="1:21" x14ac:dyDescent="0.35">
      <c r="A70" t="str">
        <f t="shared" ref="A70:A74" si="26">IF(A7="","","    "&amp;A7)</f>
        <v xml:space="preserve">    Lower Basin</v>
      </c>
      <c r="C70" s="14" t="str">
        <f t="shared" ref="C70:L74" si="27">IF(OR(C$25="",$A70=""),"",C29+C47+C54-C39-C61)</f>
        <v/>
      </c>
      <c r="D70" s="14" t="str">
        <f t="shared" si="27"/>
        <v/>
      </c>
      <c r="E70" s="14" t="str">
        <f t="shared" si="27"/>
        <v/>
      </c>
      <c r="F70" s="14" t="str">
        <f t="shared" si="27"/>
        <v/>
      </c>
      <c r="G70" s="14" t="str">
        <f t="shared" si="27"/>
        <v/>
      </c>
      <c r="H70" s="14" t="str">
        <f t="shared" si="27"/>
        <v/>
      </c>
      <c r="I70" s="14" t="str">
        <f t="shared" si="27"/>
        <v/>
      </c>
      <c r="J70" s="14" t="str">
        <f t="shared" si="27"/>
        <v/>
      </c>
      <c r="K70" s="14" t="str">
        <f t="shared" si="27"/>
        <v/>
      </c>
      <c r="L70" s="14" t="str">
        <f t="shared" si="27"/>
        <v/>
      </c>
    </row>
    <row r="71" spans="1:21" x14ac:dyDescent="0.35">
      <c r="A71" t="str">
        <f t="shared" si="26"/>
        <v xml:space="preserve">    Mexico</v>
      </c>
      <c r="C71" s="60" t="str">
        <f t="shared" si="27"/>
        <v/>
      </c>
      <c r="D71" s="14" t="str">
        <f t="shared" si="27"/>
        <v/>
      </c>
      <c r="E71" s="14" t="str">
        <f t="shared" si="27"/>
        <v/>
      </c>
      <c r="F71" s="14" t="str">
        <f t="shared" si="27"/>
        <v/>
      </c>
      <c r="G71" s="14" t="str">
        <f t="shared" si="27"/>
        <v/>
      </c>
      <c r="H71" s="14" t="str">
        <f t="shared" si="27"/>
        <v/>
      </c>
      <c r="I71" s="14" t="str">
        <f t="shared" si="27"/>
        <v/>
      </c>
      <c r="J71" s="14" t="str">
        <f t="shared" si="27"/>
        <v/>
      </c>
      <c r="K71" s="14" t="str">
        <f t="shared" si="27"/>
        <v/>
      </c>
      <c r="L71" s="14" t="str">
        <f t="shared" si="27"/>
        <v/>
      </c>
    </row>
    <row r="72" spans="1:21" x14ac:dyDescent="0.35">
      <c r="A72" t="str">
        <f t="shared" si="26"/>
        <v xml:space="preserve">    Mohave &amp; Havasu Evap &amp; ET</v>
      </c>
      <c r="C72" s="14" t="str">
        <f t="shared" si="27"/>
        <v/>
      </c>
      <c r="D72" s="14" t="str">
        <f t="shared" si="27"/>
        <v/>
      </c>
      <c r="E72" s="14" t="str">
        <f t="shared" si="27"/>
        <v/>
      </c>
      <c r="F72" s="14" t="str">
        <f t="shared" si="27"/>
        <v/>
      </c>
      <c r="G72" s="14" t="str">
        <f t="shared" si="27"/>
        <v/>
      </c>
      <c r="H72" s="14" t="str">
        <f t="shared" si="27"/>
        <v/>
      </c>
      <c r="I72" s="14" t="str">
        <f t="shared" si="27"/>
        <v/>
      </c>
      <c r="J72" s="14" t="str">
        <f t="shared" si="27"/>
        <v/>
      </c>
      <c r="K72" s="14" t="str">
        <f t="shared" si="27"/>
        <v/>
      </c>
      <c r="L72" s="14" t="str">
        <f t="shared" si="27"/>
        <v/>
      </c>
    </row>
    <row r="73" spans="1:21" x14ac:dyDescent="0.35">
      <c r="A73" t="str">
        <f t="shared" si="26"/>
        <v/>
      </c>
      <c r="C73" s="60" t="str">
        <f t="shared" si="27"/>
        <v/>
      </c>
      <c r="D73" s="60" t="str">
        <f t="shared" si="27"/>
        <v/>
      </c>
      <c r="E73" s="60" t="str">
        <f t="shared" si="27"/>
        <v/>
      </c>
      <c r="F73" s="60" t="str">
        <f t="shared" si="27"/>
        <v/>
      </c>
      <c r="G73" s="60" t="str">
        <f t="shared" si="27"/>
        <v/>
      </c>
      <c r="H73" s="60" t="str">
        <f t="shared" si="27"/>
        <v/>
      </c>
      <c r="I73" s="60" t="str">
        <f t="shared" si="27"/>
        <v/>
      </c>
      <c r="J73" s="60" t="str">
        <f t="shared" si="27"/>
        <v/>
      </c>
      <c r="K73" s="60" t="str">
        <f t="shared" si="27"/>
        <v/>
      </c>
      <c r="L73" s="60" t="str">
        <f t="shared" si="27"/>
        <v/>
      </c>
    </row>
    <row r="74" spans="1:21" x14ac:dyDescent="0.35">
      <c r="A74" t="str">
        <f t="shared" si="26"/>
        <v/>
      </c>
      <c r="C74" s="14" t="str">
        <f t="shared" si="27"/>
        <v/>
      </c>
      <c r="D74" s="14" t="str">
        <f t="shared" si="27"/>
        <v/>
      </c>
      <c r="E74" s="14" t="str">
        <f t="shared" si="27"/>
        <v/>
      </c>
      <c r="F74" s="14" t="str">
        <f t="shared" si="27"/>
        <v/>
      </c>
      <c r="G74" s="14" t="str">
        <f t="shared" si="27"/>
        <v/>
      </c>
      <c r="H74" s="14" t="str">
        <f t="shared" si="27"/>
        <v/>
      </c>
      <c r="I74" s="14" t="str">
        <f t="shared" si="27"/>
        <v/>
      </c>
      <c r="J74" s="14" t="str">
        <f t="shared" si="27"/>
        <v/>
      </c>
      <c r="K74" s="14" t="str">
        <f t="shared" si="27"/>
        <v/>
      </c>
      <c r="L74" s="14" t="str">
        <f t="shared" si="27"/>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c r="D76" s="43"/>
      <c r="E76" s="43"/>
      <c r="F76" s="43"/>
      <c r="G76" s="43"/>
      <c r="H76" s="43"/>
      <c r="I76" s="43"/>
      <c r="J76" s="43"/>
      <c r="K76" s="43"/>
      <c r="L76" s="43"/>
      <c r="N76" s="1" t="s">
        <v>129</v>
      </c>
    </row>
    <row r="77" spans="1:21" x14ac:dyDescent="0.35">
      <c r="A77" t="str">
        <f>IF(A7="","","    "&amp;A7&amp;" - Release from Mead")</f>
        <v xml:space="preserve">    Lower Basin - Release from Mead</v>
      </c>
      <c r="C77" s="43"/>
      <c r="D77" s="43"/>
      <c r="E77" s="43"/>
      <c r="F77" s="43"/>
      <c r="G77" s="43"/>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28">IF(A8="","","    "&amp;A8&amp;" - Release from Mead")</f>
        <v xml:space="preserve">    Mexico - Release from Mead</v>
      </c>
      <c r="C78" s="50"/>
      <c r="D78" s="50"/>
      <c r="E78" s="50"/>
      <c r="F78" s="50"/>
      <c r="G78" s="50"/>
      <c r="H78" s="50"/>
      <c r="I78" s="50"/>
      <c r="J78" s="50"/>
      <c r="K78" s="50"/>
      <c r="L78" s="50"/>
      <c r="N78" s="39">
        <v>1025</v>
      </c>
      <c r="O78" s="40">
        <v>5.981122</v>
      </c>
      <c r="P78" s="41">
        <f>S78-Q78</f>
        <v>1.2000000000000002</v>
      </c>
      <c r="Q78" s="49">
        <v>0.15</v>
      </c>
      <c r="R78" s="41">
        <v>1.325</v>
      </c>
      <c r="S78" s="49">
        <f t="shared" ref="S78:S85" si="29">U78/1000000</f>
        <v>1.35</v>
      </c>
      <c r="T78" s="42">
        <v>0.125</v>
      </c>
      <c r="U78" s="52">
        <v>1350000</v>
      </c>
    </row>
    <row r="79" spans="1:21" x14ac:dyDescent="0.35">
      <c r="A79" t="str">
        <f t="shared" si="28"/>
        <v xml:space="preserve">    Mohave &amp; Havasu Evap &amp; ET - Release from Mead</v>
      </c>
      <c r="C79" s="43"/>
      <c r="D79" s="43"/>
      <c r="E79" s="43"/>
      <c r="F79" s="43"/>
      <c r="G79" s="43"/>
      <c r="H79" s="43"/>
      <c r="I79" s="43"/>
      <c r="J79" s="43"/>
      <c r="K79" s="43"/>
      <c r="L79" s="43"/>
      <c r="N79" s="39">
        <v>1030</v>
      </c>
      <c r="O79" s="40">
        <v>6.305377</v>
      </c>
      <c r="P79" s="41">
        <f t="shared" ref="P79:P85" si="30">S79-Q79</f>
        <v>1.117</v>
      </c>
      <c r="Q79" s="49">
        <v>0.10100000000000001</v>
      </c>
      <c r="R79" s="41">
        <v>1.1870000000000001</v>
      </c>
      <c r="S79" s="41">
        <f t="shared" si="29"/>
        <v>1.218</v>
      </c>
      <c r="T79" s="42">
        <v>7.0000000000000007E-2</v>
      </c>
      <c r="U79" s="52">
        <v>1218000</v>
      </c>
    </row>
    <row r="80" spans="1:21" x14ac:dyDescent="0.35">
      <c r="A80" t="str">
        <f t="shared" si="28"/>
        <v/>
      </c>
      <c r="C80" s="68"/>
      <c r="D80" s="68"/>
      <c r="E80" s="50" t="str">
        <f>E73</f>
        <v/>
      </c>
      <c r="F80" s="50"/>
      <c r="G80" s="50"/>
      <c r="H80" s="50" t="str">
        <f>H73</f>
        <v/>
      </c>
      <c r="I80" s="50"/>
      <c r="J80" s="50"/>
      <c r="K80" s="50" t="str">
        <f>K73</f>
        <v/>
      </c>
      <c r="L80" s="50"/>
      <c r="N80" s="39">
        <v>1035</v>
      </c>
      <c r="O80" s="40">
        <v>6.6375080000000004</v>
      </c>
      <c r="P80" s="41">
        <f t="shared" si="30"/>
        <v>1.0669999999999999</v>
      </c>
      <c r="Q80" s="49">
        <v>9.1999999999999998E-2</v>
      </c>
      <c r="R80" s="41">
        <v>1.137</v>
      </c>
      <c r="S80" s="41">
        <f t="shared" si="29"/>
        <v>1.159</v>
      </c>
      <c r="T80" s="42">
        <v>7.0000000000000007E-2</v>
      </c>
      <c r="U80" s="52">
        <v>1159000</v>
      </c>
    </row>
    <row r="81" spans="1:21" x14ac:dyDescent="0.35">
      <c r="A81" t="str">
        <f t="shared" si="28"/>
        <v/>
      </c>
      <c r="C81" s="43"/>
      <c r="D81" s="43"/>
      <c r="E81" s="43"/>
      <c r="F81" s="43"/>
      <c r="G81" s="43"/>
      <c r="H81" s="43"/>
      <c r="I81" s="43"/>
      <c r="J81" s="43"/>
      <c r="K81" s="43"/>
      <c r="L81" s="43"/>
      <c r="N81" s="39">
        <v>1040</v>
      </c>
      <c r="O81" s="40">
        <v>6.977665</v>
      </c>
      <c r="P81" s="41">
        <f t="shared" si="30"/>
        <v>1.0169999999999999</v>
      </c>
      <c r="Q81" s="49">
        <v>8.4000000000000005E-2</v>
      </c>
      <c r="R81" s="41">
        <v>1.087</v>
      </c>
      <c r="S81" s="41">
        <f t="shared" si="29"/>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0"/>
        <v>0.96699999999999997</v>
      </c>
      <c r="Q82" s="49">
        <v>7.5999999999999998E-2</v>
      </c>
      <c r="R82" s="41">
        <v>1.0369999999999999</v>
      </c>
      <c r="S82" s="41">
        <f t="shared" si="29"/>
        <v>1.0429999999999999</v>
      </c>
      <c r="T82" s="42">
        <v>7.0000000000000007E-2</v>
      </c>
      <c r="U82" s="52">
        <v>1043000</v>
      </c>
    </row>
    <row r="83" spans="1:21" x14ac:dyDescent="0.35">
      <c r="A83" t="str">
        <f>IF(A6="","","    "&amp;A6)</f>
        <v xml:space="preserve">    Upper Basin</v>
      </c>
      <c r="C83" s="14" t="str">
        <f>IF(OR(C$25="",$A83=""),"",C69-C76)</f>
        <v/>
      </c>
      <c r="D83" s="14" t="str">
        <f t="shared" ref="D83:L83" si="31">IF(OR(D$25="",$A83=""),"",D69-D76)</f>
        <v/>
      </c>
      <c r="E83" s="14" t="str">
        <f t="shared" si="31"/>
        <v/>
      </c>
      <c r="F83" s="14" t="str">
        <f t="shared" si="31"/>
        <v/>
      </c>
      <c r="G83" s="14" t="str">
        <f t="shared" si="31"/>
        <v/>
      </c>
      <c r="H83" s="14" t="str">
        <f t="shared" si="31"/>
        <v/>
      </c>
      <c r="I83" s="14" t="str">
        <f t="shared" si="31"/>
        <v/>
      </c>
      <c r="J83" s="14" t="str">
        <f t="shared" si="31"/>
        <v/>
      </c>
      <c r="K83" s="14" t="str">
        <f t="shared" si="31"/>
        <v/>
      </c>
      <c r="L83" s="14" t="str">
        <f t="shared" si="31"/>
        <v/>
      </c>
      <c r="N83" s="39">
        <v>1050</v>
      </c>
      <c r="O83" s="40">
        <v>7.6828779999999997</v>
      </c>
      <c r="P83" s="41">
        <f t="shared" si="30"/>
        <v>0.71699999999999997</v>
      </c>
      <c r="Q83" s="49">
        <v>3.4000000000000002E-2</v>
      </c>
      <c r="R83" s="41">
        <v>0.78700000000000003</v>
      </c>
      <c r="S83" s="41">
        <f t="shared" si="29"/>
        <v>0.751</v>
      </c>
      <c r="T83" s="42">
        <v>7.0000000000000007E-2</v>
      </c>
      <c r="U83" s="52">
        <v>751000</v>
      </c>
    </row>
    <row r="84" spans="1:21" x14ac:dyDescent="0.35">
      <c r="A84" t="str">
        <f t="shared" ref="A84:A88" si="32">IF(A7="","","    "&amp;A7)</f>
        <v xml:space="preserve">    Lower Basin</v>
      </c>
      <c r="C84" s="14" t="str">
        <f t="shared" ref="C84:L88" si="33">IF(OR(C$25="",$A84=""),"",C70-C77)</f>
        <v/>
      </c>
      <c r="D84" s="14" t="str">
        <f t="shared" si="33"/>
        <v/>
      </c>
      <c r="E84" s="14" t="str">
        <f t="shared" si="33"/>
        <v/>
      </c>
      <c r="F84" s="14" t="str">
        <f t="shared" si="33"/>
        <v/>
      </c>
      <c r="G84" s="14" t="str">
        <f t="shared" si="33"/>
        <v/>
      </c>
      <c r="H84" s="14" t="str">
        <f t="shared" si="33"/>
        <v/>
      </c>
      <c r="I84" s="14" t="str">
        <f t="shared" si="33"/>
        <v/>
      </c>
      <c r="J84" s="14" t="str">
        <f t="shared" si="33"/>
        <v/>
      </c>
      <c r="K84" s="14" t="str">
        <f t="shared" si="33"/>
        <v/>
      </c>
      <c r="L84" s="14" t="str">
        <f t="shared" si="33"/>
        <v/>
      </c>
      <c r="N84" s="39">
        <v>1075</v>
      </c>
      <c r="O84" s="40">
        <v>9.6009879999900001</v>
      </c>
      <c r="P84" s="41">
        <f t="shared" si="30"/>
        <v>0.63300000000000001</v>
      </c>
      <c r="Q84" s="49">
        <v>0.03</v>
      </c>
      <c r="R84" s="41">
        <v>0.68300000000000005</v>
      </c>
      <c r="S84" s="41">
        <f t="shared" si="29"/>
        <v>0.66300000000000003</v>
      </c>
      <c r="T84" s="42">
        <v>0.05</v>
      </c>
      <c r="U84" s="52">
        <v>663000</v>
      </c>
    </row>
    <row r="85" spans="1:21" x14ac:dyDescent="0.35">
      <c r="A85" t="str">
        <f t="shared" si="32"/>
        <v xml:space="preserve">    Mexico</v>
      </c>
      <c r="C85" s="14" t="str">
        <f t="shared" si="33"/>
        <v/>
      </c>
      <c r="D85" s="14" t="str">
        <f t="shared" si="33"/>
        <v/>
      </c>
      <c r="E85" s="14" t="str">
        <f t="shared" si="33"/>
        <v/>
      </c>
      <c r="F85" s="14" t="str">
        <f t="shared" si="33"/>
        <v/>
      </c>
      <c r="G85" s="14" t="str">
        <f t="shared" si="33"/>
        <v/>
      </c>
      <c r="H85" s="14" t="str">
        <f t="shared" si="33"/>
        <v/>
      </c>
      <c r="I85" s="14" t="str">
        <f t="shared" si="33"/>
        <v/>
      </c>
      <c r="J85" s="14" t="str">
        <f t="shared" si="33"/>
        <v/>
      </c>
      <c r="K85" s="14" t="str">
        <f t="shared" si="33"/>
        <v/>
      </c>
      <c r="L85" s="14" t="str">
        <f t="shared" si="33"/>
        <v/>
      </c>
      <c r="N85" s="39">
        <v>1090</v>
      </c>
      <c r="O85" s="40">
        <v>10.857008</v>
      </c>
      <c r="P85" s="41">
        <f t="shared" si="30"/>
        <v>0.30000000000000004</v>
      </c>
      <c r="Q85" s="49">
        <v>4.1000000000000002E-2</v>
      </c>
      <c r="R85" s="41">
        <v>0.3</v>
      </c>
      <c r="S85" s="41">
        <f t="shared" si="29"/>
        <v>0.34100000000000003</v>
      </c>
      <c r="T85" s="38"/>
      <c r="U85" s="52">
        <v>341000</v>
      </c>
    </row>
    <row r="86" spans="1:21" x14ac:dyDescent="0.35">
      <c r="A86" t="str">
        <f t="shared" si="32"/>
        <v xml:space="preserve">    Mohave &amp; Havasu Evap &amp; ET</v>
      </c>
      <c r="C86" s="14" t="str">
        <f t="shared" si="33"/>
        <v/>
      </c>
      <c r="D86" s="14" t="str">
        <f t="shared" si="33"/>
        <v/>
      </c>
      <c r="E86" s="14" t="str">
        <f t="shared" si="33"/>
        <v/>
      </c>
      <c r="F86" s="14" t="str">
        <f t="shared" si="33"/>
        <v/>
      </c>
      <c r="G86" s="14" t="str">
        <f t="shared" si="33"/>
        <v/>
      </c>
      <c r="H86" s="14" t="str">
        <f t="shared" si="33"/>
        <v/>
      </c>
      <c r="I86" s="14" t="str">
        <f t="shared" si="33"/>
        <v/>
      </c>
      <c r="J86" s="14" t="str">
        <f t="shared" si="33"/>
        <v/>
      </c>
      <c r="K86" s="14" t="str">
        <f t="shared" si="33"/>
        <v/>
      </c>
      <c r="L86" s="14" t="str">
        <f t="shared" si="33"/>
        <v/>
      </c>
    </row>
    <row r="87" spans="1:21" x14ac:dyDescent="0.35">
      <c r="A87" t="str">
        <f t="shared" si="32"/>
        <v/>
      </c>
      <c r="C87" s="59" t="str">
        <f>IF(OR(C$25="",$A87=""),"",C73-C80)</f>
        <v/>
      </c>
      <c r="D87" s="59" t="str">
        <f t="shared" si="33"/>
        <v/>
      </c>
      <c r="E87" s="59" t="str">
        <f t="shared" si="33"/>
        <v/>
      </c>
      <c r="F87" s="59" t="str">
        <f t="shared" si="33"/>
        <v/>
      </c>
      <c r="G87" s="59" t="str">
        <f t="shared" si="33"/>
        <v/>
      </c>
      <c r="H87" s="59" t="str">
        <f t="shared" si="33"/>
        <v/>
      </c>
      <c r="I87" s="59" t="str">
        <f t="shared" si="33"/>
        <v/>
      </c>
      <c r="J87" s="59" t="str">
        <f t="shared" si="33"/>
        <v/>
      </c>
      <c r="K87" s="59" t="str">
        <f t="shared" si="33"/>
        <v/>
      </c>
      <c r="L87" s="59" t="str">
        <f t="shared" si="33"/>
        <v/>
      </c>
    </row>
    <row r="88" spans="1:21" x14ac:dyDescent="0.35">
      <c r="A88" t="str">
        <f t="shared" si="32"/>
        <v/>
      </c>
      <c r="C88" s="14" t="str">
        <f t="shared" si="33"/>
        <v/>
      </c>
      <c r="D88" s="14" t="str">
        <f t="shared" si="33"/>
        <v/>
      </c>
      <c r="E88" s="14" t="str">
        <f t="shared" si="33"/>
        <v/>
      </c>
      <c r="F88" s="14" t="str">
        <f t="shared" si="33"/>
        <v/>
      </c>
      <c r="G88" s="14" t="str">
        <f t="shared" si="33"/>
        <v/>
      </c>
      <c r="H88" s="14" t="str">
        <f t="shared" si="33"/>
        <v/>
      </c>
      <c r="I88" s="14" t="str">
        <f t="shared" si="33"/>
        <v/>
      </c>
      <c r="J88" s="14" t="str">
        <f t="shared" si="33"/>
        <v/>
      </c>
      <c r="K88" s="14" t="str">
        <f t="shared" si="33"/>
        <v/>
      </c>
      <c r="L88" s="14" t="str">
        <f t="shared" si="33"/>
        <v/>
      </c>
    </row>
    <row r="89" spans="1:21" x14ac:dyDescent="0.35">
      <c r="A89" s="1" t="s">
        <v>125</v>
      </c>
      <c r="B89" s="1"/>
      <c r="C89" s="14" t="str">
        <f>IF(C$25&lt;&gt;"",SUM(C83:C88),"")</f>
        <v/>
      </c>
      <c r="D89" s="14" t="str">
        <f t="shared" ref="D89:L89" si="34">IF(D$25&lt;&gt;"",SUM(D83:D88),"")</f>
        <v/>
      </c>
      <c r="E89" s="14" t="str">
        <f t="shared" si="34"/>
        <v/>
      </c>
      <c r="F89" s="14" t="str">
        <f t="shared" si="34"/>
        <v/>
      </c>
      <c r="G89" s="14" t="str">
        <f t="shared" si="34"/>
        <v/>
      </c>
      <c r="H89" s="14" t="str">
        <f t="shared" si="34"/>
        <v/>
      </c>
      <c r="I89" s="14" t="str">
        <f t="shared" si="34"/>
        <v/>
      </c>
      <c r="J89" s="14" t="str">
        <f t="shared" si="34"/>
        <v/>
      </c>
      <c r="K89" s="14" t="str">
        <f t="shared" si="34"/>
        <v/>
      </c>
      <c r="L89" s="14" t="str">
        <f t="shared" si="34"/>
        <v/>
      </c>
    </row>
    <row r="90" spans="1:21" x14ac:dyDescent="0.35">
      <c r="A90" s="1" t="s">
        <v>147</v>
      </c>
      <c r="B90" s="1"/>
      <c r="C90" s="14" t="str">
        <f>IF(C25&lt;&gt;"",C35+C25-C38-C76-C89*$B$35,"")</f>
        <v/>
      </c>
      <c r="D90" s="14" t="str">
        <f t="shared" ref="D90:L90" si="35">IF(D25&lt;&gt;"",D35+D25-D38-D76-D89*$B$35,"")</f>
        <v/>
      </c>
      <c r="E90" s="14" t="str">
        <f t="shared" si="35"/>
        <v/>
      </c>
      <c r="F90" s="14" t="str">
        <f t="shared" si="35"/>
        <v/>
      </c>
      <c r="G90" s="14" t="str">
        <f t="shared" si="35"/>
        <v/>
      </c>
      <c r="H90" s="14" t="str">
        <f t="shared" si="35"/>
        <v/>
      </c>
      <c r="I90" s="14" t="str">
        <f t="shared" si="35"/>
        <v/>
      </c>
      <c r="J90" s="14" t="str">
        <f t="shared" si="35"/>
        <v/>
      </c>
      <c r="K90" s="14" t="str">
        <f t="shared" si="35"/>
        <v/>
      </c>
      <c r="L90" s="14" t="str">
        <f t="shared" si="35"/>
        <v/>
      </c>
    </row>
    <row r="92" spans="1:21" x14ac:dyDescent="0.35">
      <c r="A92" s="1" t="s">
        <v>127</v>
      </c>
      <c r="C92" s="12" t="str">
        <f>IF(C$25&lt;&gt;"",0.2,"")</f>
        <v/>
      </c>
      <c r="D92" s="12" t="str">
        <f t="shared" ref="D92:L92" si="36">IF(D$25&lt;&gt;"",0.2,"")</f>
        <v/>
      </c>
      <c r="E92" s="12" t="str">
        <f t="shared" si="36"/>
        <v/>
      </c>
      <c r="F92" s="12" t="str">
        <f t="shared" si="36"/>
        <v/>
      </c>
      <c r="G92" s="12" t="str">
        <f t="shared" si="36"/>
        <v/>
      </c>
      <c r="H92" s="12" t="str">
        <f t="shared" si="36"/>
        <v/>
      </c>
      <c r="I92" s="12" t="str">
        <f t="shared" si="36"/>
        <v/>
      </c>
      <c r="J92" s="12" t="str">
        <f t="shared" si="36"/>
        <v/>
      </c>
      <c r="K92" s="12" t="str">
        <f t="shared" si="36"/>
        <v/>
      </c>
      <c r="L92" s="12" t="str">
        <f t="shared" si="36"/>
        <v/>
      </c>
    </row>
    <row r="93" spans="1:21" x14ac:dyDescent="0.35">
      <c r="A93" t="s">
        <v>128</v>
      </c>
      <c r="C93" s="14" t="str">
        <f t="shared" ref="C93:L93" si="37">IF(C$25&lt;&gt;"",C77+C92,"")</f>
        <v/>
      </c>
      <c r="D93" s="14" t="str">
        <f t="shared" si="37"/>
        <v/>
      </c>
      <c r="E93" s="14" t="str">
        <f t="shared" si="37"/>
        <v/>
      </c>
      <c r="F93" s="14" t="str">
        <f t="shared" si="37"/>
        <v/>
      </c>
      <c r="G93" s="14" t="str">
        <f t="shared" si="37"/>
        <v/>
      </c>
      <c r="H93" s="14" t="str">
        <f t="shared" si="37"/>
        <v/>
      </c>
      <c r="I93" s="14" t="str">
        <f t="shared" si="37"/>
        <v/>
      </c>
      <c r="J93" s="14" t="str">
        <f t="shared" si="37"/>
        <v/>
      </c>
      <c r="K93" s="14" t="str">
        <f t="shared" si="37"/>
        <v/>
      </c>
      <c r="L93" s="14" t="str">
        <f t="shared" si="37"/>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432" priority="60" operator="greaterThan">
      <formula>$C$69</formula>
    </cfRule>
  </conditionalFormatting>
  <conditionalFormatting sqref="C77">
    <cfRule type="cellIs" dxfId="431" priority="59" operator="greaterThan">
      <formula>$C$70</formula>
    </cfRule>
  </conditionalFormatting>
  <conditionalFormatting sqref="C78">
    <cfRule type="cellIs" dxfId="430" priority="58" operator="greaterThan">
      <formula>$C$71</formula>
    </cfRule>
  </conditionalFormatting>
  <conditionalFormatting sqref="C79">
    <cfRule type="cellIs" dxfId="429" priority="57" operator="greaterThan">
      <formula>$C$72</formula>
    </cfRule>
  </conditionalFormatting>
  <conditionalFormatting sqref="C80">
    <cfRule type="cellIs" dxfId="428" priority="56" operator="greaterThan">
      <formula>$C$73</formula>
    </cfRule>
  </conditionalFormatting>
  <conditionalFormatting sqref="C81">
    <cfRule type="cellIs" dxfId="427" priority="55" operator="greaterThan">
      <formula>$C$74</formula>
    </cfRule>
  </conditionalFormatting>
  <conditionalFormatting sqref="D76">
    <cfRule type="cellIs" dxfId="426" priority="54" operator="greaterThan">
      <formula>$D$69</formula>
    </cfRule>
  </conditionalFormatting>
  <conditionalFormatting sqref="D77">
    <cfRule type="cellIs" dxfId="425" priority="53" operator="greaterThan">
      <formula>$D$70</formula>
    </cfRule>
  </conditionalFormatting>
  <conditionalFormatting sqref="D78">
    <cfRule type="cellIs" dxfId="424" priority="52" operator="greaterThan">
      <formula>$D$71</formula>
    </cfRule>
  </conditionalFormatting>
  <conditionalFormatting sqref="D79">
    <cfRule type="cellIs" dxfId="423" priority="51" operator="greaterThan">
      <formula>$D$72</formula>
    </cfRule>
  </conditionalFormatting>
  <conditionalFormatting sqref="D80">
    <cfRule type="cellIs" dxfId="422" priority="50" operator="greaterThan">
      <formula>$D$73</formula>
    </cfRule>
  </conditionalFormatting>
  <conditionalFormatting sqref="D81">
    <cfRule type="cellIs" dxfId="421" priority="49" operator="greaterThan">
      <formula>$D$74</formula>
    </cfRule>
  </conditionalFormatting>
  <conditionalFormatting sqref="E76">
    <cfRule type="cellIs" dxfId="420" priority="48" operator="greaterThan">
      <formula>$E$69</formula>
    </cfRule>
  </conditionalFormatting>
  <conditionalFormatting sqref="E77">
    <cfRule type="cellIs" dxfId="419" priority="47" operator="greaterThan">
      <formula>$E$70</formula>
    </cfRule>
  </conditionalFormatting>
  <conditionalFormatting sqref="E78">
    <cfRule type="cellIs" dxfId="418" priority="46" operator="greaterThan">
      <formula>$E$71</formula>
    </cfRule>
  </conditionalFormatting>
  <conditionalFormatting sqref="E79">
    <cfRule type="cellIs" dxfId="417" priority="45" operator="greaterThan">
      <formula>$E$72</formula>
    </cfRule>
  </conditionalFormatting>
  <conditionalFormatting sqref="E80">
    <cfRule type="cellIs" dxfId="416" priority="44" operator="greaterThan">
      <formula>$E$73</formula>
    </cfRule>
  </conditionalFormatting>
  <conditionalFormatting sqref="E81">
    <cfRule type="cellIs" dxfId="415" priority="43" operator="greaterThan">
      <formula>$E$74</formula>
    </cfRule>
  </conditionalFormatting>
  <conditionalFormatting sqref="F76">
    <cfRule type="cellIs" dxfId="414" priority="42" operator="greaterThan">
      <formula>$F$69</formula>
    </cfRule>
  </conditionalFormatting>
  <conditionalFormatting sqref="F77">
    <cfRule type="cellIs" dxfId="413" priority="41" operator="greaterThan">
      <formula>$F$70</formula>
    </cfRule>
  </conditionalFormatting>
  <conditionalFormatting sqref="F78">
    <cfRule type="cellIs" dxfId="412" priority="40" operator="greaterThan">
      <formula>$F$71</formula>
    </cfRule>
  </conditionalFormatting>
  <conditionalFormatting sqref="F79">
    <cfRule type="cellIs" dxfId="411" priority="39" operator="greaterThan">
      <formula>$F$72</formula>
    </cfRule>
  </conditionalFormatting>
  <conditionalFormatting sqref="F80">
    <cfRule type="cellIs" dxfId="410" priority="38" operator="greaterThan">
      <formula>$F$73</formula>
    </cfRule>
  </conditionalFormatting>
  <conditionalFormatting sqref="F81">
    <cfRule type="cellIs" dxfId="409" priority="37" operator="greaterThan">
      <formula>$F$74</formula>
    </cfRule>
  </conditionalFormatting>
  <conditionalFormatting sqref="G76">
    <cfRule type="cellIs" dxfId="408" priority="36" operator="greaterThan">
      <formula>$G$69</formula>
    </cfRule>
  </conditionalFormatting>
  <conditionalFormatting sqref="G77">
    <cfRule type="cellIs" dxfId="407" priority="35" operator="greaterThan">
      <formula>$G$70</formula>
    </cfRule>
  </conditionalFormatting>
  <conditionalFormatting sqref="G78">
    <cfRule type="cellIs" dxfId="406" priority="34" operator="greaterThan">
      <formula>$G$71</formula>
    </cfRule>
  </conditionalFormatting>
  <conditionalFormatting sqref="G79">
    <cfRule type="cellIs" dxfId="405" priority="33" operator="greaterThan">
      <formula>$G$72</formula>
    </cfRule>
  </conditionalFormatting>
  <conditionalFormatting sqref="G80">
    <cfRule type="cellIs" dxfId="404" priority="32" operator="greaterThan">
      <formula>$G$73</formula>
    </cfRule>
  </conditionalFormatting>
  <conditionalFormatting sqref="G81">
    <cfRule type="cellIs" dxfId="403" priority="31" operator="greaterThan">
      <formula>$G$74</formula>
    </cfRule>
  </conditionalFormatting>
  <conditionalFormatting sqref="H76">
    <cfRule type="cellIs" dxfId="402" priority="30" operator="greaterThan">
      <formula>$H$69</formula>
    </cfRule>
  </conditionalFormatting>
  <conditionalFormatting sqref="H77">
    <cfRule type="cellIs" dxfId="401" priority="29" operator="greaterThan">
      <formula>$H$70</formula>
    </cfRule>
  </conditionalFormatting>
  <conditionalFormatting sqref="H78">
    <cfRule type="cellIs" dxfId="400" priority="28" operator="greaterThan">
      <formula>$H$71</formula>
    </cfRule>
  </conditionalFormatting>
  <conditionalFormatting sqref="H79">
    <cfRule type="cellIs" dxfId="399" priority="27" operator="greaterThan">
      <formula>$H$72</formula>
    </cfRule>
  </conditionalFormatting>
  <conditionalFormatting sqref="H80">
    <cfRule type="cellIs" dxfId="398" priority="26" operator="greaterThan">
      <formula>$H$73</formula>
    </cfRule>
  </conditionalFormatting>
  <conditionalFormatting sqref="H81">
    <cfRule type="cellIs" dxfId="397" priority="25" operator="greaterThan">
      <formula>$H$74</formula>
    </cfRule>
  </conditionalFormatting>
  <conditionalFormatting sqref="I76">
    <cfRule type="cellIs" dxfId="396" priority="24" operator="greaterThan">
      <formula>$I$69</formula>
    </cfRule>
  </conditionalFormatting>
  <conditionalFormatting sqref="I77">
    <cfRule type="cellIs" dxfId="395" priority="23" operator="greaterThan">
      <formula>$I$70</formula>
    </cfRule>
  </conditionalFormatting>
  <conditionalFormatting sqref="I78">
    <cfRule type="cellIs" dxfId="394" priority="22" operator="greaterThan">
      <formula>$I$71</formula>
    </cfRule>
  </conditionalFormatting>
  <conditionalFormatting sqref="I79">
    <cfRule type="cellIs" dxfId="393" priority="21" operator="greaterThan">
      <formula>$I$72</formula>
    </cfRule>
  </conditionalFormatting>
  <conditionalFormatting sqref="I80">
    <cfRule type="cellIs" dxfId="392" priority="20" operator="greaterThan">
      <formula>$I$73</formula>
    </cfRule>
  </conditionalFormatting>
  <conditionalFormatting sqref="I81">
    <cfRule type="cellIs" dxfId="391" priority="19" operator="greaterThan">
      <formula>$I$74</formula>
    </cfRule>
  </conditionalFormatting>
  <conditionalFormatting sqref="J76">
    <cfRule type="cellIs" dxfId="390" priority="18" operator="greaterThan">
      <formula>$J$69</formula>
    </cfRule>
  </conditionalFormatting>
  <conditionalFormatting sqref="J77">
    <cfRule type="cellIs" dxfId="389" priority="17" operator="greaterThan">
      <formula>$J$70</formula>
    </cfRule>
  </conditionalFormatting>
  <conditionalFormatting sqref="J78">
    <cfRule type="cellIs" dxfId="388" priority="16" operator="greaterThan">
      <formula>$J$71</formula>
    </cfRule>
  </conditionalFormatting>
  <conditionalFormatting sqref="J79">
    <cfRule type="cellIs" dxfId="387" priority="15" operator="greaterThan">
      <formula>$J$72</formula>
    </cfRule>
  </conditionalFormatting>
  <conditionalFormatting sqref="J80">
    <cfRule type="cellIs" dxfId="386" priority="14" operator="greaterThan">
      <formula>$J$73</formula>
    </cfRule>
  </conditionalFormatting>
  <conditionalFormatting sqref="J81">
    <cfRule type="cellIs" dxfId="385" priority="13" operator="greaterThan">
      <formula>$J$74</formula>
    </cfRule>
  </conditionalFormatting>
  <conditionalFormatting sqref="K76">
    <cfRule type="cellIs" dxfId="384" priority="12" operator="greaterThan">
      <formula>$K$69</formula>
    </cfRule>
  </conditionalFormatting>
  <conditionalFormatting sqref="K77">
    <cfRule type="cellIs" dxfId="383" priority="11" operator="greaterThan">
      <formula>$K$70</formula>
    </cfRule>
  </conditionalFormatting>
  <conditionalFormatting sqref="K78">
    <cfRule type="cellIs" dxfId="382" priority="10" operator="greaterThan">
      <formula>$K$71</formula>
    </cfRule>
  </conditionalFormatting>
  <conditionalFormatting sqref="K79">
    <cfRule type="cellIs" dxfId="381" priority="9" operator="greaterThan">
      <formula>$K$72</formula>
    </cfRule>
  </conditionalFormatting>
  <conditionalFormatting sqref="K80">
    <cfRule type="cellIs" dxfId="380" priority="8" operator="greaterThan">
      <formula>$K$73</formula>
    </cfRule>
  </conditionalFormatting>
  <conditionalFormatting sqref="K81">
    <cfRule type="cellIs" dxfId="379" priority="7" operator="greaterThan">
      <formula>$K$74</formula>
    </cfRule>
  </conditionalFormatting>
  <conditionalFormatting sqref="L76">
    <cfRule type="cellIs" dxfId="378" priority="6" operator="greaterThan">
      <formula>$L$69</formula>
    </cfRule>
  </conditionalFormatting>
  <conditionalFormatting sqref="L77">
    <cfRule type="cellIs" dxfId="377" priority="5" operator="greaterThan">
      <formula>$L$70</formula>
    </cfRule>
  </conditionalFormatting>
  <conditionalFormatting sqref="L78">
    <cfRule type="cellIs" dxfId="376" priority="4" operator="greaterThan">
      <formula>$L$71</formula>
    </cfRule>
  </conditionalFormatting>
  <conditionalFormatting sqref="L79">
    <cfRule type="cellIs" dxfId="375" priority="3" operator="greaterThan">
      <formula>$L$72</formula>
    </cfRule>
  </conditionalFormatting>
  <conditionalFormatting sqref="L80">
    <cfRule type="cellIs" dxfId="374" priority="2" operator="greaterThan">
      <formula>$L$73</formula>
    </cfRule>
  </conditionalFormatting>
  <conditionalFormatting sqref="L81">
    <cfRule type="cellIs" dxfId="373" priority="1" operator="greaterThan">
      <formula>$L$74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758D-E0DB-4065-8684-DE1058D28F26}">
  <dimension ref="A1:U95"/>
  <sheetViews>
    <sheetView topLeftCell="A14"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63"/>
      <c r="I3" s="63"/>
      <c r="J3" s="63"/>
      <c r="K3" s="63"/>
    </row>
    <row r="4" spans="1:11" x14ac:dyDescent="0.35">
      <c r="A4" s="64" t="s">
        <v>39</v>
      </c>
      <c r="B4" s="64" t="s">
        <v>43</v>
      </c>
      <c r="C4" s="116" t="s">
        <v>44</v>
      </c>
      <c r="D4" s="117"/>
      <c r="E4" s="117"/>
      <c r="F4" s="117"/>
      <c r="G4" s="118"/>
    </row>
    <row r="5" spans="1:11" x14ac:dyDescent="0.35">
      <c r="A5" s="65" t="s">
        <v>52</v>
      </c>
      <c r="B5" s="65"/>
      <c r="C5" s="119"/>
      <c r="D5" s="119"/>
      <c r="E5" s="119"/>
      <c r="F5" s="119"/>
      <c r="G5" s="119"/>
    </row>
    <row r="6" spans="1:11" x14ac:dyDescent="0.35">
      <c r="A6" s="66" t="s">
        <v>40</v>
      </c>
      <c r="B6" s="66" t="s">
        <v>184</v>
      </c>
      <c r="C6" s="113" t="s">
        <v>189</v>
      </c>
      <c r="D6" s="113"/>
      <c r="E6" s="113"/>
      <c r="F6" s="113"/>
      <c r="G6" s="113"/>
    </row>
    <row r="7" spans="1:11" x14ac:dyDescent="0.35">
      <c r="A7" s="66" t="s">
        <v>41</v>
      </c>
      <c r="B7" s="66" t="s">
        <v>184</v>
      </c>
      <c r="C7" s="113" t="s">
        <v>190</v>
      </c>
      <c r="D7" s="113"/>
      <c r="E7" s="113"/>
      <c r="F7" s="113"/>
      <c r="G7" s="113"/>
    </row>
    <row r="8" spans="1:11" x14ac:dyDescent="0.35">
      <c r="A8" s="66" t="s">
        <v>42</v>
      </c>
      <c r="B8" s="66" t="s">
        <v>184</v>
      </c>
      <c r="C8" s="113" t="s">
        <v>181</v>
      </c>
      <c r="D8" s="113"/>
      <c r="E8" s="113"/>
      <c r="F8" s="113"/>
      <c r="G8" s="113"/>
    </row>
    <row r="9" spans="1:11" x14ac:dyDescent="0.35">
      <c r="A9" s="66" t="s">
        <v>165</v>
      </c>
      <c r="B9" s="66" t="s">
        <v>184</v>
      </c>
      <c r="C9" s="113" t="s">
        <v>182</v>
      </c>
      <c r="D9" s="113"/>
      <c r="E9" s="113"/>
      <c r="F9" s="113"/>
      <c r="G9" s="113"/>
    </row>
    <row r="10" spans="1:11" x14ac:dyDescent="0.35">
      <c r="A10" s="66"/>
      <c r="B10" s="66"/>
      <c r="C10" s="114"/>
      <c r="D10" s="114"/>
      <c r="E10" s="114"/>
      <c r="F10" s="114"/>
      <c r="G10" s="114"/>
    </row>
    <row r="11" spans="1:11" x14ac:dyDescent="0.35">
      <c r="A11" s="66"/>
      <c r="B11" s="66"/>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11</v>
      </c>
      <c r="D25" s="45">
        <f>C25</f>
        <v>11</v>
      </c>
      <c r="E25" s="45">
        <f t="shared" ref="E25:G25" si="0">D25</f>
        <v>11</v>
      </c>
      <c r="F25" s="45">
        <f t="shared" si="0"/>
        <v>11</v>
      </c>
      <c r="G25" s="45">
        <f t="shared" si="0"/>
        <v>11</v>
      </c>
      <c r="H25" s="45"/>
      <c r="I25" s="45"/>
      <c r="J25" s="45"/>
      <c r="K25" s="45"/>
      <c r="L25" s="45"/>
    </row>
    <row r="26" spans="1:14"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4" x14ac:dyDescent="0.35">
      <c r="A27" s="1" t="s">
        <v>126</v>
      </c>
      <c r="B27" s="14">
        <f>SUM(B28:B33)-SUM(B22:C22)</f>
        <v>0</v>
      </c>
      <c r="C27" s="14">
        <f>IF(C$25&lt;&gt;"",SUM(B22:C22),"")</f>
        <v>21.1</v>
      </c>
      <c r="D27" s="14">
        <f>IF(D$25&lt;&gt;"",C89,"")</f>
        <v>19.202087997956422</v>
      </c>
      <c r="E27" s="14">
        <f t="shared" ref="E27:L27" si="2">IF(E$25&lt;&gt;"",D89,"")</f>
        <v>17.798428243956995</v>
      </c>
      <c r="F27" s="14">
        <f t="shared" si="2"/>
        <v>16.738607840956995</v>
      </c>
      <c r="G27" s="14">
        <f t="shared" si="2"/>
        <v>15.912029191456391</v>
      </c>
      <c r="H27" s="14" t="str">
        <f t="shared" si="2"/>
        <v/>
      </c>
      <c r="I27" s="14" t="str">
        <f t="shared" si="2"/>
        <v/>
      </c>
      <c r="J27" s="14" t="str">
        <f t="shared" si="2"/>
        <v/>
      </c>
      <c r="K27" s="14" t="str">
        <f t="shared" si="2"/>
        <v/>
      </c>
      <c r="L27" s="14" t="str">
        <f t="shared" si="2"/>
        <v/>
      </c>
    </row>
    <row r="28" spans="1:14" x14ac:dyDescent="0.35">
      <c r="A28" t="str">
        <f>IF(A6="","","    "&amp;A6&amp;" Balance")</f>
        <v xml:space="preserve">    Upper Basin Balance</v>
      </c>
      <c r="B28" s="55">
        <f>B22</f>
        <v>11</v>
      </c>
      <c r="C28" s="14">
        <f>IF(OR(C$25="",$A28=""),"",B28)</f>
        <v>11</v>
      </c>
      <c r="D28" s="14">
        <f>IF(OR(D$25="",$A28=""),"",C83)</f>
        <v>9.0322571336493027</v>
      </c>
      <c r="E28" s="14">
        <f t="shared" ref="E28:L28" si="3">IF(OR(E$25="",$A28=""),"",D83)</f>
        <v>7.6425607766800914</v>
      </c>
      <c r="F28" s="14">
        <f t="shared" si="3"/>
        <v>6.6113060670383863</v>
      </c>
      <c r="G28" s="14">
        <f t="shared" si="3"/>
        <v>6.2249460986089646</v>
      </c>
      <c r="H28" s="14" t="str">
        <f t="shared" si="3"/>
        <v/>
      </c>
      <c r="I28" s="14" t="str">
        <f t="shared" si="3"/>
        <v/>
      </c>
      <c r="J28" s="14" t="str">
        <f t="shared" si="3"/>
        <v/>
      </c>
      <c r="K28" s="14" t="str">
        <f t="shared" si="3"/>
        <v/>
      </c>
      <c r="L28" s="14" t="str">
        <f t="shared" si="3"/>
        <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10.169830864307119</v>
      </c>
      <c r="E29" s="14">
        <f t="shared" si="6"/>
        <v>10.155867467276902</v>
      </c>
      <c r="F29" s="14">
        <f t="shared" si="6"/>
        <v>10.127301773918607</v>
      </c>
      <c r="G29" s="14">
        <f t="shared" si="6"/>
        <v>9.687083092847427</v>
      </c>
      <c r="H29" s="14" t="str">
        <f t="shared" si="6"/>
        <v/>
      </c>
      <c r="I29" s="14" t="str">
        <f t="shared" si="6"/>
        <v/>
      </c>
      <c r="J29" s="14" t="str">
        <f t="shared" si="6"/>
        <v/>
      </c>
      <c r="K29" s="14" t="str">
        <f t="shared" si="6"/>
        <v/>
      </c>
      <c r="L29" s="14" t="str">
        <f t="shared" si="6"/>
        <v/>
      </c>
      <c r="N29" t="s">
        <v>223</v>
      </c>
    </row>
    <row r="30" spans="1:14" x14ac:dyDescent="0.35">
      <c r="A30" t="str">
        <f t="shared" si="4"/>
        <v xml:space="preserve">    Mexico Balance</v>
      </c>
      <c r="B30" s="56">
        <v>4.1000000000000002E-2</v>
      </c>
      <c r="C30" s="14">
        <f t="shared" si="5"/>
        <v>4.1000000000000002E-2</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9.601043998978211</v>
      </c>
      <c r="E35" s="14">
        <f t="shared" si="7"/>
        <v>8.8992141219784973</v>
      </c>
      <c r="F35" s="14">
        <f t="shared" si="7"/>
        <v>8.3693039204784974</v>
      </c>
      <c r="G35" s="14">
        <f t="shared" si="7"/>
        <v>7.9560145957281954</v>
      </c>
      <c r="H35" s="14" t="str">
        <f t="shared" si="7"/>
        <v/>
      </c>
      <c r="I35" s="14" t="str">
        <f t="shared" si="7"/>
        <v/>
      </c>
      <c r="J35" s="14" t="str">
        <f t="shared" si="7"/>
        <v/>
      </c>
      <c r="K35" s="14" t="str">
        <f t="shared" si="7"/>
        <v/>
      </c>
      <c r="L35" s="14" t="str">
        <f t="shared" si="7"/>
        <v/>
      </c>
    </row>
    <row r="36" spans="1:12" x14ac:dyDescent="0.35">
      <c r="A36" t="s">
        <v>116</v>
      </c>
      <c r="B36" s="35">
        <f>1-B35</f>
        <v>0.5</v>
      </c>
      <c r="C36" s="14">
        <f>IF(C$25&lt;&gt;"",C22,"")</f>
        <v>10.1</v>
      </c>
      <c r="D36" s="14">
        <f t="shared" si="7"/>
        <v>9.601043998978211</v>
      </c>
      <c r="E36" s="14">
        <f t="shared" si="7"/>
        <v>8.8992141219784973</v>
      </c>
      <c r="F36" s="14">
        <f t="shared" si="7"/>
        <v>8.3693039204784974</v>
      </c>
      <c r="G36" s="14">
        <f t="shared" si="7"/>
        <v>7.9560145957281954</v>
      </c>
      <c r="H36" s="14" t="str">
        <f t="shared" si="7"/>
        <v/>
      </c>
      <c r="I36" s="14" t="str">
        <f t="shared" si="7"/>
        <v/>
      </c>
      <c r="J36" s="14" t="str">
        <f t="shared" si="7"/>
        <v/>
      </c>
      <c r="K36" s="14" t="str">
        <f t="shared" si="7"/>
        <v/>
      </c>
      <c r="L36" s="14" t="str">
        <f t="shared" si="7"/>
        <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0.96665975399942705</v>
      </c>
      <c r="E37" s="14">
        <f>IF(E$25&lt;&gt;"",VLOOKUP(E35*1000000,'Powell-Elevation-Area'!$B$5:$D$689,3)*$B$21/1000000 + VLOOKUP(E36*1000000,'Mead-Elevation-Area'!$B$5:$D$676,3)*$C$21/1000000,"")</f>
        <v>0.92282040300000001</v>
      </c>
      <c r="F37" s="14">
        <f>IF(F$25&lt;&gt;"",VLOOKUP(F35*1000000,'Powell-Elevation-Area'!$B$5:$D$689,3)*$B$21/1000000 + VLOOKUP(F36*1000000,'Mead-Elevation-Area'!$B$5:$D$676,3)*$C$21/1000000,"")</f>
        <v>0.88957864950059995</v>
      </c>
      <c r="G37" s="14">
        <f>IF(G$25&lt;&gt;"",VLOOKUP(G35*1000000,'Powell-Elevation-Area'!$B$5:$D$689,3)*$B$21/1000000 + VLOOKUP(G36*1000000,'Mead-Elevation-Area'!$B$5:$D$676,3)*$C$21/1000000,"")</f>
        <v>0.86367494250117305</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f>IF(OR(C$25="",$A38=""),"",C$37*C28/C$27)</f>
        <v>0.5327428663506969</v>
      </c>
      <c r="D38" s="14">
        <f t="shared" ref="D38:L38" si="8">IF(OR(D$25="",$A38=""),"",D$37*D28/D$27)</f>
        <v>0.45469635696921151</v>
      </c>
      <c r="E38" s="14">
        <f t="shared" si="8"/>
        <v>0.39625470964170584</v>
      </c>
      <c r="F38" s="14">
        <f t="shared" si="8"/>
        <v>0.3513599684294223</v>
      </c>
      <c r="G38" s="14">
        <f t="shared" si="8"/>
        <v>0.33787833714355547</v>
      </c>
      <c r="H38" s="14" t="str">
        <f t="shared" si="8"/>
        <v/>
      </c>
      <c r="I38" s="14" t="str">
        <f t="shared" si="8"/>
        <v/>
      </c>
      <c r="J38" s="14" t="str">
        <f t="shared" si="8"/>
        <v/>
      </c>
      <c r="K38" s="14" t="str">
        <f t="shared" si="8"/>
        <v/>
      </c>
      <c r="L38" s="14" t="str">
        <f t="shared" si="8"/>
        <v/>
      </c>
    </row>
    <row r="39" spans="1:12" x14ac:dyDescent="0.35">
      <c r="A39" t="str">
        <f t="shared" ref="A39:A43" si="9">IF(A7="","","    "&amp;A7&amp;" Share")</f>
        <v xml:space="preserve">    Lower Basin Share</v>
      </c>
      <c r="B39" s="1"/>
      <c r="C39" s="14">
        <f t="shared" ref="C39:L43" si="10">IF(OR(C$25="",$A39=""),"",C$37*C29/C$27)</f>
        <v>0.48716913569287823</v>
      </c>
      <c r="D39" s="14">
        <f t="shared" si="10"/>
        <v>0.51196339703021554</v>
      </c>
      <c r="E39" s="14">
        <f t="shared" si="10"/>
        <v>0.52656569335829417</v>
      </c>
      <c r="F39" s="14">
        <f t="shared" si="10"/>
        <v>0.53821868107117754</v>
      </c>
      <c r="G39" s="14">
        <f t="shared" si="10"/>
        <v>0.52579660535761763</v>
      </c>
      <c r="H39" s="14" t="str">
        <f t="shared" si="10"/>
        <v/>
      </c>
      <c r="I39" s="14" t="str">
        <f t="shared" si="10"/>
        <v/>
      </c>
      <c r="J39" s="14" t="str">
        <f t="shared" si="10"/>
        <v/>
      </c>
      <c r="K39" s="14" t="str">
        <f t="shared" si="10"/>
        <v/>
      </c>
      <c r="L39" s="14" t="str">
        <f t="shared" si="10"/>
        <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1.47</v>
      </c>
      <c r="F44" s="50">
        <f t="shared" si="11"/>
        <v>1.47</v>
      </c>
      <c r="G44" s="50">
        <f t="shared" si="11"/>
        <v>1.47</v>
      </c>
      <c r="H44" s="50" t="str">
        <f t="shared" si="11"/>
        <v/>
      </c>
      <c r="I44" s="50" t="str">
        <f t="shared" si="11"/>
        <v/>
      </c>
      <c r="J44" s="50" t="str">
        <f t="shared" si="11"/>
        <v/>
      </c>
      <c r="K44" s="50" t="str">
        <f t="shared" si="11"/>
        <v/>
      </c>
      <c r="L44" s="50" t="str">
        <f t="shared" si="11"/>
        <v/>
      </c>
    </row>
    <row r="45" spans="1:12" x14ac:dyDescent="0.35">
      <c r="A45" s="1" t="s">
        <v>162</v>
      </c>
      <c r="B45" s="1"/>
      <c r="C45" s="46"/>
    </row>
    <row r="46" spans="1:12" x14ac:dyDescent="0.35">
      <c r="A46" t="str">
        <f>IF(A6="","","    To "&amp;A6)</f>
        <v xml:space="preserve">    To Upper Basin</v>
      </c>
      <c r="B46" s="24" t="s">
        <v>164</v>
      </c>
      <c r="C46" s="14">
        <f>IF(OR(C$25="",$A4=""),"",MAX(0,C$25-SUM(C47:C48)))</f>
        <v>2.7650000000000006</v>
      </c>
      <c r="D46" s="14">
        <f t="shared" ref="D46:L46" si="12">IF(OR(D$25="",$A4=""),"",MAX(0,D$25-SUM(D47:D48)))</f>
        <v>2.7650000000000006</v>
      </c>
      <c r="E46" s="14">
        <f t="shared" si="12"/>
        <v>2.7650000000000006</v>
      </c>
      <c r="F46" s="14">
        <f t="shared" si="12"/>
        <v>2.7650000000000006</v>
      </c>
      <c r="G46" s="14">
        <f t="shared" si="12"/>
        <v>2.7650000000000006</v>
      </c>
      <c r="H46" s="14" t="str">
        <f t="shared" si="12"/>
        <v/>
      </c>
      <c r="I46" s="14" t="str">
        <f t="shared" si="12"/>
        <v/>
      </c>
      <c r="J46" s="14" t="str">
        <f t="shared" si="12"/>
        <v/>
      </c>
      <c r="K46" s="14" t="str">
        <f t="shared" si="12"/>
        <v/>
      </c>
      <c r="L46" s="14" t="str">
        <f t="shared" si="12"/>
        <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t="str">
        <f t="shared" si="14"/>
        <v/>
      </c>
      <c r="I47" s="14" t="str">
        <f t="shared" si="14"/>
        <v/>
      </c>
      <c r="J47" s="14" t="str">
        <f t="shared" si="14"/>
        <v/>
      </c>
      <c r="K47" s="14" t="str">
        <f t="shared" si="14"/>
        <v/>
      </c>
      <c r="L47" s="14" t="str">
        <f t="shared" si="14"/>
        <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t="str">
        <f t="shared" si="15"/>
        <v/>
      </c>
      <c r="I48" s="14" t="str">
        <f t="shared" si="15"/>
        <v/>
      </c>
      <c r="J48" s="14" t="str">
        <f t="shared" si="15"/>
        <v/>
      </c>
      <c r="K48" s="14" t="str">
        <f t="shared" si="15"/>
        <v/>
      </c>
      <c r="L48" s="14" t="str">
        <f t="shared" si="15"/>
        <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t="str">
        <f t="shared" si="16"/>
        <v/>
      </c>
      <c r="I49" s="14" t="str">
        <f t="shared" si="16"/>
        <v/>
      </c>
      <c r="J49" s="14" t="str">
        <f t="shared" si="16"/>
        <v/>
      </c>
      <c r="K49" s="14" t="str">
        <f t="shared" si="16"/>
        <v/>
      </c>
      <c r="L49" s="14" t="str">
        <f t="shared" si="16"/>
        <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t="str">
        <f t="shared" si="17"/>
        <v/>
      </c>
      <c r="I53" s="14" t="str">
        <f t="shared" si="17"/>
        <v/>
      </c>
      <c r="J53" s="14" t="str">
        <f t="shared" si="17"/>
        <v/>
      </c>
      <c r="K53" s="14" t="str">
        <f t="shared" si="17"/>
        <v/>
      </c>
      <c r="L53" s="14" t="str">
        <f t="shared" si="17"/>
        <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-0.53499999999999992</v>
      </c>
      <c r="F54" s="14">
        <f t="shared" si="19"/>
        <v>-0.53499999999999992</v>
      </c>
      <c r="G54" s="14">
        <f t="shared" si="19"/>
        <v>-0.53499999999999992</v>
      </c>
      <c r="H54" s="14" t="str">
        <f t="shared" si="19"/>
        <v/>
      </c>
      <c r="I54" s="14" t="str">
        <f t="shared" si="19"/>
        <v/>
      </c>
      <c r="J54" s="14" t="str">
        <f t="shared" si="19"/>
        <v/>
      </c>
      <c r="K54" s="14" t="str">
        <f t="shared" si="19"/>
        <v/>
      </c>
      <c r="L54" s="14" t="str">
        <f t="shared" si="19"/>
        <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0.73499999999999999</v>
      </c>
      <c r="F55" s="14">
        <f t="shared" si="20"/>
        <v>0.73499999999999999</v>
      </c>
      <c r="G55" s="14">
        <f t="shared" si="20"/>
        <v>0.73499999999999999</v>
      </c>
      <c r="H55" s="14" t="str">
        <f t="shared" si="20"/>
        <v/>
      </c>
      <c r="I55" s="14" t="str">
        <f t="shared" si="20"/>
        <v/>
      </c>
      <c r="J55" s="14" t="str">
        <f t="shared" si="20"/>
        <v/>
      </c>
      <c r="K55" s="14" t="str">
        <f t="shared" si="20"/>
        <v/>
      </c>
      <c r="L55" s="14" t="str">
        <f t="shared" si="20"/>
        <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t="str">
        <f t="shared" si="21"/>
        <v/>
      </c>
      <c r="I56" s="14" t="str">
        <f t="shared" si="21"/>
        <v/>
      </c>
      <c r="J56" s="14" t="str">
        <f t="shared" si="21"/>
        <v/>
      </c>
      <c r="K56" s="14" t="str">
        <f t="shared" si="21"/>
        <v/>
      </c>
      <c r="L56" s="14" t="str">
        <f t="shared" si="21"/>
        <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25">
        <v>0.5</v>
      </c>
      <c r="D60" s="25">
        <v>0.4</v>
      </c>
      <c r="E60" s="25">
        <v>0.4</v>
      </c>
      <c r="F60" s="50"/>
      <c r="G60" s="50"/>
      <c r="H60" s="50"/>
      <c r="I60" s="50"/>
      <c r="J60" s="50"/>
      <c r="K60" s="50"/>
      <c r="L60" s="50"/>
      <c r="M60" s="54">
        <f>SUMPRODUCT(C60:L60,C$67:L$67)</f>
        <v>455</v>
      </c>
    </row>
    <row r="61" spans="1:13" x14ac:dyDescent="0.35">
      <c r="A61" t="str">
        <f t="shared" ref="A61:A65" si="23">IF(A7="","","    "&amp;A7)</f>
        <v xml:space="preserve">    Lower Basin</v>
      </c>
      <c r="B61" s="1"/>
      <c r="C61" s="70">
        <f>-C60</f>
        <v>-0.5</v>
      </c>
      <c r="D61" s="70">
        <f t="shared" ref="D61:E61" si="24">-D60</f>
        <v>-0.4</v>
      </c>
      <c r="E61" s="70">
        <f t="shared" si="24"/>
        <v>-0.4</v>
      </c>
      <c r="F61" s="62"/>
      <c r="G61" s="62"/>
      <c r="H61" s="62"/>
      <c r="I61" s="62"/>
      <c r="J61" s="62"/>
      <c r="K61" s="67"/>
      <c r="L61" s="62"/>
      <c r="M61" s="54">
        <f t="shared" ref="M61:M65" si="25">SUMPRODUCT(C61:L61,C$67:L$67)</f>
        <v>-455</v>
      </c>
    </row>
    <row r="62" spans="1:13" x14ac:dyDescent="0.35">
      <c r="A62" t="str">
        <f t="shared" si="23"/>
        <v xml:space="preserve">    Mexico</v>
      </c>
      <c r="B62" s="1"/>
      <c r="C62" s="50"/>
      <c r="D62" s="50"/>
      <c r="E62" s="68"/>
      <c r="F62" s="50"/>
      <c r="G62" s="50"/>
      <c r="H62" s="68"/>
      <c r="I62" s="50"/>
      <c r="J62" s="50"/>
      <c r="K62" s="68"/>
      <c r="L62" s="50"/>
      <c r="M62" s="54">
        <f t="shared" si="25"/>
        <v>0</v>
      </c>
    </row>
    <row r="63" spans="1:13" x14ac:dyDescent="0.35">
      <c r="A63" t="str">
        <f t="shared" si="23"/>
        <v xml:space="preserve">    Mohave &amp; Havasu Evap &amp; ET</v>
      </c>
      <c r="B63" s="1"/>
      <c r="C63" s="50"/>
      <c r="D63" s="50"/>
      <c r="E63" s="68"/>
      <c r="F63" s="50"/>
      <c r="G63" s="50"/>
      <c r="H63" s="68"/>
      <c r="I63" s="50"/>
      <c r="J63" s="50"/>
      <c r="K63" s="68"/>
      <c r="L63" s="50"/>
      <c r="M63" s="54">
        <f t="shared" si="25"/>
        <v>0</v>
      </c>
    </row>
    <row r="64" spans="1:13" x14ac:dyDescent="0.35">
      <c r="A64" t="str">
        <f t="shared" si="23"/>
        <v/>
      </c>
      <c r="B64" s="1"/>
      <c r="C64" s="50"/>
      <c r="D64" s="50"/>
      <c r="E64" s="68"/>
      <c r="F64" s="50"/>
      <c r="G64" s="50"/>
      <c r="H64" s="68"/>
      <c r="I64" s="50"/>
      <c r="J64" s="50"/>
      <c r="K64" s="68"/>
      <c r="L64" s="50"/>
      <c r="M64" s="54">
        <f t="shared" si="25"/>
        <v>0</v>
      </c>
    </row>
    <row r="65" spans="1:21" x14ac:dyDescent="0.35">
      <c r="A65" t="str">
        <f t="shared" si="23"/>
        <v/>
      </c>
      <c r="B65" s="1"/>
      <c r="C65" s="50"/>
      <c r="D65" s="50"/>
      <c r="E65" s="50"/>
      <c r="F65" s="50"/>
      <c r="G65" s="50"/>
      <c r="H65" s="50"/>
      <c r="I65" s="50"/>
      <c r="J65" s="50"/>
      <c r="K65" s="50"/>
      <c r="L65" s="50"/>
      <c r="M65" s="54">
        <f t="shared" si="25"/>
        <v>0</v>
      </c>
    </row>
    <row r="66" spans="1:21" x14ac:dyDescent="0.35">
      <c r="A66" t="s">
        <v>159</v>
      </c>
      <c r="B66" s="1"/>
      <c r="C66" s="53">
        <f>IF(C$25&lt;&gt;"",SUM(C60:C65),"")</f>
        <v>0</v>
      </c>
      <c r="D66" s="53">
        <f t="shared" ref="D66:L66" si="26">IF(D$25&lt;&gt;"",SUM(D60:D65),"")</f>
        <v>0</v>
      </c>
      <c r="E66" s="53">
        <f t="shared" si="26"/>
        <v>0</v>
      </c>
      <c r="F66" s="53">
        <f t="shared" si="26"/>
        <v>0</v>
      </c>
      <c r="G66" s="53">
        <f t="shared" si="26"/>
        <v>0</v>
      </c>
      <c r="H66" s="53" t="str">
        <f t="shared" si="26"/>
        <v/>
      </c>
      <c r="I66" s="53" t="str">
        <f t="shared" si="26"/>
        <v/>
      </c>
      <c r="J66" s="53" t="str">
        <f t="shared" si="26"/>
        <v/>
      </c>
      <c r="K66" s="53" t="str">
        <f t="shared" si="26"/>
        <v/>
      </c>
      <c r="L66" s="53" t="str">
        <f t="shared" si="26"/>
        <v/>
      </c>
      <c r="M66" s="34"/>
    </row>
    <row r="67" spans="1:21" x14ac:dyDescent="0.35">
      <c r="A67" t="s">
        <v>160</v>
      </c>
      <c r="B67" s="1"/>
      <c r="C67" s="31">
        <v>350</v>
      </c>
      <c r="D67" s="31">
        <v>350</v>
      </c>
      <c r="E67" s="31">
        <v>350</v>
      </c>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12.732257133649304</v>
      </c>
      <c r="D69" s="14">
        <f t="shared" ref="D69:L69" si="27">IF(OR(D$25="",$A69=""),"",D28+D46+D53-D38-D60)</f>
        <v>10.942560776680091</v>
      </c>
      <c r="E69" s="14">
        <f t="shared" si="27"/>
        <v>9.6113060670383863</v>
      </c>
      <c r="F69" s="14">
        <f t="shared" si="27"/>
        <v>9.0249460986089645</v>
      </c>
      <c r="G69" s="14">
        <f t="shared" si="27"/>
        <v>8.6520677614654087</v>
      </c>
      <c r="H69" s="14" t="str">
        <f t="shared" si="27"/>
        <v/>
      </c>
      <c r="I69" s="14" t="str">
        <f t="shared" si="27"/>
        <v/>
      </c>
      <c r="J69" s="14" t="str">
        <f t="shared" si="27"/>
        <v/>
      </c>
      <c r="K69" s="14" t="str">
        <f t="shared" si="27"/>
        <v/>
      </c>
      <c r="L69" s="14" t="str">
        <f t="shared" si="27"/>
        <v/>
      </c>
    </row>
    <row r="70" spans="1:21" x14ac:dyDescent="0.35">
      <c r="A70" t="str">
        <f t="shared" ref="A70:A74" si="28">IF(A7="","","    "&amp;A7)</f>
        <v xml:space="preserve">    Lower Basin</v>
      </c>
      <c r="C70" s="14">
        <f t="shared" ref="C70:L74" si="29">IF(OR(C$25="",$A70=""),"",C29+C47+C54-C39-C61)</f>
        <v>17.03683086430712</v>
      </c>
      <c r="D70" s="14">
        <f t="shared" si="29"/>
        <v>17.022867467276903</v>
      </c>
      <c r="E70" s="14">
        <f t="shared" si="29"/>
        <v>16.994301773918608</v>
      </c>
      <c r="F70" s="14">
        <f t="shared" si="29"/>
        <v>16.554083092847428</v>
      </c>
      <c r="G70" s="14">
        <f t="shared" si="29"/>
        <v>16.126286487489811</v>
      </c>
      <c r="H70" s="14" t="str">
        <f t="shared" si="29"/>
        <v/>
      </c>
      <c r="I70" s="14" t="str">
        <f t="shared" si="29"/>
        <v/>
      </c>
      <c r="J70" s="14" t="str">
        <f t="shared" si="29"/>
        <v/>
      </c>
      <c r="K70" s="14" t="str">
        <f t="shared" si="29"/>
        <v/>
      </c>
      <c r="L70" s="14" t="str">
        <f t="shared" si="29"/>
        <v/>
      </c>
    </row>
    <row r="71" spans="1:21" x14ac:dyDescent="0.35">
      <c r="A71" t="str">
        <f t="shared" si="28"/>
        <v xml:space="preserve">    Mexico</v>
      </c>
      <c r="C71" s="60">
        <f t="shared" si="29"/>
        <v>1.5090143220436021</v>
      </c>
      <c r="D71" s="14">
        <f t="shared" si="29"/>
        <v>1.47</v>
      </c>
      <c r="E71" s="14">
        <f t="shared" si="29"/>
        <v>1.47</v>
      </c>
      <c r="F71" s="14">
        <f t="shared" si="29"/>
        <v>1.47</v>
      </c>
      <c r="G71" s="14">
        <f t="shared" si="29"/>
        <v>1.47</v>
      </c>
      <c r="H71" s="14" t="str">
        <f t="shared" si="29"/>
        <v/>
      </c>
      <c r="I71" s="14" t="str">
        <f t="shared" si="29"/>
        <v/>
      </c>
      <c r="J71" s="14" t="str">
        <f t="shared" si="29"/>
        <v/>
      </c>
      <c r="K71" s="14" t="str">
        <f t="shared" si="29"/>
        <v/>
      </c>
      <c r="L71" s="14" t="str">
        <f t="shared" si="29"/>
        <v/>
      </c>
    </row>
    <row r="72" spans="1:21" x14ac:dyDescent="0.35">
      <c r="A72" t="str">
        <f t="shared" si="28"/>
        <v xml:space="preserve">    Mohave &amp; Havasu Evap &amp; ET</v>
      </c>
      <c r="C72" s="14">
        <f t="shared" si="29"/>
        <v>0.6</v>
      </c>
      <c r="D72" s="14">
        <f t="shared" si="29"/>
        <v>0.6</v>
      </c>
      <c r="E72" s="14">
        <f t="shared" si="29"/>
        <v>0.6</v>
      </c>
      <c r="F72" s="14">
        <f t="shared" si="29"/>
        <v>0.6</v>
      </c>
      <c r="G72" s="14">
        <f t="shared" si="29"/>
        <v>0.6</v>
      </c>
      <c r="H72" s="14" t="str">
        <f t="shared" si="29"/>
        <v/>
      </c>
      <c r="I72" s="14" t="str">
        <f t="shared" si="29"/>
        <v/>
      </c>
      <c r="J72" s="14" t="str">
        <f t="shared" si="29"/>
        <v/>
      </c>
      <c r="K72" s="14" t="str">
        <f t="shared" si="29"/>
        <v/>
      </c>
      <c r="L72" s="14" t="str">
        <f t="shared" si="29"/>
        <v/>
      </c>
    </row>
    <row r="73" spans="1:21" x14ac:dyDescent="0.35">
      <c r="A73" t="str">
        <f t="shared" si="28"/>
        <v/>
      </c>
      <c r="C73" s="60" t="str">
        <f t="shared" si="29"/>
        <v/>
      </c>
      <c r="D73" s="60" t="str">
        <f t="shared" si="29"/>
        <v/>
      </c>
      <c r="E73" s="60" t="str">
        <f t="shared" si="29"/>
        <v/>
      </c>
      <c r="F73" s="60" t="str">
        <f t="shared" si="29"/>
        <v/>
      </c>
      <c r="G73" s="60" t="str">
        <f t="shared" si="29"/>
        <v/>
      </c>
      <c r="H73" s="60" t="str">
        <f t="shared" si="29"/>
        <v/>
      </c>
      <c r="I73" s="60" t="str">
        <f t="shared" si="29"/>
        <v/>
      </c>
      <c r="J73" s="60" t="str">
        <f t="shared" si="29"/>
        <v/>
      </c>
      <c r="K73" s="60" t="str">
        <f t="shared" si="29"/>
        <v/>
      </c>
      <c r="L73" s="60" t="str">
        <f t="shared" si="29"/>
        <v/>
      </c>
    </row>
    <row r="74" spans="1:21" x14ac:dyDescent="0.35">
      <c r="A74" t="str">
        <f t="shared" si="28"/>
        <v/>
      </c>
      <c r="C74" s="14" t="str">
        <f t="shared" si="29"/>
        <v/>
      </c>
      <c r="D74" s="14" t="str">
        <f t="shared" si="29"/>
        <v/>
      </c>
      <c r="E74" s="14" t="str">
        <f t="shared" si="29"/>
        <v/>
      </c>
      <c r="F74" s="14" t="str">
        <f t="shared" si="29"/>
        <v/>
      </c>
      <c r="G74" s="14" t="str">
        <f t="shared" si="29"/>
        <v/>
      </c>
      <c r="H74" s="14" t="str">
        <f t="shared" si="29"/>
        <v/>
      </c>
      <c r="I74" s="14" t="str">
        <f t="shared" si="29"/>
        <v/>
      </c>
      <c r="J74" s="14" t="str">
        <f t="shared" si="29"/>
        <v/>
      </c>
      <c r="K74" s="14" t="str">
        <f t="shared" si="29"/>
        <v/>
      </c>
      <c r="L74" s="14" t="str">
        <f t="shared" si="29"/>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v>3.7</v>
      </c>
      <c r="D76" s="43">
        <v>3.3</v>
      </c>
      <c r="E76" s="43">
        <v>3</v>
      </c>
      <c r="F76" s="43">
        <v>2.8</v>
      </c>
      <c r="G76" s="43">
        <v>2.8</v>
      </c>
      <c r="H76" s="43"/>
      <c r="I76" s="43"/>
      <c r="J76" s="43"/>
      <c r="K76" s="43"/>
      <c r="L76" s="43"/>
      <c r="N76" s="1" t="s">
        <v>129</v>
      </c>
    </row>
    <row r="77" spans="1:21" x14ac:dyDescent="0.35">
      <c r="A77" t="str">
        <f>IF(A7="","","    "&amp;A7&amp;" - Release from Mead")</f>
        <v xml:space="preserve">    Lower Basin - Release from Mead</v>
      </c>
      <c r="C77" s="43">
        <f>7.5-IF(C$29&lt;$O$78,$P$78,IF(C$29&lt;=$O$85,VLOOKUP(C$29,$O$78:$P$85,2),0))</f>
        <v>6.867</v>
      </c>
      <c r="D77" s="43">
        <f t="shared" ref="D77:G77" si="30">7.5-IF(D$29&lt;$O$78,$P$78,IF(D$29&lt;=$O$85,VLOOKUP(D$29,$O$78:$P$85,2),0))</f>
        <v>6.867</v>
      </c>
      <c r="E77" s="43">
        <f t="shared" si="30"/>
        <v>6.867</v>
      </c>
      <c r="F77" s="43">
        <f t="shared" si="30"/>
        <v>6.867</v>
      </c>
      <c r="G77" s="43">
        <f t="shared" si="30"/>
        <v>6.867</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C71</f>
        <v>1.5090143220436021</v>
      </c>
      <c r="D78" s="50">
        <f>D71</f>
        <v>1.47</v>
      </c>
      <c r="E78" s="50">
        <f>E71</f>
        <v>1.47</v>
      </c>
      <c r="F78" s="50">
        <f>F71</f>
        <v>1.47</v>
      </c>
      <c r="G78" s="50">
        <f>G71</f>
        <v>1.47</v>
      </c>
      <c r="H78" s="50"/>
      <c r="I78" s="50"/>
      <c r="J78" s="50"/>
      <c r="K78" s="50"/>
      <c r="L78" s="50"/>
      <c r="N78" s="39">
        <v>1025</v>
      </c>
      <c r="O78" s="40">
        <v>5.981122</v>
      </c>
      <c r="P78" s="41">
        <f>S78-Q78</f>
        <v>1.2000000000000002</v>
      </c>
      <c r="Q78" s="49">
        <v>0.15</v>
      </c>
      <c r="R78" s="41">
        <v>1.325</v>
      </c>
      <c r="S78" s="41">
        <f t="shared" ref="S78:S85" si="32">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3">S79-Q79</f>
        <v>1.117</v>
      </c>
      <c r="Q79" s="49">
        <v>0.10100000000000001</v>
      </c>
      <c r="R79" s="41">
        <v>1.1870000000000001</v>
      </c>
      <c r="S79" s="41">
        <f t="shared" si="32"/>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3"/>
        <v>1.0669999999999999</v>
      </c>
      <c r="Q80" s="49">
        <v>9.1999999999999998E-2</v>
      </c>
      <c r="R80" s="41">
        <v>1.137</v>
      </c>
      <c r="S80" s="41">
        <f t="shared" si="32"/>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3"/>
        <v>1.0169999999999999</v>
      </c>
      <c r="Q81" s="49">
        <v>8.4000000000000005E-2</v>
      </c>
      <c r="R81" s="41">
        <v>1.087</v>
      </c>
      <c r="S81" s="41">
        <f t="shared" si="32"/>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3"/>
        <v>0.96699999999999997</v>
      </c>
      <c r="Q82" s="49">
        <v>7.5999999999999998E-2</v>
      </c>
      <c r="R82" s="41">
        <v>1.0369999999999999</v>
      </c>
      <c r="S82" s="41">
        <f t="shared" si="32"/>
        <v>1.0429999999999999</v>
      </c>
      <c r="T82" s="42">
        <v>7.0000000000000007E-2</v>
      </c>
      <c r="U82" s="52">
        <v>1043000</v>
      </c>
    </row>
    <row r="83" spans="1:21" x14ac:dyDescent="0.35">
      <c r="A83" t="str">
        <f>IF(A6="","","    "&amp;A6)</f>
        <v xml:space="preserve">    Upper Basin</v>
      </c>
      <c r="C83" s="14">
        <f>IF(OR(C$25="",$A83=""),"",C69-C76)</f>
        <v>9.0322571336493027</v>
      </c>
      <c r="D83" s="14">
        <f t="shared" ref="D83:L83" si="34">IF(OR(D$25="",$A83=""),"",D69-D76)</f>
        <v>7.6425607766800914</v>
      </c>
      <c r="E83" s="14">
        <f t="shared" si="34"/>
        <v>6.6113060670383863</v>
      </c>
      <c r="F83" s="14">
        <f t="shared" si="34"/>
        <v>6.2249460986089646</v>
      </c>
      <c r="G83" s="14">
        <f t="shared" si="34"/>
        <v>5.8520677614654089</v>
      </c>
      <c r="H83" s="14" t="str">
        <f t="shared" si="34"/>
        <v/>
      </c>
      <c r="I83" s="14" t="str">
        <f t="shared" si="34"/>
        <v/>
      </c>
      <c r="J83" s="14" t="str">
        <f t="shared" si="34"/>
        <v/>
      </c>
      <c r="K83" s="14" t="str">
        <f t="shared" si="34"/>
        <v/>
      </c>
      <c r="L83" s="14" t="str">
        <f t="shared" si="34"/>
        <v/>
      </c>
      <c r="N83" s="39">
        <v>1050</v>
      </c>
      <c r="O83" s="40">
        <v>7.6828779999999997</v>
      </c>
      <c r="P83" s="41">
        <f t="shared" si="33"/>
        <v>0.71699999999999997</v>
      </c>
      <c r="Q83" s="49">
        <v>3.4000000000000002E-2</v>
      </c>
      <c r="R83" s="41">
        <v>0.78700000000000003</v>
      </c>
      <c r="S83" s="41">
        <f t="shared" si="32"/>
        <v>0.751</v>
      </c>
      <c r="T83" s="42">
        <v>7.0000000000000007E-2</v>
      </c>
      <c r="U83" s="52">
        <v>751000</v>
      </c>
    </row>
    <row r="84" spans="1:21" x14ac:dyDescent="0.35">
      <c r="A84" t="str">
        <f t="shared" ref="A84:A88" si="35">IF(A7="","","    "&amp;A7)</f>
        <v xml:space="preserve">    Lower Basin</v>
      </c>
      <c r="C84" s="14">
        <f t="shared" ref="C84:L88" si="36">IF(OR(C$25="",$A84=""),"",C70-C77)</f>
        <v>10.169830864307119</v>
      </c>
      <c r="D84" s="14">
        <f t="shared" si="36"/>
        <v>10.155867467276902</v>
      </c>
      <c r="E84" s="14">
        <f t="shared" si="36"/>
        <v>10.127301773918607</v>
      </c>
      <c r="F84" s="14">
        <f t="shared" si="36"/>
        <v>9.687083092847427</v>
      </c>
      <c r="G84" s="14">
        <f t="shared" si="36"/>
        <v>9.2592864874898098</v>
      </c>
      <c r="H84" s="14" t="str">
        <f t="shared" si="36"/>
        <v/>
      </c>
      <c r="I84" s="14" t="str">
        <f t="shared" si="36"/>
        <v/>
      </c>
      <c r="J84" s="14" t="str">
        <f t="shared" si="36"/>
        <v/>
      </c>
      <c r="K84" s="14" t="str">
        <f t="shared" si="36"/>
        <v/>
      </c>
      <c r="L84" s="14" t="str">
        <f t="shared" si="36"/>
        <v/>
      </c>
      <c r="N84" s="39">
        <v>1075</v>
      </c>
      <c r="O84" s="40">
        <v>9.6009879999900001</v>
      </c>
      <c r="P84" s="41">
        <f t="shared" si="33"/>
        <v>0.63300000000000001</v>
      </c>
      <c r="Q84" s="49">
        <v>0.03</v>
      </c>
      <c r="R84" s="41">
        <v>0.68300000000000005</v>
      </c>
      <c r="S84" s="41">
        <f t="shared" si="32"/>
        <v>0.66300000000000003</v>
      </c>
      <c r="T84" s="42">
        <v>0.05</v>
      </c>
      <c r="U84" s="52">
        <v>663000</v>
      </c>
    </row>
    <row r="85" spans="1:21" x14ac:dyDescent="0.35">
      <c r="A85" t="str">
        <f t="shared" si="35"/>
        <v xml:space="preserve">    Mexico</v>
      </c>
      <c r="C85" s="14">
        <f t="shared" si="36"/>
        <v>0</v>
      </c>
      <c r="D85" s="14">
        <f t="shared" si="36"/>
        <v>0</v>
      </c>
      <c r="E85" s="14">
        <f t="shared" si="36"/>
        <v>0</v>
      </c>
      <c r="F85" s="14">
        <f t="shared" si="36"/>
        <v>0</v>
      </c>
      <c r="G85" s="14">
        <f t="shared" si="36"/>
        <v>0</v>
      </c>
      <c r="H85" s="14" t="str">
        <f t="shared" si="36"/>
        <v/>
      </c>
      <c r="I85" s="14" t="str">
        <f t="shared" si="36"/>
        <v/>
      </c>
      <c r="J85" s="14" t="str">
        <f t="shared" si="36"/>
        <v/>
      </c>
      <c r="K85" s="14" t="str">
        <f t="shared" si="36"/>
        <v/>
      </c>
      <c r="L85" s="14" t="str">
        <f t="shared" si="36"/>
        <v/>
      </c>
      <c r="N85" s="39">
        <v>1090</v>
      </c>
      <c r="O85" s="40">
        <v>10.857008</v>
      </c>
      <c r="P85" s="41">
        <f t="shared" si="33"/>
        <v>0.30000000000000004</v>
      </c>
      <c r="Q85" s="49">
        <v>4.1000000000000002E-2</v>
      </c>
      <c r="R85" s="41">
        <v>0.3</v>
      </c>
      <c r="S85" s="41">
        <f t="shared" si="32"/>
        <v>0.34100000000000003</v>
      </c>
      <c r="T85" s="38"/>
      <c r="U85" s="52">
        <v>341000</v>
      </c>
    </row>
    <row r="86" spans="1:21" x14ac:dyDescent="0.35">
      <c r="A86" t="str">
        <f t="shared" si="35"/>
        <v xml:space="preserve">    Mohave &amp; Havasu Evap &amp; ET</v>
      </c>
      <c r="C86" s="14">
        <f t="shared" si="36"/>
        <v>0</v>
      </c>
      <c r="D86" s="14">
        <f t="shared" si="36"/>
        <v>0</v>
      </c>
      <c r="E86" s="14">
        <f t="shared" si="36"/>
        <v>0</v>
      </c>
      <c r="F86" s="14">
        <f t="shared" si="36"/>
        <v>0</v>
      </c>
      <c r="G86" s="14">
        <f t="shared" si="36"/>
        <v>0</v>
      </c>
      <c r="H86" s="14" t="str">
        <f t="shared" si="36"/>
        <v/>
      </c>
      <c r="I86" s="14" t="str">
        <f t="shared" si="36"/>
        <v/>
      </c>
      <c r="J86" s="14" t="str">
        <f t="shared" si="36"/>
        <v/>
      </c>
      <c r="K86" s="14" t="str">
        <f t="shared" si="36"/>
        <v/>
      </c>
      <c r="L86" s="14" t="str">
        <f t="shared" si="36"/>
        <v/>
      </c>
    </row>
    <row r="87" spans="1:21" x14ac:dyDescent="0.35">
      <c r="A87" t="str">
        <f t="shared" si="35"/>
        <v/>
      </c>
      <c r="C87" s="59" t="str">
        <f>IF(OR(C$25="",$A87=""),"",C73-C80)</f>
        <v/>
      </c>
      <c r="D87" s="59" t="str">
        <f t="shared" si="36"/>
        <v/>
      </c>
      <c r="E87" s="59" t="str">
        <f t="shared" si="36"/>
        <v/>
      </c>
      <c r="F87" s="59" t="str">
        <f t="shared" si="36"/>
        <v/>
      </c>
      <c r="G87" s="59" t="str">
        <f t="shared" si="36"/>
        <v/>
      </c>
      <c r="H87" s="59" t="str">
        <f t="shared" si="36"/>
        <v/>
      </c>
      <c r="I87" s="59" t="str">
        <f t="shared" si="36"/>
        <v/>
      </c>
      <c r="J87" s="59" t="str">
        <f t="shared" si="36"/>
        <v/>
      </c>
      <c r="K87" s="59" t="str">
        <f t="shared" si="36"/>
        <v/>
      </c>
      <c r="L87" s="59" t="str">
        <f t="shared" si="36"/>
        <v/>
      </c>
    </row>
    <row r="88" spans="1:21" x14ac:dyDescent="0.35">
      <c r="A88" t="str">
        <f t="shared" si="35"/>
        <v/>
      </c>
      <c r="C88" s="14" t="str">
        <f t="shared" si="36"/>
        <v/>
      </c>
      <c r="D88" s="14" t="str">
        <f t="shared" si="36"/>
        <v/>
      </c>
      <c r="E88" s="14" t="str">
        <f t="shared" si="36"/>
        <v/>
      </c>
      <c r="F88" s="14" t="str">
        <f t="shared" si="36"/>
        <v/>
      </c>
      <c r="G88" s="14" t="str">
        <f t="shared" si="36"/>
        <v/>
      </c>
      <c r="H88" s="14" t="str">
        <f t="shared" si="36"/>
        <v/>
      </c>
      <c r="I88" s="14" t="str">
        <f t="shared" si="36"/>
        <v/>
      </c>
      <c r="J88" s="14" t="str">
        <f t="shared" si="36"/>
        <v/>
      </c>
      <c r="K88" s="14" t="str">
        <f t="shared" si="36"/>
        <v/>
      </c>
      <c r="L88" s="14" t="str">
        <f t="shared" si="36"/>
        <v/>
      </c>
    </row>
    <row r="89" spans="1:21" x14ac:dyDescent="0.35">
      <c r="A89" s="1" t="s">
        <v>125</v>
      </c>
      <c r="B89" s="1"/>
      <c r="C89" s="14">
        <f>IF(C$25&lt;&gt;"",SUM(C83:C88),"")</f>
        <v>19.202087997956422</v>
      </c>
      <c r="D89" s="14">
        <f t="shared" ref="D89:L89" si="37">IF(D$25&lt;&gt;"",SUM(D83:D88),"")</f>
        <v>17.798428243956995</v>
      </c>
      <c r="E89" s="14">
        <f t="shared" si="37"/>
        <v>16.738607840956995</v>
      </c>
      <c r="F89" s="14">
        <f t="shared" si="37"/>
        <v>15.912029191456391</v>
      </c>
      <c r="G89" s="14">
        <f t="shared" si="37"/>
        <v>15.11135424895522</v>
      </c>
      <c r="H89" s="14" t="str">
        <f t="shared" si="37"/>
        <v/>
      </c>
      <c r="I89" s="14" t="str">
        <f t="shared" si="37"/>
        <v/>
      </c>
      <c r="J89" s="14" t="str">
        <f t="shared" si="37"/>
        <v/>
      </c>
      <c r="K89" s="14" t="str">
        <f t="shared" si="37"/>
        <v/>
      </c>
      <c r="L89" s="14" t="str">
        <f t="shared" si="37"/>
        <v/>
      </c>
    </row>
    <row r="90" spans="1:21" x14ac:dyDescent="0.35">
      <c r="A90" s="1" t="s">
        <v>147</v>
      </c>
      <c r="B90" s="1"/>
      <c r="C90" s="14">
        <f>IF(C25&lt;&gt;"",C35+C25-C38-C76-C89*$B$35,"")</f>
        <v>8.1662131346710911</v>
      </c>
      <c r="D90" s="14">
        <f t="shared" ref="D90:L90" si="38">IF(D25&lt;&gt;"",D35+D25-D38-D76-D89*$B$35,"")</f>
        <v>7.9471335200305031</v>
      </c>
      <c r="E90" s="14">
        <f t="shared" si="38"/>
        <v>8.133655491858292</v>
      </c>
      <c r="F90" s="14">
        <f t="shared" si="38"/>
        <v>8.2619293563208807</v>
      </c>
      <c r="G90" s="14">
        <f t="shared" si="38"/>
        <v>8.262459134107031</v>
      </c>
      <c r="H90" s="14" t="str">
        <f t="shared" si="38"/>
        <v/>
      </c>
      <c r="I90" s="14" t="str">
        <f t="shared" si="38"/>
        <v/>
      </c>
      <c r="J90" s="14" t="str">
        <f t="shared" si="38"/>
        <v/>
      </c>
      <c r="K90" s="14" t="str">
        <f t="shared" si="38"/>
        <v/>
      </c>
      <c r="L90" s="14" t="str">
        <f t="shared" si="38"/>
        <v/>
      </c>
    </row>
    <row r="92" spans="1:21" x14ac:dyDescent="0.35">
      <c r="A92" s="1" t="s">
        <v>127</v>
      </c>
      <c r="C92" s="12">
        <f>IF(C$25&lt;&gt;"",0.2,"")</f>
        <v>0.2</v>
      </c>
      <c r="D92" s="12">
        <f t="shared" ref="D92:L92" si="39">IF(D$25&lt;&gt;"",0.2,"")</f>
        <v>0.2</v>
      </c>
      <c r="E92" s="12">
        <f t="shared" si="39"/>
        <v>0.2</v>
      </c>
      <c r="F92" s="12">
        <f t="shared" si="39"/>
        <v>0.2</v>
      </c>
      <c r="G92" s="12">
        <f t="shared" si="39"/>
        <v>0.2</v>
      </c>
      <c r="H92" s="12" t="str">
        <f t="shared" si="39"/>
        <v/>
      </c>
      <c r="I92" s="12" t="str">
        <f t="shared" si="39"/>
        <v/>
      </c>
      <c r="J92" s="12" t="str">
        <f t="shared" si="39"/>
        <v/>
      </c>
      <c r="K92" s="12" t="str">
        <f t="shared" si="39"/>
        <v/>
      </c>
      <c r="L92" s="12" t="str">
        <f t="shared" si="39"/>
        <v/>
      </c>
    </row>
    <row r="93" spans="1:21" x14ac:dyDescent="0.35">
      <c r="A93" t="s">
        <v>128</v>
      </c>
      <c r="C93" s="14">
        <f t="shared" ref="C93:L93" si="40">IF(C$25&lt;&gt;"",C77+C92,"")</f>
        <v>7.0670000000000002</v>
      </c>
      <c r="D93" s="14">
        <f t="shared" si="40"/>
        <v>7.0670000000000002</v>
      </c>
      <c r="E93" s="14">
        <f t="shared" si="40"/>
        <v>7.0670000000000002</v>
      </c>
      <c r="F93" s="14">
        <f t="shared" si="40"/>
        <v>7.0670000000000002</v>
      </c>
      <c r="G93" s="14">
        <f t="shared" si="40"/>
        <v>7.0670000000000002</v>
      </c>
      <c r="H93" s="14" t="str">
        <f t="shared" si="40"/>
        <v/>
      </c>
      <c r="I93" s="14" t="str">
        <f t="shared" si="40"/>
        <v/>
      </c>
      <c r="J93" s="14" t="str">
        <f t="shared" si="40"/>
        <v/>
      </c>
      <c r="K93" s="14" t="str">
        <f t="shared" si="40"/>
        <v/>
      </c>
      <c r="L93" s="14" t="str">
        <f t="shared" si="40"/>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7">
    <cfRule type="cellIs" dxfId="372" priority="65" operator="greaterThan">
      <formula>$C$70</formula>
    </cfRule>
  </conditionalFormatting>
  <conditionalFormatting sqref="C78">
    <cfRule type="cellIs" dxfId="371" priority="64" operator="greaterThan">
      <formula>$C$71</formula>
    </cfRule>
  </conditionalFormatting>
  <conditionalFormatting sqref="C79">
    <cfRule type="cellIs" dxfId="370" priority="63" operator="greaterThan">
      <formula>$C$72</formula>
    </cfRule>
  </conditionalFormatting>
  <conditionalFormatting sqref="C80">
    <cfRule type="cellIs" dxfId="369" priority="62" operator="greaterThan">
      <formula>$C$73</formula>
    </cfRule>
  </conditionalFormatting>
  <conditionalFormatting sqref="C81">
    <cfRule type="cellIs" dxfId="368" priority="61" operator="greaterThan">
      <formula>$C$74</formula>
    </cfRule>
  </conditionalFormatting>
  <conditionalFormatting sqref="D77">
    <cfRule type="cellIs" dxfId="367" priority="59" operator="greaterThan">
      <formula>$D$70</formula>
    </cfRule>
  </conditionalFormatting>
  <conditionalFormatting sqref="D78">
    <cfRule type="cellIs" dxfId="366" priority="58" operator="greaterThan">
      <formula>$D$71</formula>
    </cfRule>
  </conditionalFormatting>
  <conditionalFormatting sqref="D79">
    <cfRule type="cellIs" dxfId="365" priority="57" operator="greaterThan">
      <formula>$D$72</formula>
    </cfRule>
  </conditionalFormatting>
  <conditionalFormatting sqref="D80">
    <cfRule type="cellIs" dxfId="364" priority="56" operator="greaterThan">
      <formula>$D$73</formula>
    </cfRule>
  </conditionalFormatting>
  <conditionalFormatting sqref="D81">
    <cfRule type="cellIs" dxfId="363" priority="55" operator="greaterThan">
      <formula>$D$74</formula>
    </cfRule>
  </conditionalFormatting>
  <conditionalFormatting sqref="E77">
    <cfRule type="cellIs" dxfId="362" priority="53" operator="greaterThan">
      <formula>$E$70</formula>
    </cfRule>
  </conditionalFormatting>
  <conditionalFormatting sqref="E78">
    <cfRule type="cellIs" dxfId="361" priority="52" operator="greaterThan">
      <formula>$E$71</formula>
    </cfRule>
  </conditionalFormatting>
  <conditionalFormatting sqref="E79">
    <cfRule type="cellIs" dxfId="360" priority="51" operator="greaterThan">
      <formula>$E$72</formula>
    </cfRule>
  </conditionalFormatting>
  <conditionalFormatting sqref="E80">
    <cfRule type="cellIs" dxfId="359" priority="50" operator="greaterThan">
      <formula>$E$73</formula>
    </cfRule>
  </conditionalFormatting>
  <conditionalFormatting sqref="E81">
    <cfRule type="cellIs" dxfId="358" priority="49" operator="greaterThan">
      <formula>$E$74</formula>
    </cfRule>
  </conditionalFormatting>
  <conditionalFormatting sqref="F77">
    <cfRule type="cellIs" dxfId="357" priority="47" operator="greaterThan">
      <formula>$F$70</formula>
    </cfRule>
  </conditionalFormatting>
  <conditionalFormatting sqref="F78">
    <cfRule type="cellIs" dxfId="356" priority="46" operator="greaterThan">
      <formula>$F$71</formula>
    </cfRule>
  </conditionalFormatting>
  <conditionalFormatting sqref="F79">
    <cfRule type="cellIs" dxfId="355" priority="45" operator="greaterThan">
      <formula>$F$72</formula>
    </cfRule>
  </conditionalFormatting>
  <conditionalFormatting sqref="F80">
    <cfRule type="cellIs" dxfId="354" priority="44" operator="greaterThan">
      <formula>$F$73</formula>
    </cfRule>
  </conditionalFormatting>
  <conditionalFormatting sqref="F81">
    <cfRule type="cellIs" dxfId="353" priority="43" operator="greaterThan">
      <formula>$F$74</formula>
    </cfRule>
  </conditionalFormatting>
  <conditionalFormatting sqref="G77">
    <cfRule type="cellIs" dxfId="352" priority="41" operator="greaterThan">
      <formula>$G$70</formula>
    </cfRule>
  </conditionalFormatting>
  <conditionalFormatting sqref="G78">
    <cfRule type="cellIs" dxfId="351" priority="40" operator="greaterThan">
      <formula>$G$71</formula>
    </cfRule>
  </conditionalFormatting>
  <conditionalFormatting sqref="G79">
    <cfRule type="cellIs" dxfId="350" priority="39" operator="greaterThan">
      <formula>$G$72</formula>
    </cfRule>
  </conditionalFormatting>
  <conditionalFormatting sqref="G80">
    <cfRule type="cellIs" dxfId="349" priority="38" operator="greaterThan">
      <formula>$G$73</formula>
    </cfRule>
  </conditionalFormatting>
  <conditionalFormatting sqref="G81">
    <cfRule type="cellIs" dxfId="348" priority="37" operator="greaterThan">
      <formula>$G$74</formula>
    </cfRule>
  </conditionalFormatting>
  <conditionalFormatting sqref="H76">
    <cfRule type="cellIs" dxfId="347" priority="36" operator="greaterThan">
      <formula>$H$69</formula>
    </cfRule>
  </conditionalFormatting>
  <conditionalFormatting sqref="H77">
    <cfRule type="cellIs" dxfId="346" priority="35" operator="greaterThan">
      <formula>$H$70</formula>
    </cfRule>
  </conditionalFormatting>
  <conditionalFormatting sqref="H78">
    <cfRule type="cellIs" dxfId="345" priority="34" operator="greaterThan">
      <formula>$H$71</formula>
    </cfRule>
  </conditionalFormatting>
  <conditionalFormatting sqref="H79">
    <cfRule type="cellIs" dxfId="344" priority="33" operator="greaterThan">
      <formula>$H$72</formula>
    </cfRule>
  </conditionalFormatting>
  <conditionalFormatting sqref="H80">
    <cfRule type="cellIs" dxfId="343" priority="32" operator="greaterThan">
      <formula>$H$73</formula>
    </cfRule>
  </conditionalFormatting>
  <conditionalFormatting sqref="H81">
    <cfRule type="cellIs" dxfId="342" priority="31" operator="greaterThan">
      <formula>$H$74</formula>
    </cfRule>
  </conditionalFormatting>
  <conditionalFormatting sqref="I76">
    <cfRule type="cellIs" dxfId="341" priority="30" operator="greaterThan">
      <formula>$I$69</formula>
    </cfRule>
  </conditionalFormatting>
  <conditionalFormatting sqref="I77">
    <cfRule type="cellIs" dxfId="340" priority="29" operator="greaterThan">
      <formula>$I$70</formula>
    </cfRule>
  </conditionalFormatting>
  <conditionalFormatting sqref="I78">
    <cfRule type="cellIs" dxfId="339" priority="28" operator="greaterThan">
      <formula>$I$71</formula>
    </cfRule>
  </conditionalFormatting>
  <conditionalFormatting sqref="I79">
    <cfRule type="cellIs" dxfId="338" priority="27" operator="greaterThan">
      <formula>$I$72</formula>
    </cfRule>
  </conditionalFormatting>
  <conditionalFormatting sqref="I80">
    <cfRule type="cellIs" dxfId="337" priority="26" operator="greaterThan">
      <formula>$I$73</formula>
    </cfRule>
  </conditionalFormatting>
  <conditionalFormatting sqref="I81">
    <cfRule type="cellIs" dxfId="336" priority="25" operator="greaterThan">
      <formula>$I$74</formula>
    </cfRule>
  </conditionalFormatting>
  <conditionalFormatting sqref="J76">
    <cfRule type="cellIs" dxfId="335" priority="24" operator="greaterThan">
      <formula>$J$69</formula>
    </cfRule>
  </conditionalFormatting>
  <conditionalFormatting sqref="J77">
    <cfRule type="cellIs" dxfId="334" priority="23" operator="greaterThan">
      <formula>$J$70</formula>
    </cfRule>
  </conditionalFormatting>
  <conditionalFormatting sqref="J78">
    <cfRule type="cellIs" dxfId="333" priority="22" operator="greaterThan">
      <formula>$J$71</formula>
    </cfRule>
  </conditionalFormatting>
  <conditionalFormatting sqref="J79">
    <cfRule type="cellIs" dxfId="332" priority="21" operator="greaterThan">
      <formula>$J$72</formula>
    </cfRule>
  </conditionalFormatting>
  <conditionalFormatting sqref="J80">
    <cfRule type="cellIs" dxfId="331" priority="20" operator="greaterThan">
      <formula>$J$73</formula>
    </cfRule>
  </conditionalFormatting>
  <conditionalFormatting sqref="J81">
    <cfRule type="cellIs" dxfId="330" priority="19" operator="greaterThan">
      <formula>$J$74</formula>
    </cfRule>
  </conditionalFormatting>
  <conditionalFormatting sqref="K76">
    <cfRule type="cellIs" dxfId="329" priority="18" operator="greaterThan">
      <formula>$K$69</formula>
    </cfRule>
  </conditionalFormatting>
  <conditionalFormatting sqref="K77">
    <cfRule type="cellIs" dxfId="328" priority="17" operator="greaterThan">
      <formula>$K$70</formula>
    </cfRule>
  </conditionalFormatting>
  <conditionalFormatting sqref="K78">
    <cfRule type="cellIs" dxfId="327" priority="16" operator="greaterThan">
      <formula>$K$71</formula>
    </cfRule>
  </conditionalFormatting>
  <conditionalFormatting sqref="K79">
    <cfRule type="cellIs" dxfId="326" priority="15" operator="greaterThan">
      <formula>$K$72</formula>
    </cfRule>
  </conditionalFormatting>
  <conditionalFormatting sqref="K80">
    <cfRule type="cellIs" dxfId="325" priority="14" operator="greaterThan">
      <formula>$K$73</formula>
    </cfRule>
  </conditionalFormatting>
  <conditionalFormatting sqref="K81">
    <cfRule type="cellIs" dxfId="324" priority="13" operator="greaterThan">
      <formula>$K$74</formula>
    </cfRule>
  </conditionalFormatting>
  <conditionalFormatting sqref="L76">
    <cfRule type="cellIs" dxfId="323" priority="12" operator="greaterThan">
      <formula>$L$69</formula>
    </cfRule>
  </conditionalFormatting>
  <conditionalFormatting sqref="L77">
    <cfRule type="cellIs" dxfId="322" priority="11" operator="greaterThan">
      <formula>$L$70</formula>
    </cfRule>
  </conditionalFormatting>
  <conditionalFormatting sqref="L78">
    <cfRule type="cellIs" dxfId="321" priority="10" operator="greaterThan">
      <formula>$L$71</formula>
    </cfRule>
  </conditionalFormatting>
  <conditionalFormatting sqref="L79">
    <cfRule type="cellIs" dxfId="320" priority="9" operator="greaterThan">
      <formula>$L$72</formula>
    </cfRule>
  </conditionalFormatting>
  <conditionalFormatting sqref="L80">
    <cfRule type="cellIs" dxfId="319" priority="8" operator="greaterThan">
      <formula>$L$73</formula>
    </cfRule>
  </conditionalFormatting>
  <conditionalFormatting sqref="L81">
    <cfRule type="cellIs" dxfId="318" priority="7" operator="greaterThan">
      <formula>$L$74</formula>
    </cfRule>
  </conditionalFormatting>
  <conditionalFormatting sqref="D76:F76">
    <cfRule type="cellIs" dxfId="317" priority="3" operator="greaterThan">
      <formula>$D$69</formula>
    </cfRule>
  </conditionalFormatting>
  <conditionalFormatting sqref="G76">
    <cfRule type="cellIs" dxfId="316" priority="1" operator="greaterThan">
      <formula>$G$69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9E82-F81D-4149-A4BD-C0AE45078004}">
  <dimension ref="A1:U97"/>
  <sheetViews>
    <sheetView topLeftCell="A74" zoomScale="150" zoomScaleNormal="150" workbookViewId="0">
      <selection activeCell="N71" sqref="N71:Q71"/>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75"/>
      <c r="I3" s="75"/>
      <c r="J3" s="75"/>
      <c r="K3" s="75"/>
    </row>
    <row r="4" spans="1:11" x14ac:dyDescent="0.35">
      <c r="A4" s="64" t="s">
        <v>39</v>
      </c>
      <c r="B4" s="64" t="s">
        <v>43</v>
      </c>
      <c r="C4" s="116" t="s">
        <v>44</v>
      </c>
      <c r="D4" s="117"/>
      <c r="E4" s="117"/>
      <c r="F4" s="117"/>
      <c r="G4" s="118"/>
    </row>
    <row r="5" spans="1:11" x14ac:dyDescent="0.35">
      <c r="A5" s="76" t="s">
        <v>52</v>
      </c>
      <c r="B5" s="76"/>
      <c r="C5" s="119"/>
      <c r="D5" s="119"/>
      <c r="E5" s="119"/>
      <c r="F5" s="119"/>
      <c r="G5" s="119"/>
    </row>
    <row r="6" spans="1:11" x14ac:dyDescent="0.35">
      <c r="A6" s="74" t="s">
        <v>40</v>
      </c>
      <c r="B6" s="74" t="s">
        <v>184</v>
      </c>
      <c r="C6" s="113" t="s">
        <v>189</v>
      </c>
      <c r="D6" s="113"/>
      <c r="E6" s="113"/>
      <c r="F6" s="113"/>
      <c r="G6" s="113"/>
    </row>
    <row r="7" spans="1:11" x14ac:dyDescent="0.35">
      <c r="A7" s="74" t="s">
        <v>41</v>
      </c>
      <c r="B7" s="74" t="s">
        <v>184</v>
      </c>
      <c r="C7" s="113" t="s">
        <v>190</v>
      </c>
      <c r="D7" s="113"/>
      <c r="E7" s="113"/>
      <c r="F7" s="113"/>
      <c r="G7" s="113"/>
    </row>
    <row r="8" spans="1:11" x14ac:dyDescent="0.35">
      <c r="A8" s="74" t="s">
        <v>42</v>
      </c>
      <c r="B8" s="74" t="s">
        <v>184</v>
      </c>
      <c r="C8" s="113" t="s">
        <v>181</v>
      </c>
      <c r="D8" s="113"/>
      <c r="E8" s="113"/>
      <c r="F8" s="113"/>
      <c r="G8" s="113"/>
    </row>
    <row r="9" spans="1:11" x14ac:dyDescent="0.35">
      <c r="A9" s="74" t="s">
        <v>165</v>
      </c>
      <c r="B9" s="74" t="s">
        <v>184</v>
      </c>
      <c r="C9" s="113" t="s">
        <v>182</v>
      </c>
      <c r="D9" s="113"/>
      <c r="E9" s="113"/>
      <c r="F9" s="113"/>
      <c r="G9" s="113"/>
    </row>
    <row r="10" spans="1:11" x14ac:dyDescent="0.35">
      <c r="A10" s="74" t="s">
        <v>200</v>
      </c>
      <c r="B10" s="74" t="s">
        <v>184</v>
      </c>
      <c r="C10" s="114" t="s">
        <v>201</v>
      </c>
      <c r="D10" s="114"/>
      <c r="E10" s="114"/>
      <c r="F10" s="114"/>
      <c r="G10" s="114"/>
    </row>
    <row r="11" spans="1:11" x14ac:dyDescent="0.35">
      <c r="A11" s="74"/>
      <c r="B11" s="74"/>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3" spans="1:14" x14ac:dyDescent="0.35">
      <c r="A23" t="s">
        <v>226</v>
      </c>
      <c r="B23" s="87">
        <v>3525</v>
      </c>
      <c r="C23" s="87">
        <v>1020</v>
      </c>
      <c r="D23" s="11"/>
    </row>
    <row r="24" spans="1:14" x14ac:dyDescent="0.35">
      <c r="A24" t="s">
        <v>227</v>
      </c>
      <c r="B24" s="12">
        <f>VLOOKUP(B23,'Powell-Elevation-Area'!$A$5:$B$689,2)/1000000</f>
        <v>5.9265762500000001</v>
      </c>
      <c r="C24" s="12">
        <f>VLOOKUP(C23,'Mead-Elevation-Area'!$A$5:$B$689,2)/1000000</f>
        <v>5.664593</v>
      </c>
      <c r="D24" s="11"/>
    </row>
    <row r="26" spans="1:14" s="1" customFormat="1" x14ac:dyDescent="0.35">
      <c r="A26" s="57" t="s">
        <v>35</v>
      </c>
      <c r="B26" s="57" t="s">
        <v>49</v>
      </c>
      <c r="C26" s="58" t="s">
        <v>5</v>
      </c>
      <c r="D26" s="58" t="s">
        <v>6</v>
      </c>
      <c r="E26" s="58" t="s">
        <v>7</v>
      </c>
      <c r="F26" s="58" t="s">
        <v>8</v>
      </c>
      <c r="G26" s="58" t="s">
        <v>9</v>
      </c>
      <c r="H26" s="58" t="s">
        <v>10</v>
      </c>
      <c r="I26" s="58" t="s">
        <v>11</v>
      </c>
      <c r="J26" s="58" t="s">
        <v>12</v>
      </c>
      <c r="K26" s="58" t="s">
        <v>36</v>
      </c>
      <c r="L26" s="58" t="s">
        <v>37</v>
      </c>
      <c r="M26" s="58" t="s">
        <v>108</v>
      </c>
      <c r="N26" s="58" t="s">
        <v>221</v>
      </c>
    </row>
    <row r="27" spans="1:14" x14ac:dyDescent="0.35">
      <c r="A27" s="1" t="s">
        <v>45</v>
      </c>
      <c r="B27" s="1"/>
      <c r="C27" s="45">
        <v>11</v>
      </c>
      <c r="D27" s="45">
        <f>C27</f>
        <v>11</v>
      </c>
      <c r="E27" s="45">
        <f t="shared" ref="E27:G27" si="0">D27</f>
        <v>11</v>
      </c>
      <c r="F27" s="45">
        <f t="shared" si="0"/>
        <v>11</v>
      </c>
      <c r="G27" s="45">
        <f t="shared" si="0"/>
        <v>11</v>
      </c>
      <c r="H27" s="45"/>
      <c r="I27" s="45"/>
      <c r="J27" s="45"/>
      <c r="K27" s="45"/>
      <c r="L27" s="45"/>
    </row>
    <row r="28" spans="1:14" x14ac:dyDescent="0.35">
      <c r="A28" s="1" t="s">
        <v>123</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126</v>
      </c>
      <c r="B29" s="14">
        <f>SUM(B30:B35)-SUM(B22:C22)</f>
        <v>0</v>
      </c>
      <c r="C29" s="14">
        <f>IF(C$27&lt;&gt;"",SUM(B22:C22),"")</f>
        <v>21.1</v>
      </c>
      <c r="D29" s="14">
        <f>IF(D$27&lt;&gt;"",C91,"")</f>
        <v>19.419925837338837</v>
      </c>
      <c r="E29" s="14">
        <f t="shared" ref="E29:L29" si="2">IF(E$27&lt;&gt;"",D91,"")</f>
        <v>18.231948589758943</v>
      </c>
      <c r="F29" s="14">
        <f t="shared" si="2"/>
        <v>17.381121674312499</v>
      </c>
      <c r="G29" s="14">
        <f t="shared" si="2"/>
        <v>16.759082370687665</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5">
        <f>B22-B24</f>
        <v>5.0734237499999999</v>
      </c>
      <c r="C30" s="14">
        <f>IF(OR(C$27="",$A30=""),"",B30)</f>
        <v>5.0734237499999999</v>
      </c>
      <c r="D30" s="14">
        <f>IF(OR(D$27="",$A30=""),"",C85)</f>
        <v>3.2624438809560035</v>
      </c>
      <c r="E30" s="14">
        <f t="shared" ref="E30:L30" si="4">IF(OR(E$27="",$A30=""),"",D85)</f>
        <v>2.0260680412696601</v>
      </c>
      <c r="F30" s="14">
        <f t="shared" si="4"/>
        <v>1.1421434824408987</v>
      </c>
      <c r="G30" s="14">
        <f t="shared" si="4"/>
        <v>0.897830679580228</v>
      </c>
      <c r="H30" s="14" t="str">
        <f t="shared" si="4"/>
        <v/>
      </c>
      <c r="I30" s="14" t="str">
        <f t="shared" si="4"/>
        <v/>
      </c>
      <c r="J30" s="14" t="str">
        <f t="shared" si="4"/>
        <v/>
      </c>
      <c r="K30" s="14" t="str">
        <f t="shared" si="4"/>
        <v/>
      </c>
      <c r="L30" s="14" t="str">
        <f t="shared" si="4"/>
        <v/>
      </c>
      <c r="N30" t="s">
        <v>229</v>
      </c>
    </row>
    <row r="31" spans="1:14" x14ac:dyDescent="0.35">
      <c r="A31" t="str">
        <f t="shared" si="3"/>
        <v xml:space="preserve">    Lower Basin Balance</v>
      </c>
      <c r="B31" s="55">
        <f>C22-C24-B32</f>
        <v>4.3944069999999993</v>
      </c>
      <c r="C31" s="14">
        <f t="shared" ref="C31:C35" si="5">IF(OR(C$27="",$A31=""),"",B31)</f>
        <v>4.3944069999999993</v>
      </c>
      <c r="D31" s="14">
        <f t="shared" ref="D31:L35" si="6">IF(OR(D$27="",$A31=""),"",C86)</f>
        <v>4.566312706382833</v>
      </c>
      <c r="E31" s="14">
        <f t="shared" si="6"/>
        <v>4.6147112984892829</v>
      </c>
      <c r="F31" s="14">
        <f t="shared" si="6"/>
        <v>4.6478089418716007</v>
      </c>
      <c r="G31" s="14">
        <f t="shared" si="6"/>
        <v>4.270082441107439</v>
      </c>
      <c r="H31" s="14" t="str">
        <f t="shared" si="6"/>
        <v/>
      </c>
      <c r="I31" s="14" t="str">
        <f t="shared" si="6"/>
        <v/>
      </c>
      <c r="J31" s="14" t="str">
        <f t="shared" si="6"/>
        <v/>
      </c>
      <c r="K31" s="14" t="str">
        <f t="shared" si="6"/>
        <v/>
      </c>
      <c r="L31" s="14" t="str">
        <f t="shared" si="6"/>
        <v/>
      </c>
      <c r="N31" t="s">
        <v>225</v>
      </c>
    </row>
    <row r="32" spans="1:14" x14ac:dyDescent="0.35">
      <c r="A32" t="str">
        <f t="shared" si="3"/>
        <v xml:space="preserve">    Mexico Balance</v>
      </c>
      <c r="B32" s="86">
        <v>4.1000000000000002E-2</v>
      </c>
      <c r="C32" s="59">
        <f t="shared" si="5"/>
        <v>4.1000000000000002E-2</v>
      </c>
      <c r="D32" s="59">
        <f t="shared" si="6"/>
        <v>0</v>
      </c>
      <c r="E32" s="59">
        <f t="shared" si="6"/>
        <v>0</v>
      </c>
      <c r="F32" s="59">
        <f t="shared" si="6"/>
        <v>0</v>
      </c>
      <c r="G32" s="59">
        <f t="shared" si="6"/>
        <v>0</v>
      </c>
      <c r="H32" s="14" t="str">
        <f t="shared" si="6"/>
        <v/>
      </c>
      <c r="I32" s="14" t="str">
        <f t="shared" si="6"/>
        <v/>
      </c>
      <c r="J32" s="14" t="str">
        <f t="shared" si="6"/>
        <v/>
      </c>
      <c r="K32" s="14" t="str">
        <f t="shared" si="6"/>
        <v/>
      </c>
      <c r="L32" s="14" t="str">
        <f t="shared" si="6"/>
        <v/>
      </c>
      <c r="N32" t="s">
        <v>224</v>
      </c>
    </row>
    <row r="33" spans="1:15" x14ac:dyDescent="0.35">
      <c r="A33" t="str">
        <f t="shared" si="3"/>
        <v xml:space="preserve">    Mohave &amp; Havasu Evap &amp; ET Balance</v>
      </c>
      <c r="B33" s="56">
        <v>0</v>
      </c>
      <c r="C33" s="14">
        <f t="shared" si="5"/>
        <v>0</v>
      </c>
      <c r="D33" s="14">
        <f t="shared" si="6"/>
        <v>0</v>
      </c>
      <c r="E33" s="14">
        <f t="shared" si="6"/>
        <v>0</v>
      </c>
      <c r="F33" s="14">
        <f t="shared" si="6"/>
        <v>0</v>
      </c>
      <c r="G33" s="14">
        <f t="shared" si="6"/>
        <v>0</v>
      </c>
      <c r="H33" s="14" t="str">
        <f t="shared" si="6"/>
        <v/>
      </c>
      <c r="I33" s="14" t="str">
        <f t="shared" si="6"/>
        <v/>
      </c>
      <c r="J33" s="14" t="str">
        <f t="shared" si="6"/>
        <v/>
      </c>
      <c r="K33" s="14" t="str">
        <f t="shared" si="6"/>
        <v/>
      </c>
      <c r="L33" s="14" t="str">
        <f t="shared" si="6"/>
        <v/>
      </c>
    </row>
    <row r="34" spans="1:15" x14ac:dyDescent="0.35">
      <c r="A34" t="str">
        <f t="shared" si="3"/>
        <v xml:space="preserve">    Shared, Reserve Balance</v>
      </c>
      <c r="B34" s="55">
        <f>SUM(B24:C24)</f>
        <v>11.59116925</v>
      </c>
      <c r="C34" s="14">
        <f t="shared" si="5"/>
        <v>11.59116925</v>
      </c>
      <c r="D34" s="14">
        <f t="shared" si="6"/>
        <v>11.59116925</v>
      </c>
      <c r="E34" s="14">
        <f t="shared" si="6"/>
        <v>11.59116925</v>
      </c>
      <c r="F34" s="14">
        <f t="shared" si="6"/>
        <v>11.59116925</v>
      </c>
      <c r="G34" s="14">
        <f t="shared" si="6"/>
        <v>11.59116925</v>
      </c>
      <c r="H34" s="14" t="str">
        <f t="shared" si="6"/>
        <v/>
      </c>
      <c r="I34" s="14" t="str">
        <f t="shared" si="6"/>
        <v/>
      </c>
      <c r="J34" s="14" t="str">
        <f t="shared" si="6"/>
        <v/>
      </c>
      <c r="K34" s="14" t="str">
        <f t="shared" si="6"/>
        <v/>
      </c>
      <c r="L34" s="14" t="str">
        <f t="shared" si="6"/>
        <v/>
      </c>
      <c r="N34" t="s">
        <v>228</v>
      </c>
    </row>
    <row r="35" spans="1:15" x14ac:dyDescent="0.35">
      <c r="A35" t="str">
        <f t="shared" si="3"/>
        <v/>
      </c>
      <c r="B35" s="56"/>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5" x14ac:dyDescent="0.35">
      <c r="A36" s="1" t="s">
        <v>117</v>
      </c>
      <c r="C36"/>
    </row>
    <row r="37" spans="1:15" x14ac:dyDescent="0.35">
      <c r="A37" t="s">
        <v>115</v>
      </c>
      <c r="B37" s="35">
        <v>0.5</v>
      </c>
      <c r="C37" s="14">
        <f>IF(C$27&lt;&gt;"",B22,"")</f>
        <v>11</v>
      </c>
      <c r="D37" s="14">
        <f t="shared" ref="D37:L38" si="7">IF(D27&lt;&gt;"",$B37*D$29,"")</f>
        <v>9.7099629186694187</v>
      </c>
      <c r="E37" s="14">
        <f t="shared" si="7"/>
        <v>9.1159742948794715</v>
      </c>
      <c r="F37" s="14">
        <f t="shared" si="7"/>
        <v>8.6905608371562497</v>
      </c>
      <c r="G37" s="14">
        <f t="shared" si="7"/>
        <v>8.3795411853438324</v>
      </c>
      <c r="H37" s="14" t="str">
        <f t="shared" si="7"/>
        <v/>
      </c>
      <c r="I37" s="14" t="str">
        <f t="shared" si="7"/>
        <v/>
      </c>
      <c r="J37" s="14" t="str">
        <f t="shared" si="7"/>
        <v/>
      </c>
      <c r="K37" s="14" t="str">
        <f t="shared" si="7"/>
        <v/>
      </c>
      <c r="L37" s="14" t="str">
        <f t="shared" si="7"/>
        <v/>
      </c>
    </row>
    <row r="38" spans="1:15" x14ac:dyDescent="0.35">
      <c r="A38" t="s">
        <v>116</v>
      </c>
      <c r="B38" s="35">
        <f>1-B37</f>
        <v>0.5</v>
      </c>
      <c r="C38" s="14">
        <f>IF(C$27&lt;&gt;"",C22,"")</f>
        <v>10.1</v>
      </c>
      <c r="D38" s="14">
        <f t="shared" si="7"/>
        <v>9.7099629186694187</v>
      </c>
      <c r="E38" s="14">
        <f t="shared" si="7"/>
        <v>9.1159742948794715</v>
      </c>
      <c r="F38" s="14">
        <f t="shared" si="7"/>
        <v>8.6905608371562497</v>
      </c>
      <c r="G38" s="14">
        <f t="shared" si="7"/>
        <v>8.3795411853438324</v>
      </c>
      <c r="H38" s="14" t="str">
        <f t="shared" si="7"/>
        <v/>
      </c>
      <c r="I38" s="14" t="str">
        <f t="shared" si="7"/>
        <v/>
      </c>
      <c r="J38" s="14" t="str">
        <f t="shared" si="7"/>
        <v/>
      </c>
      <c r="K38" s="14" t="str">
        <f t="shared" si="7"/>
        <v/>
      </c>
      <c r="L38" s="14" t="str">
        <f t="shared" si="7"/>
        <v/>
      </c>
    </row>
    <row r="39" spans="1:15" x14ac:dyDescent="0.35">
      <c r="A39" s="1" t="s">
        <v>121</v>
      </c>
      <c r="B39" s="1"/>
      <c r="C39" s="14">
        <f>IF(C$27&lt;&gt;"",VLOOKUP(C37*1000000,'Powell-Elevation-Area'!$B$5:$D$689,3)*$B$21/1000000 + VLOOKUP(C38*1000000,'Mead-Elevation-Area'!$B$5:$D$676,3)*$C$21/1000000,"")</f>
        <v>1.0218976799999733</v>
      </c>
      <c r="D39" s="14">
        <f>IF(D$27&lt;&gt;"",VLOOKUP(D37*1000000,'Powell-Elevation-Area'!$B$5:$D$689,3)*$B$21/1000000 + VLOOKUP(D38*1000000,'Mead-Elevation-Area'!$B$5:$D$676,3)*$C$21/1000000,"")</f>
        <v>0.97147479300117312</v>
      </c>
      <c r="E39" s="14">
        <f>IF(E$27&lt;&gt;"",VLOOKUP(E37*1000000,'Powell-Elevation-Area'!$B$5:$D$689,3)*$B$21/1000000 + VLOOKUP(E38*1000000,'Mead-Elevation-Area'!$B$5:$D$676,3)*$C$21/1000000,"")</f>
        <v>0.93656952000060001</v>
      </c>
      <c r="F39" s="14">
        <f>IF(F$27&lt;&gt;"",VLOOKUP(F37*1000000,'Powell-Elevation-Area'!$B$5:$D$689,3)*$B$21/1000000 + VLOOKUP(F38*1000000,'Mead-Elevation-Area'!$B$5:$D$676,3)*$C$21/1000000,"")</f>
        <v>0.90936680550057303</v>
      </c>
      <c r="G39" s="14">
        <f>IF(G$27&lt;&gt;"",VLOOKUP(G37*1000000,'Powell-Elevation-Area'!$B$5:$D$689,3)*$B$21/1000000 + VLOOKUP(G38*1000000,'Mead-Elevation-Area'!$B$5:$D$676,3)*$C$21/1000000,"")</f>
        <v>0.88957864950059995</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5" x14ac:dyDescent="0.35">
      <c r="A40" t="str">
        <f t="shared" ref="A40:A45" si="8">IF(A6="","","    "&amp;A6&amp;" Share")</f>
        <v xml:space="preserve">    Upper Basin Share</v>
      </c>
      <c r="B40" s="1"/>
      <c r="C40" s="14">
        <f>IF(OR(C$27="",$A40=""),"",C$39*C30/C$29)</f>
        <v>0.24571184643515467</v>
      </c>
      <c r="D40" s="14">
        <f t="shared" ref="D40:L40" si="9">IF(OR(D$27="",$A40=""),"",D$39*D30/D$29)</f>
        <v>0.16320257968420676</v>
      </c>
      <c r="E40" s="14">
        <f t="shared" si="9"/>
        <v>0.10407848418168286</v>
      </c>
      <c r="F40" s="14">
        <f t="shared" si="9"/>
        <v>5.9756061174438692E-2</v>
      </c>
      <c r="G40" s="14">
        <f t="shared" si="9"/>
        <v>4.765720376302518E-2</v>
      </c>
      <c r="H40" s="14" t="str">
        <f t="shared" si="9"/>
        <v/>
      </c>
      <c r="I40" s="14" t="str">
        <f t="shared" si="9"/>
        <v/>
      </c>
      <c r="J40" s="14" t="str">
        <f t="shared" si="9"/>
        <v/>
      </c>
      <c r="K40" s="14" t="str">
        <f t="shared" si="9"/>
        <v/>
      </c>
      <c r="L40" s="14" t="str">
        <f t="shared" si="9"/>
        <v/>
      </c>
    </row>
    <row r="41" spans="1:15" x14ac:dyDescent="0.35">
      <c r="A41" t="str">
        <f t="shared" si="8"/>
        <v xml:space="preserve">    Lower Basin Share</v>
      </c>
      <c r="B41" s="1"/>
      <c r="C41" s="14">
        <f t="shared" ref="C41:L45" si="10">IF(OR(C$27="",$A41=""),"",C$39*C31/C$29)</f>
        <v>0.21282627100832421</v>
      </c>
      <c r="D41" s="14">
        <f t="shared" si="10"/>
        <v>0.22842814789141203</v>
      </c>
      <c r="E41" s="14">
        <f t="shared" si="10"/>
        <v>0.23705628197060408</v>
      </c>
      <c r="F41" s="14">
        <f t="shared" si="10"/>
        <v>0.24316975907793106</v>
      </c>
      <c r="G41" s="14">
        <f t="shared" si="10"/>
        <v>0.226657646713429</v>
      </c>
      <c r="H41" s="14" t="str">
        <f t="shared" si="10"/>
        <v/>
      </c>
      <c r="I41" s="14" t="str">
        <f t="shared" si="10"/>
        <v/>
      </c>
      <c r="J41" s="14" t="str">
        <f t="shared" si="10"/>
        <v/>
      </c>
      <c r="K41" s="14" t="str">
        <f t="shared" si="10"/>
        <v/>
      </c>
      <c r="L41" s="14" t="str">
        <f t="shared" si="10"/>
        <v/>
      </c>
    </row>
    <row r="42" spans="1:15" x14ac:dyDescent="0.35">
      <c r="A42" t="str">
        <f t="shared" si="8"/>
        <v xml:space="preserve">    Mexico Share</v>
      </c>
      <c r="B42" s="1"/>
      <c r="C42" s="14">
        <f t="shared" si="10"/>
        <v>1.9856779563980523E-3</v>
      </c>
      <c r="D42" s="14">
        <f t="shared" si="10"/>
        <v>0</v>
      </c>
      <c r="E42" s="14">
        <f t="shared" si="10"/>
        <v>0</v>
      </c>
      <c r="F42" s="14">
        <f t="shared" si="10"/>
        <v>0</v>
      </c>
      <c r="G42" s="14">
        <f t="shared" si="10"/>
        <v>0</v>
      </c>
      <c r="H42" s="14" t="str">
        <f t="shared" si="10"/>
        <v/>
      </c>
      <c r="I42" s="14" t="str">
        <f t="shared" si="10"/>
        <v/>
      </c>
      <c r="J42" s="14" t="str">
        <f t="shared" si="10"/>
        <v/>
      </c>
      <c r="K42" s="14" t="str">
        <f t="shared" si="10"/>
        <v/>
      </c>
      <c r="L42" s="14" t="str">
        <f t="shared" si="10"/>
        <v/>
      </c>
    </row>
    <row r="43" spans="1:15" x14ac:dyDescent="0.35">
      <c r="A43" t="str">
        <f t="shared" si="8"/>
        <v xml:space="preserve">    Mohave &amp; Havasu Evap &amp; ET Share</v>
      </c>
      <c r="B43" s="1"/>
      <c r="C43" s="14">
        <f t="shared" si="10"/>
        <v>0</v>
      </c>
      <c r="D43" s="14">
        <f t="shared" si="10"/>
        <v>0</v>
      </c>
      <c r="E43" s="14">
        <f t="shared" si="10"/>
        <v>0</v>
      </c>
      <c r="F43" s="14">
        <f t="shared" si="10"/>
        <v>0</v>
      </c>
      <c r="G43" s="14">
        <f t="shared" si="10"/>
        <v>0</v>
      </c>
      <c r="H43" s="14" t="str">
        <f t="shared" si="10"/>
        <v/>
      </c>
      <c r="I43" s="14" t="str">
        <f t="shared" si="10"/>
        <v/>
      </c>
      <c r="J43" s="14" t="str">
        <f t="shared" si="10"/>
        <v/>
      </c>
      <c r="K43" s="14" t="str">
        <f t="shared" si="10"/>
        <v/>
      </c>
      <c r="L43" s="14" t="str">
        <f t="shared" si="10"/>
        <v/>
      </c>
    </row>
    <row r="44" spans="1:15" x14ac:dyDescent="0.35">
      <c r="A44" t="str">
        <f t="shared" si="8"/>
        <v xml:space="preserve">    Shared, Reserve Share</v>
      </c>
      <c r="B44" s="1"/>
      <c r="C44" s="14">
        <f t="shared" si="10"/>
        <v>0.56137388460009618</v>
      </c>
      <c r="D44" s="14">
        <f t="shared" si="10"/>
        <v>0.57984406542555433</v>
      </c>
      <c r="E44" s="14">
        <f t="shared" si="10"/>
        <v>0.59543475384831313</v>
      </c>
      <c r="F44" s="14">
        <f t="shared" si="10"/>
        <v>0.60644098524820333</v>
      </c>
      <c r="G44" s="14">
        <f t="shared" si="10"/>
        <v>0.61526379902414585</v>
      </c>
      <c r="H44" s="14" t="str">
        <f t="shared" si="10"/>
        <v/>
      </c>
      <c r="I44" s="14" t="str">
        <f t="shared" si="10"/>
        <v/>
      </c>
      <c r="J44" s="14" t="str">
        <f t="shared" si="10"/>
        <v/>
      </c>
      <c r="K44" s="14" t="str">
        <f t="shared" si="10"/>
        <v/>
      </c>
      <c r="L44" s="14" t="str">
        <f t="shared" si="10"/>
        <v/>
      </c>
    </row>
    <row r="45" spans="1:15"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5" x14ac:dyDescent="0.35">
      <c r="A46" s="1" t="s">
        <v>161</v>
      </c>
      <c r="B46" s="1"/>
      <c r="C46" s="50">
        <f>IF(C$27&lt;&gt;"",1.5-$B$52/9/2-IF(C$31&lt;$O$80,$Q$80,IF(C$31&lt;=$O$87,VLOOKUP(C$31,$O$80:$Q$87,3),0)),"")</f>
        <v>1.35</v>
      </c>
      <c r="D46" s="50">
        <f t="shared" ref="D46:L46" si="11">IF(D$27&lt;&gt;"",1.5-$B$52/9-IF(D$31&lt;$O$80,$Q$80,IF(D$31&lt;=$O$87,VLOOKUP(D$31,$O$80:$Q$87,3),0)),"")</f>
        <v>1.35</v>
      </c>
      <c r="E46" s="50">
        <f t="shared" si="11"/>
        <v>1.35</v>
      </c>
      <c r="F46" s="50">
        <f t="shared" si="11"/>
        <v>1.35</v>
      </c>
      <c r="G46" s="50">
        <f t="shared" si="11"/>
        <v>1.35</v>
      </c>
      <c r="H46" s="50" t="str">
        <f t="shared" si="11"/>
        <v/>
      </c>
      <c r="I46" s="50" t="str">
        <f t="shared" si="11"/>
        <v/>
      </c>
      <c r="J46" s="50" t="str">
        <f t="shared" si="11"/>
        <v/>
      </c>
      <c r="K46" s="50" t="str">
        <f t="shared" si="11"/>
        <v/>
      </c>
      <c r="L46" s="50" t="str">
        <f t="shared" si="11"/>
        <v/>
      </c>
    </row>
    <row r="47" spans="1:15" x14ac:dyDescent="0.35">
      <c r="A47" s="1" t="s">
        <v>162</v>
      </c>
      <c r="B47" s="1"/>
      <c r="C47" s="46"/>
    </row>
    <row r="48" spans="1:15" x14ac:dyDescent="0.35">
      <c r="A48" t="str">
        <f t="shared" ref="A48:A53" si="12">IF(A6="","","    To "&amp;A6)</f>
        <v xml:space="preserve">    To Upper Basin</v>
      </c>
      <c r="B48" s="24" t="s">
        <v>164</v>
      </c>
      <c r="C48" s="14">
        <f>IF(OR(C$27="",$A4=""),"",MAX(0,C$27-SUM(C49:C52)))</f>
        <v>2.6347319773911586</v>
      </c>
      <c r="D48" s="14">
        <f t="shared" ref="D48:G48" si="13">IF(OR(D$27="",$A4=""),"",MAX(0,D$27-SUM(D49:D52)))</f>
        <v>2.6268267399978633</v>
      </c>
      <c r="E48" s="14">
        <f t="shared" si="13"/>
        <v>2.6201539253529216</v>
      </c>
      <c r="F48" s="14">
        <f t="shared" si="13"/>
        <v>2.6154432583137677</v>
      </c>
      <c r="G48" s="14">
        <f t="shared" si="13"/>
        <v>2.6116670940176654</v>
      </c>
      <c r="H48" s="14" t="str">
        <f t="shared" ref="D48:L48" si="14">IF(OR(H$27="",$A4=""),"",MAX(0,H$27-SUM(H49:H50)))</f>
        <v/>
      </c>
      <c r="I48" s="14" t="str">
        <f t="shared" si="14"/>
        <v/>
      </c>
      <c r="J48" s="14" t="str">
        <f t="shared" si="14"/>
        <v/>
      </c>
      <c r="K48" s="14" t="str">
        <f t="shared" si="14"/>
        <v/>
      </c>
      <c r="L48" s="14" t="str">
        <f t="shared" si="14"/>
        <v/>
      </c>
      <c r="N48" s="78"/>
      <c r="O48" s="78"/>
    </row>
    <row r="49" spans="1:15" x14ac:dyDescent="0.35">
      <c r="A49" t="str">
        <f t="shared" si="12"/>
        <v xml:space="preserve">    To Lower Basin</v>
      </c>
      <c r="B49" s="44">
        <f>7.5-$B$52</f>
        <v>7.5</v>
      </c>
      <c r="C49" s="14">
        <f>IF(OR(C$27="",$A49=""),"",IF(C$27&lt;SUM(C50:C52),0,IF(C$27&lt;SUM(C50:C52)+$B49-C52*(1-0.144)/2,C$27-SUM(C50:C52),$B49-C52*(1-0.144)/2)))</f>
        <v>7.2597319773911586</v>
      </c>
      <c r="D49" s="14">
        <f t="shared" ref="D49:G49" si="15">IF(OR(D$27="",$A49=""),"",IF(D$27&lt;SUM(D50:D52),0,IF(D$27&lt;SUM(D50:D52)+$B49-D52*(1-0.144)/2,D$27-SUM(D50:D52),$B49-D52*(1-0.144)/2)))</f>
        <v>7.2518267399978624</v>
      </c>
      <c r="E49" s="14">
        <f t="shared" si="15"/>
        <v>7.2451539253529216</v>
      </c>
      <c r="F49" s="14">
        <f t="shared" si="15"/>
        <v>7.2404432583137694</v>
      </c>
      <c r="G49" s="14">
        <f t="shared" si="15"/>
        <v>7.2366670940176654</v>
      </c>
      <c r="H49" s="14" t="str">
        <f t="shared" ref="H49:L49" si="16">IF(OR(H$27="",$A49=""),"",IF(H$27&lt;$B50,0,IF(H$27&gt;$B49,$B49,H$27)))</f>
        <v/>
      </c>
      <c r="I49" s="14" t="str">
        <f t="shared" si="16"/>
        <v/>
      </c>
      <c r="J49" s="14" t="str">
        <f t="shared" si="16"/>
        <v/>
      </c>
      <c r="K49" s="14" t="str">
        <f t="shared" si="16"/>
        <v/>
      </c>
      <c r="L49" s="14" t="str">
        <f t="shared" si="16"/>
        <v/>
      </c>
      <c r="N49" s="78"/>
      <c r="O49" s="78"/>
    </row>
    <row r="50" spans="1:15" x14ac:dyDescent="0.35">
      <c r="A50" t="str">
        <f t="shared" si="12"/>
        <v xml:space="preserve">    To Mexico</v>
      </c>
      <c r="B50" s="44">
        <f>C46/2-0.05</f>
        <v>0.625</v>
      </c>
      <c r="C50" s="14">
        <f>IF(OR(C$27="",$A50=""),"",IF(C$27&gt;C52,$B50-C$44*0.144,C$27-C52))</f>
        <v>0.54416216061758615</v>
      </c>
      <c r="D50" s="14">
        <f t="shared" ref="D50:G50" si="17">IF(OR(D$27="",$A50=""),"",IF(D$27&gt;D52,$B50-D$44*0.144,D$27-D52))</f>
        <v>0.54150245457872015</v>
      </c>
      <c r="E50" s="14">
        <f t="shared" si="17"/>
        <v>0.53925739544584295</v>
      </c>
      <c r="F50" s="14">
        <f t="shared" si="17"/>
        <v>0.53767249812425877</v>
      </c>
      <c r="G50" s="14">
        <f t="shared" si="17"/>
        <v>0.53640201294052303</v>
      </c>
      <c r="H50" s="14" t="str">
        <f t="shared" ref="H50:L50" si="18">IF(OR(H$27="",$A50=""),"",IF(H$27&gt;$B50,$B50,H$27))</f>
        <v/>
      </c>
      <c r="I50" s="14" t="str">
        <f t="shared" si="18"/>
        <v/>
      </c>
      <c r="J50" s="14" t="str">
        <f t="shared" si="18"/>
        <v/>
      </c>
      <c r="K50" s="14" t="str">
        <f t="shared" si="18"/>
        <v/>
      </c>
      <c r="L50" s="14" t="str">
        <f t="shared" si="18"/>
        <v/>
      </c>
      <c r="N50" s="78"/>
      <c r="O50" s="78"/>
    </row>
    <row r="51" spans="1:15" x14ac:dyDescent="0.35">
      <c r="A51" t="str">
        <f t="shared" si="12"/>
        <v xml:space="preserve">    To Mohave &amp; Havasu Evap &amp; ET</v>
      </c>
      <c r="B51" s="44">
        <v>0</v>
      </c>
      <c r="C51" s="14">
        <f t="shared" ref="C51:L53" si="19">IF(OR(C$27="",$A51=""),"",IF(C$27&gt;$B51,$B51,C$27))</f>
        <v>0</v>
      </c>
      <c r="D51" s="14">
        <f t="shared" si="19"/>
        <v>0</v>
      </c>
      <c r="E51" s="14">
        <f t="shared" si="19"/>
        <v>0</v>
      </c>
      <c r="F51" s="14">
        <f t="shared" si="19"/>
        <v>0</v>
      </c>
      <c r="G51" s="14">
        <f t="shared" si="19"/>
        <v>0</v>
      </c>
      <c r="H51" s="14" t="str">
        <f t="shared" si="19"/>
        <v/>
      </c>
      <c r="I51" s="14" t="str">
        <f t="shared" si="19"/>
        <v/>
      </c>
      <c r="J51" s="14" t="str">
        <f t="shared" si="19"/>
        <v/>
      </c>
      <c r="K51" s="14" t="str">
        <f t="shared" si="19"/>
        <v/>
      </c>
      <c r="L51" s="14" t="str">
        <f t="shared" si="19"/>
        <v/>
      </c>
    </row>
    <row r="52" spans="1:15" x14ac:dyDescent="0.35">
      <c r="A52" t="str">
        <f t="shared" si="12"/>
        <v xml:space="preserve">    To Shared, Reserve</v>
      </c>
      <c r="B52" s="44"/>
      <c r="C52" s="14">
        <f>IF(OR(C$27="",$A52=""),"",IF(C$27&gt;C44,C44,C$27))</f>
        <v>0.56137388460009618</v>
      </c>
      <c r="D52" s="14">
        <f t="shared" ref="D52:G52" si="20">IF(OR(D$27="",$A52=""),"",IF(D$27&gt;D44,D44,D$27))</f>
        <v>0.57984406542555433</v>
      </c>
      <c r="E52" s="14">
        <f t="shared" si="20"/>
        <v>0.59543475384831313</v>
      </c>
      <c r="F52" s="14">
        <f t="shared" si="20"/>
        <v>0.60644098524820333</v>
      </c>
      <c r="G52" s="14">
        <f t="shared" si="20"/>
        <v>0.61526379902414585</v>
      </c>
      <c r="H52" s="59" t="str">
        <f t="shared" si="19"/>
        <v/>
      </c>
      <c r="I52" s="59" t="str">
        <f t="shared" si="19"/>
        <v/>
      </c>
      <c r="J52" s="59" t="str">
        <f t="shared" si="19"/>
        <v/>
      </c>
      <c r="K52" s="59" t="str">
        <f t="shared" si="19"/>
        <v/>
      </c>
      <c r="L52" s="59" t="str">
        <f t="shared" si="19"/>
        <v/>
      </c>
    </row>
    <row r="53" spans="1:15" x14ac:dyDescent="0.35">
      <c r="A53" t="str">
        <f t="shared" si="12"/>
        <v/>
      </c>
      <c r="B53" s="44"/>
      <c r="C53" s="14" t="str">
        <f t="shared" si="19"/>
        <v/>
      </c>
      <c r="D53" s="14" t="str">
        <f t="shared" si="19"/>
        <v/>
      </c>
      <c r="E53" s="14" t="str">
        <f t="shared" si="19"/>
        <v/>
      </c>
      <c r="F53" s="14" t="str">
        <f t="shared" si="19"/>
        <v/>
      </c>
      <c r="G53" s="14" t="str">
        <f t="shared" si="19"/>
        <v/>
      </c>
      <c r="H53" s="14" t="str">
        <f t="shared" si="19"/>
        <v/>
      </c>
      <c r="I53" s="14" t="str">
        <f t="shared" si="19"/>
        <v/>
      </c>
      <c r="J53" s="14" t="str">
        <f t="shared" si="19"/>
        <v/>
      </c>
      <c r="K53" s="14" t="str">
        <f t="shared" si="19"/>
        <v/>
      </c>
      <c r="L53" s="14" t="str">
        <f t="shared" si="19"/>
        <v/>
      </c>
    </row>
    <row r="54" spans="1:15" x14ac:dyDescent="0.35">
      <c r="A54" s="1" t="s">
        <v>163</v>
      </c>
      <c r="B54" s="1"/>
      <c r="C54"/>
    </row>
    <row r="55" spans="1:15" x14ac:dyDescent="0.35">
      <c r="A55" t="str">
        <f t="shared" ref="A55:A60" si="21">IF(A6="","","    To "&amp;A6)</f>
        <v xml:space="preserve">    To Upper Basin</v>
      </c>
      <c r="B55" s="24">
        <v>0</v>
      </c>
      <c r="C55" s="14">
        <f>IF(OR($A55="",C$27=""),"",IF(C$28&gt;$B55,$B55,C$28))</f>
        <v>0</v>
      </c>
      <c r="D55" s="14">
        <f t="shared" ref="D55:L55" si="22">IF(OR($A55="",D$27=""),"",IF(D$28&gt;$B55,$B55,D$28))</f>
        <v>0</v>
      </c>
      <c r="E55" s="14">
        <f t="shared" si="22"/>
        <v>0</v>
      </c>
      <c r="F55" s="14">
        <f t="shared" si="22"/>
        <v>0</v>
      </c>
      <c r="G55" s="14">
        <f t="shared" si="22"/>
        <v>0</v>
      </c>
      <c r="H55" s="14" t="str">
        <f t="shared" si="22"/>
        <v/>
      </c>
      <c r="I55" s="14" t="str">
        <f t="shared" si="22"/>
        <v/>
      </c>
      <c r="J55" s="14" t="str">
        <f t="shared" si="22"/>
        <v/>
      </c>
      <c r="K55" s="14" t="str">
        <f t="shared" si="22"/>
        <v/>
      </c>
      <c r="L55" s="14" t="str">
        <f t="shared" si="22"/>
        <v/>
      </c>
    </row>
    <row r="56" spans="1:15" x14ac:dyDescent="0.35">
      <c r="A56" t="str">
        <f t="shared" si="21"/>
        <v xml:space="preserve">    To Lower Basin</v>
      </c>
      <c r="B56" s="44" t="s">
        <v>164</v>
      </c>
      <c r="C56" s="14">
        <f>IF(OR(C$27="",$A56=""),"",C$28-SUM(C57:C58))</f>
        <v>-0.47499999999999987</v>
      </c>
      <c r="D56" s="14">
        <f t="shared" ref="D56:L56" si="23">IF(OR(D$27="",$A56=""),"",D$28-SUM(D57:D58))</f>
        <v>-0.47499999999999987</v>
      </c>
      <c r="E56" s="14">
        <f t="shared" si="23"/>
        <v>-0.47499999999999987</v>
      </c>
      <c r="F56" s="14">
        <f t="shared" si="23"/>
        <v>-0.47499999999999987</v>
      </c>
      <c r="G56" s="14">
        <f t="shared" si="23"/>
        <v>-0.47499999999999987</v>
      </c>
      <c r="H56" s="14" t="str">
        <f t="shared" si="23"/>
        <v/>
      </c>
      <c r="I56" s="14" t="str">
        <f t="shared" si="23"/>
        <v/>
      </c>
      <c r="J56" s="14" t="str">
        <f t="shared" si="23"/>
        <v/>
      </c>
      <c r="K56" s="14" t="str">
        <f t="shared" si="23"/>
        <v/>
      </c>
      <c r="L56" s="14" t="str">
        <f t="shared" si="23"/>
        <v/>
      </c>
    </row>
    <row r="57" spans="1:15" x14ac:dyDescent="0.35">
      <c r="A57" t="str">
        <f t="shared" si="21"/>
        <v xml:space="preserve">    To Mexico</v>
      </c>
      <c r="B57" s="44">
        <f>C46/2</f>
        <v>0.67500000000000004</v>
      </c>
      <c r="C57" s="14">
        <f>IF(OR(C$27="",$A57=""),"",C46/2)</f>
        <v>0.67500000000000004</v>
      </c>
      <c r="D57" s="14">
        <f t="shared" ref="D57:L57" si="24">IF(OR(D$27="",$A57=""),"",D46/2)</f>
        <v>0.67500000000000004</v>
      </c>
      <c r="E57" s="14">
        <f t="shared" si="24"/>
        <v>0.67500000000000004</v>
      </c>
      <c r="F57" s="14">
        <f t="shared" si="24"/>
        <v>0.67500000000000004</v>
      </c>
      <c r="G57" s="14">
        <f t="shared" si="24"/>
        <v>0.67500000000000004</v>
      </c>
      <c r="H57" s="14" t="str">
        <f t="shared" si="24"/>
        <v/>
      </c>
      <c r="I57" s="14" t="str">
        <f t="shared" si="24"/>
        <v/>
      </c>
      <c r="J57" s="14" t="str">
        <f t="shared" si="24"/>
        <v/>
      </c>
      <c r="K57" s="14" t="str">
        <f t="shared" si="24"/>
        <v/>
      </c>
      <c r="L57" s="14" t="str">
        <f t="shared" si="24"/>
        <v/>
      </c>
    </row>
    <row r="58" spans="1:15" x14ac:dyDescent="0.35">
      <c r="A58" t="str">
        <f t="shared" si="21"/>
        <v xml:space="preserve">    To Mohave &amp; Havasu Evap &amp; ET</v>
      </c>
      <c r="B58" s="44">
        <v>0.6</v>
      </c>
      <c r="C58" s="14">
        <f>IF(OR($A58="",C$27=""),"",IF(C$28&gt;$B58,$B58,C$28))</f>
        <v>0.6</v>
      </c>
      <c r="D58" s="14">
        <f t="shared" ref="D58:L58" si="25">IF(OR($A58="",D$27=""),"",IF(D$28&gt;$B58,$B58,D$28))</f>
        <v>0.6</v>
      </c>
      <c r="E58" s="14">
        <f t="shared" si="25"/>
        <v>0.6</v>
      </c>
      <c r="F58" s="14">
        <f t="shared" si="25"/>
        <v>0.6</v>
      </c>
      <c r="G58" s="14">
        <f t="shared" si="25"/>
        <v>0.6</v>
      </c>
      <c r="H58" s="14" t="str">
        <f t="shared" si="25"/>
        <v/>
      </c>
      <c r="I58" s="14" t="str">
        <f t="shared" si="25"/>
        <v/>
      </c>
      <c r="J58" s="14" t="str">
        <f t="shared" si="25"/>
        <v/>
      </c>
      <c r="K58" s="14" t="str">
        <f t="shared" si="25"/>
        <v/>
      </c>
      <c r="L58" s="14" t="str">
        <f t="shared" si="25"/>
        <v/>
      </c>
    </row>
    <row r="59" spans="1:15" x14ac:dyDescent="0.35">
      <c r="A59" t="str">
        <f t="shared" si="21"/>
        <v xml:space="preserve">    To Shared, Reserve</v>
      </c>
      <c r="B59" s="61"/>
      <c r="C59" s="14">
        <f t="shared" ref="C59:L60" si="26">IF(OR($A59="",C$27=""),"",IF(C$28&gt;$B59,$B59,C$28))</f>
        <v>0</v>
      </c>
      <c r="D59" s="14">
        <f t="shared" si="26"/>
        <v>0</v>
      </c>
      <c r="E59" s="14">
        <f t="shared" si="26"/>
        <v>0</v>
      </c>
      <c r="F59" s="14">
        <f t="shared" si="26"/>
        <v>0</v>
      </c>
      <c r="G59" s="14">
        <f t="shared" si="26"/>
        <v>0</v>
      </c>
      <c r="H59" s="14" t="str">
        <f t="shared" si="26"/>
        <v/>
      </c>
      <c r="I59" s="14" t="str">
        <f t="shared" si="26"/>
        <v/>
      </c>
      <c r="J59" s="14" t="str">
        <f t="shared" si="26"/>
        <v/>
      </c>
      <c r="K59" s="14" t="str">
        <f t="shared" si="26"/>
        <v/>
      </c>
      <c r="L59" s="14" t="str">
        <f t="shared" si="26"/>
        <v/>
      </c>
    </row>
    <row r="60" spans="1:15" x14ac:dyDescent="0.35">
      <c r="A60" t="str">
        <f t="shared" si="21"/>
        <v/>
      </c>
      <c r="B60" s="44"/>
      <c r="C60" s="14" t="str">
        <f t="shared" si="26"/>
        <v/>
      </c>
      <c r="D60" s="14" t="str">
        <f t="shared" si="26"/>
        <v/>
      </c>
      <c r="E60" s="14" t="str">
        <f t="shared" si="26"/>
        <v/>
      </c>
      <c r="F60" s="14" t="str">
        <f t="shared" si="26"/>
        <v/>
      </c>
      <c r="G60" s="14" t="str">
        <f t="shared" si="26"/>
        <v/>
      </c>
      <c r="H60" s="14" t="str">
        <f t="shared" si="26"/>
        <v/>
      </c>
      <c r="I60" s="14" t="str">
        <f t="shared" si="26"/>
        <v/>
      </c>
      <c r="J60" s="14" t="str">
        <f t="shared" si="26"/>
        <v/>
      </c>
      <c r="K60" s="14" t="str">
        <f t="shared" si="26"/>
        <v/>
      </c>
      <c r="L60" s="14" t="str">
        <f t="shared" si="26"/>
        <v/>
      </c>
    </row>
    <row r="61" spans="1:15" x14ac:dyDescent="0.35">
      <c r="A61" s="1" t="s">
        <v>167</v>
      </c>
      <c r="C61"/>
      <c r="M61" t="s">
        <v>168</v>
      </c>
    </row>
    <row r="62" spans="1:15" x14ac:dyDescent="0.35">
      <c r="A62" t="str">
        <f t="shared" ref="A62:A67" si="27">IF(A6="","","    "&amp;A6)</f>
        <v xml:space="preserve">    Upper Basin</v>
      </c>
      <c r="B62" s="1"/>
      <c r="C62" s="25">
        <v>0.5</v>
      </c>
      <c r="D62" s="25">
        <v>0.4</v>
      </c>
      <c r="E62" s="25">
        <v>0.4</v>
      </c>
      <c r="F62" s="50"/>
      <c r="G62" s="50"/>
      <c r="H62" s="50"/>
      <c r="I62" s="50"/>
      <c r="J62" s="50"/>
      <c r="K62" s="50"/>
      <c r="L62" s="50"/>
      <c r="M62" s="54">
        <f>SUMPRODUCT(C62:L62,C$69:L$69)</f>
        <v>455</v>
      </c>
    </row>
    <row r="63" spans="1:15" x14ac:dyDescent="0.35">
      <c r="A63" t="str">
        <f t="shared" si="27"/>
        <v xml:space="preserve">    Lower Basin</v>
      </c>
      <c r="B63" s="1"/>
      <c r="C63" s="70">
        <f>-C62</f>
        <v>-0.5</v>
      </c>
      <c r="D63" s="70">
        <f t="shared" ref="D63:E63" si="28">-D62</f>
        <v>-0.4</v>
      </c>
      <c r="E63" s="70">
        <f t="shared" si="28"/>
        <v>-0.4</v>
      </c>
      <c r="F63" s="62"/>
      <c r="G63" s="62"/>
      <c r="H63" s="62"/>
      <c r="I63" s="62"/>
      <c r="J63" s="62"/>
      <c r="K63" s="67"/>
      <c r="L63" s="62"/>
      <c r="M63" s="54">
        <f t="shared" ref="M63:M67" si="29">SUMPRODUCT(C63:L63,C$69:L$69)</f>
        <v>-455</v>
      </c>
    </row>
    <row r="64" spans="1:15" x14ac:dyDescent="0.35">
      <c r="A64" t="str">
        <f t="shared" si="27"/>
        <v xml:space="preserve">    Mexico</v>
      </c>
      <c r="B64" s="1"/>
      <c r="C64" s="50"/>
      <c r="D64" s="50"/>
      <c r="E64" s="68"/>
      <c r="F64" s="50"/>
      <c r="G64" s="50"/>
      <c r="H64" s="68"/>
      <c r="I64" s="50"/>
      <c r="J64" s="50"/>
      <c r="K64" s="68"/>
      <c r="L64" s="50"/>
      <c r="M64" s="54">
        <f t="shared" si="29"/>
        <v>0</v>
      </c>
    </row>
    <row r="65" spans="1:21" x14ac:dyDescent="0.35">
      <c r="A65" t="str">
        <f t="shared" si="27"/>
        <v xml:space="preserve">    Mohave &amp; Havasu Evap &amp; ET</v>
      </c>
      <c r="B65" s="1"/>
      <c r="C65" s="50"/>
      <c r="D65" s="50"/>
      <c r="E65" s="68"/>
      <c r="F65" s="50"/>
      <c r="G65" s="50"/>
      <c r="H65" s="68"/>
      <c r="I65" s="50"/>
      <c r="J65" s="50"/>
      <c r="K65" s="68"/>
      <c r="L65" s="50"/>
      <c r="M65" s="54">
        <f t="shared" si="29"/>
        <v>0</v>
      </c>
    </row>
    <row r="66" spans="1:21" x14ac:dyDescent="0.35">
      <c r="A66" t="str">
        <f t="shared" si="27"/>
        <v xml:space="preserve">    Shared, Reserve</v>
      </c>
      <c r="B66" s="1"/>
      <c r="C66" s="50"/>
      <c r="D66" s="50"/>
      <c r="E66" s="68"/>
      <c r="F66" s="50"/>
      <c r="G66" s="50"/>
      <c r="H66" s="68"/>
      <c r="I66" s="50"/>
      <c r="J66" s="50"/>
      <c r="K66" s="68"/>
      <c r="L66" s="50"/>
      <c r="M66" s="54">
        <f t="shared" si="29"/>
        <v>0</v>
      </c>
    </row>
    <row r="67" spans="1:21" x14ac:dyDescent="0.35">
      <c r="A67" t="str">
        <f t="shared" si="27"/>
        <v/>
      </c>
      <c r="B67" s="1"/>
      <c r="C67" s="50"/>
      <c r="D67" s="50"/>
      <c r="E67" s="50"/>
      <c r="F67" s="50"/>
      <c r="G67" s="50"/>
      <c r="H67" s="50"/>
      <c r="I67" s="50"/>
      <c r="J67" s="50"/>
      <c r="K67" s="50"/>
      <c r="L67" s="50"/>
      <c r="M67" s="54">
        <f t="shared" si="29"/>
        <v>0</v>
      </c>
    </row>
    <row r="68" spans="1:21" x14ac:dyDescent="0.35">
      <c r="A68" t="s">
        <v>159</v>
      </c>
      <c r="B68" s="1"/>
      <c r="C68" s="53">
        <f>IF(C$27&lt;&gt;"",SUM(C62:C67),"")</f>
        <v>0</v>
      </c>
      <c r="D68" s="53">
        <f t="shared" ref="D68:L68" si="30">IF(D$27&lt;&gt;"",SUM(D62:D67),"")</f>
        <v>0</v>
      </c>
      <c r="E68" s="53">
        <f t="shared" si="30"/>
        <v>0</v>
      </c>
      <c r="F68" s="53">
        <f t="shared" si="30"/>
        <v>0</v>
      </c>
      <c r="G68" s="53">
        <f t="shared" si="30"/>
        <v>0</v>
      </c>
      <c r="H68" s="53" t="str">
        <f t="shared" si="30"/>
        <v/>
      </c>
      <c r="I68" s="53" t="str">
        <f t="shared" si="30"/>
        <v/>
      </c>
      <c r="J68" s="53" t="str">
        <f t="shared" si="30"/>
        <v/>
      </c>
      <c r="K68" s="53" t="str">
        <f t="shared" si="30"/>
        <v/>
      </c>
      <c r="L68" s="53" t="str">
        <f t="shared" si="30"/>
        <v/>
      </c>
      <c r="M68" s="34"/>
    </row>
    <row r="69" spans="1:21" x14ac:dyDescent="0.35">
      <c r="A69" t="s">
        <v>160</v>
      </c>
      <c r="B69" s="1"/>
      <c r="C69" s="31">
        <v>350</v>
      </c>
      <c r="D69" s="31">
        <v>350</v>
      </c>
      <c r="E69" s="31">
        <v>350</v>
      </c>
      <c r="F69" s="31"/>
      <c r="G69" s="31"/>
      <c r="H69" s="31"/>
      <c r="I69" s="31"/>
      <c r="J69" s="31"/>
      <c r="K69" s="31"/>
      <c r="L69" s="31"/>
    </row>
    <row r="70" spans="1:21" x14ac:dyDescent="0.35">
      <c r="A70" s="1" t="s">
        <v>186</v>
      </c>
      <c r="B70" s="1"/>
      <c r="C70"/>
    </row>
    <row r="71" spans="1:21" x14ac:dyDescent="0.35">
      <c r="A71" t="str">
        <f t="shared" ref="A71:A76" si="31">IF(A6="","","    "&amp;A6)</f>
        <v xml:space="preserve">    Upper Basin</v>
      </c>
      <c r="C71" s="14">
        <f>IF(OR(C$27="",$A71=""),"",C30+C48+C55-C40-C62)</f>
        <v>6.9624438809560036</v>
      </c>
      <c r="D71" s="14">
        <f t="shared" ref="D71:L71" si="32">IF(OR(D$27="",$A71=""),"",D30+D48+D55-D40-D62)</f>
        <v>5.3260680412696599</v>
      </c>
      <c r="E71" s="14">
        <f t="shared" si="32"/>
        <v>4.1421434824408987</v>
      </c>
      <c r="F71" s="14">
        <f t="shared" si="32"/>
        <v>3.6978306795802278</v>
      </c>
      <c r="G71" s="14">
        <f t="shared" si="32"/>
        <v>3.4618405698348682</v>
      </c>
      <c r="H71" s="14" t="str">
        <f t="shared" si="32"/>
        <v/>
      </c>
      <c r="I71" s="14" t="str">
        <f t="shared" si="32"/>
        <v/>
      </c>
      <c r="J71" s="14" t="str">
        <f t="shared" si="32"/>
        <v/>
      </c>
      <c r="K71" s="14" t="str">
        <f t="shared" si="32"/>
        <v/>
      </c>
      <c r="L71" s="14" t="str">
        <f t="shared" si="32"/>
        <v/>
      </c>
      <c r="N71" s="46"/>
      <c r="O71" s="46"/>
      <c r="P71" s="46"/>
      <c r="Q71" s="46"/>
    </row>
    <row r="72" spans="1:21" x14ac:dyDescent="0.35">
      <c r="A72" t="str">
        <f t="shared" si="31"/>
        <v xml:space="preserve">    Lower Basin</v>
      </c>
      <c r="C72" s="14">
        <f t="shared" ref="C72:L76" si="33">IF(OR(C$27="",$A72=""),"",C31+C49+C56-C41-C63)</f>
        <v>11.466312706382833</v>
      </c>
      <c r="D72" s="14">
        <f t="shared" si="33"/>
        <v>11.514711298489283</v>
      </c>
      <c r="E72" s="14">
        <f t="shared" si="33"/>
        <v>11.547808941871601</v>
      </c>
      <c r="F72" s="14">
        <f t="shared" si="33"/>
        <v>11.170082441107439</v>
      </c>
      <c r="G72" s="14">
        <f t="shared" si="33"/>
        <v>10.805091888411676</v>
      </c>
      <c r="H72" s="14" t="str">
        <f t="shared" si="33"/>
        <v/>
      </c>
      <c r="I72" s="14" t="str">
        <f t="shared" si="33"/>
        <v/>
      </c>
      <c r="J72" s="14" t="str">
        <f t="shared" si="33"/>
        <v/>
      </c>
      <c r="K72" s="14" t="str">
        <f t="shared" si="33"/>
        <v/>
      </c>
      <c r="L72" s="14" t="str">
        <f t="shared" si="33"/>
        <v/>
      </c>
    </row>
    <row r="73" spans="1:21" x14ac:dyDescent="0.35">
      <c r="A73" t="str">
        <f t="shared" si="31"/>
        <v xml:space="preserve">    Mexico</v>
      </c>
      <c r="C73" s="60">
        <f t="shared" si="33"/>
        <v>1.2581764826611881</v>
      </c>
      <c r="D73" s="14">
        <f t="shared" si="33"/>
        <v>1.2165024545787202</v>
      </c>
      <c r="E73" s="14">
        <f t="shared" si="33"/>
        <v>1.2142573954458431</v>
      </c>
      <c r="F73" s="14">
        <f t="shared" si="33"/>
        <v>1.2126724981242587</v>
      </c>
      <c r="G73" s="14">
        <f t="shared" si="33"/>
        <v>1.211402012940523</v>
      </c>
      <c r="H73" s="14" t="str">
        <f t="shared" si="33"/>
        <v/>
      </c>
      <c r="I73" s="14" t="str">
        <f t="shared" si="33"/>
        <v/>
      </c>
      <c r="J73" s="14" t="str">
        <f t="shared" si="33"/>
        <v/>
      </c>
      <c r="K73" s="14" t="str">
        <f t="shared" si="33"/>
        <v/>
      </c>
      <c r="L73" s="14" t="str">
        <f t="shared" si="33"/>
        <v/>
      </c>
    </row>
    <row r="74" spans="1:21" x14ac:dyDescent="0.35">
      <c r="A74" t="str">
        <f t="shared" si="31"/>
        <v xml:space="preserve">    Mohave &amp; Havasu Evap &amp; ET</v>
      </c>
      <c r="C74" s="14">
        <f t="shared" si="33"/>
        <v>0.6</v>
      </c>
      <c r="D74" s="14">
        <f t="shared" si="33"/>
        <v>0.6</v>
      </c>
      <c r="E74" s="14">
        <f t="shared" si="33"/>
        <v>0.6</v>
      </c>
      <c r="F74" s="14">
        <f t="shared" si="33"/>
        <v>0.6</v>
      </c>
      <c r="G74" s="14">
        <f t="shared" si="33"/>
        <v>0.6</v>
      </c>
      <c r="H74" s="14" t="str">
        <f t="shared" si="33"/>
        <v/>
      </c>
      <c r="I74" s="14" t="str">
        <f t="shared" si="33"/>
        <v/>
      </c>
      <c r="J74" s="14" t="str">
        <f t="shared" si="33"/>
        <v/>
      </c>
      <c r="K74" s="14" t="str">
        <f t="shared" si="33"/>
        <v/>
      </c>
      <c r="L74" s="14" t="str">
        <f t="shared" si="33"/>
        <v/>
      </c>
    </row>
    <row r="75" spans="1:21" x14ac:dyDescent="0.35">
      <c r="A75" t="str">
        <f t="shared" si="31"/>
        <v xml:space="preserve">    Shared, Reserve</v>
      </c>
      <c r="C75" s="14">
        <f t="shared" si="33"/>
        <v>11.59116925</v>
      </c>
      <c r="D75" s="14">
        <f t="shared" si="33"/>
        <v>11.59116925</v>
      </c>
      <c r="E75" s="14">
        <f t="shared" si="33"/>
        <v>11.59116925</v>
      </c>
      <c r="F75" s="14">
        <f t="shared" si="33"/>
        <v>11.59116925</v>
      </c>
      <c r="G75" s="14">
        <f t="shared" si="33"/>
        <v>11.59116925</v>
      </c>
      <c r="H75" s="60" t="str">
        <f t="shared" si="33"/>
        <v/>
      </c>
      <c r="I75" s="60" t="str">
        <f t="shared" si="33"/>
        <v/>
      </c>
      <c r="J75" s="60" t="str">
        <f t="shared" si="33"/>
        <v/>
      </c>
      <c r="K75" s="60" t="str">
        <f t="shared" si="33"/>
        <v/>
      </c>
      <c r="L75" s="60" t="str">
        <f t="shared" si="33"/>
        <v/>
      </c>
    </row>
    <row r="76" spans="1:21" x14ac:dyDescent="0.35">
      <c r="A76" t="str">
        <f t="shared" si="31"/>
        <v/>
      </c>
      <c r="C76" s="14" t="str">
        <f t="shared" si="33"/>
        <v/>
      </c>
      <c r="D76" s="14" t="str">
        <f t="shared" si="33"/>
        <v/>
      </c>
      <c r="E76" s="14" t="str">
        <f t="shared" si="33"/>
        <v/>
      </c>
      <c r="F76" s="14" t="str">
        <f t="shared" si="33"/>
        <v/>
      </c>
      <c r="G76" s="14" t="str">
        <f t="shared" si="33"/>
        <v/>
      </c>
      <c r="H76" s="14" t="str">
        <f t="shared" si="33"/>
        <v/>
      </c>
      <c r="I76" s="14" t="str">
        <f t="shared" si="33"/>
        <v/>
      </c>
      <c r="J76" s="14" t="str">
        <f t="shared" si="33"/>
        <v/>
      </c>
      <c r="K76" s="14" t="str">
        <f t="shared" si="33"/>
        <v/>
      </c>
      <c r="L76" s="14" t="str">
        <f t="shared" si="33"/>
        <v/>
      </c>
    </row>
    <row r="77" spans="1:21" x14ac:dyDescent="0.35">
      <c r="A77" s="1" t="s">
        <v>136</v>
      </c>
      <c r="B77" s="1"/>
      <c r="C77" s="69"/>
      <c r="D77" s="2"/>
      <c r="E77" s="69"/>
      <c r="F77" s="2"/>
      <c r="G77" s="2"/>
      <c r="H77" s="2"/>
      <c r="I77" s="2"/>
      <c r="J77" s="2"/>
      <c r="K77" s="2"/>
      <c r="L77" s="2"/>
    </row>
    <row r="78" spans="1:21" x14ac:dyDescent="0.35">
      <c r="A78" t="str">
        <f>IF(A6="","","    "&amp;A6&amp;" - Consumptive Use and Headwaters Losses")</f>
        <v xml:space="preserve">    Upper Basin - Consumptive Use and Headwaters Losses</v>
      </c>
      <c r="C78" s="43">
        <v>3.7</v>
      </c>
      <c r="D78" s="43">
        <v>3.3</v>
      </c>
      <c r="E78" s="43">
        <v>3</v>
      </c>
      <c r="F78" s="43">
        <v>2.8</v>
      </c>
      <c r="G78" s="43">
        <v>2.8</v>
      </c>
      <c r="H78" s="43"/>
      <c r="I78" s="43"/>
      <c r="J78" s="43"/>
      <c r="K78" s="43"/>
      <c r="L78" s="43"/>
      <c r="N78" s="1" t="s">
        <v>129</v>
      </c>
    </row>
    <row r="79" spans="1:21" x14ac:dyDescent="0.35">
      <c r="A79" t="str">
        <f>IF(A7="","","    "&amp;A7&amp;" - Release from Mead")</f>
        <v xml:space="preserve">    Lower Basin - Release from Mead</v>
      </c>
      <c r="C79" s="43">
        <v>6.9</v>
      </c>
      <c r="D79" s="43">
        <v>6.9</v>
      </c>
      <c r="E79" s="43">
        <v>6.9</v>
      </c>
      <c r="F79" s="43">
        <v>6.9</v>
      </c>
      <c r="G79" s="43">
        <f t="shared" ref="G79" si="34">F79</f>
        <v>6.9</v>
      </c>
      <c r="H79" s="43"/>
      <c r="I79" s="43"/>
      <c r="J79" s="43"/>
      <c r="K79" s="43"/>
      <c r="L79" s="43"/>
      <c r="N79" s="37" t="s">
        <v>130</v>
      </c>
      <c r="O79" s="37" t="s">
        <v>131</v>
      </c>
      <c r="P79" s="38" t="s">
        <v>132</v>
      </c>
      <c r="Q79" s="38" t="s">
        <v>133</v>
      </c>
      <c r="R79" s="37" t="s">
        <v>134</v>
      </c>
      <c r="S79" s="37" t="s">
        <v>134</v>
      </c>
      <c r="T79" s="51" t="s">
        <v>157</v>
      </c>
      <c r="U79" s="51" t="s">
        <v>158</v>
      </c>
    </row>
    <row r="80" spans="1:21" x14ac:dyDescent="0.35">
      <c r="A80" t="str">
        <f>IF(A8="","","    "&amp;A8&amp;" - Release from Mead")</f>
        <v xml:space="preserve">    Mexico - Release from Mead</v>
      </c>
      <c r="C80" s="50">
        <f>C73</f>
        <v>1.2581764826611881</v>
      </c>
      <c r="D80" s="50">
        <f>D73</f>
        <v>1.2165024545787202</v>
      </c>
      <c r="E80" s="50">
        <f>E73</f>
        <v>1.2142573954458431</v>
      </c>
      <c r="F80" s="50">
        <f>F73</f>
        <v>1.2126724981242587</v>
      </c>
      <c r="G80" s="50">
        <f>G73</f>
        <v>1.211402012940523</v>
      </c>
      <c r="H80" s="50"/>
      <c r="I80" s="50"/>
      <c r="J80" s="50"/>
      <c r="K80" s="50"/>
      <c r="L80" s="50"/>
      <c r="N80" s="39">
        <v>1025</v>
      </c>
      <c r="O80" s="40">
        <v>5.981122</v>
      </c>
      <c r="P80" s="41">
        <f>S80-Q80</f>
        <v>1.2000000000000002</v>
      </c>
      <c r="Q80" s="49">
        <v>0.15</v>
      </c>
      <c r="R80" s="41">
        <v>1.325</v>
      </c>
      <c r="S80" s="41">
        <f t="shared" ref="S80:S87" si="35">U80/1000000</f>
        <v>1.35</v>
      </c>
      <c r="T80" s="42">
        <v>0.125</v>
      </c>
      <c r="U80" s="52">
        <v>1350000</v>
      </c>
    </row>
    <row r="81" spans="1:21" x14ac:dyDescent="0.35">
      <c r="A81" t="str">
        <f>IF(A9="","","    "&amp;A9&amp;" - Release from Mead")</f>
        <v xml:space="preserve">    Mohave &amp; Havasu Evap &amp; ET - Release from Mead</v>
      </c>
      <c r="C81" s="43">
        <v>0.6</v>
      </c>
      <c r="D81" s="43">
        <v>0.6</v>
      </c>
      <c r="E81" s="43">
        <v>0.6</v>
      </c>
      <c r="F81" s="43">
        <v>0.6</v>
      </c>
      <c r="G81" s="43">
        <v>0.6</v>
      </c>
      <c r="H81" s="43"/>
      <c r="I81" s="43"/>
      <c r="J81" s="43"/>
      <c r="K81" s="43"/>
      <c r="L81" s="43"/>
      <c r="N81" s="39">
        <v>1030</v>
      </c>
      <c r="O81" s="40">
        <v>6.305377</v>
      </c>
      <c r="P81" s="41">
        <f t="shared" ref="P81:P87" si="36">S81-Q81</f>
        <v>1.117</v>
      </c>
      <c r="Q81" s="49">
        <v>0.10100000000000001</v>
      </c>
      <c r="R81" s="41">
        <v>1.1870000000000001</v>
      </c>
      <c r="S81" s="41">
        <f t="shared" si="35"/>
        <v>1.218</v>
      </c>
      <c r="T81" s="42">
        <v>7.0000000000000007E-2</v>
      </c>
      <c r="U81" s="52">
        <v>1218000</v>
      </c>
    </row>
    <row r="82" spans="1:21" x14ac:dyDescent="0.35">
      <c r="A82" t="str">
        <f>IF(A10="","","    "&amp;A10&amp;" - Release from Mead")</f>
        <v xml:space="preserve">    Shared, Reserve - Release from Mead</v>
      </c>
      <c r="C82" s="68"/>
      <c r="D82" s="68"/>
      <c r="E82" s="50"/>
      <c r="F82" s="50"/>
      <c r="G82" s="50"/>
      <c r="H82" s="50" t="str">
        <f>H75</f>
        <v/>
      </c>
      <c r="I82" s="50"/>
      <c r="J82" s="50"/>
      <c r="K82" s="50" t="str">
        <f>K75</f>
        <v/>
      </c>
      <c r="L82" s="50"/>
      <c r="N82" s="39">
        <v>1035</v>
      </c>
      <c r="O82" s="40">
        <v>6.6375080000000004</v>
      </c>
      <c r="P82" s="41">
        <f t="shared" si="36"/>
        <v>1.0669999999999999</v>
      </c>
      <c r="Q82" s="49">
        <v>9.1999999999999998E-2</v>
      </c>
      <c r="R82" s="41">
        <v>1.137</v>
      </c>
      <c r="S82" s="41">
        <f t="shared" si="35"/>
        <v>1.159</v>
      </c>
      <c r="T82" s="42">
        <v>7.0000000000000007E-2</v>
      </c>
      <c r="U82" s="52">
        <v>1159000</v>
      </c>
    </row>
    <row r="83" spans="1:21" x14ac:dyDescent="0.35">
      <c r="A83" t="str">
        <f>IF(A11="","","    "&amp;A11&amp;" - Release from Mead")</f>
        <v/>
      </c>
      <c r="C83" s="43"/>
      <c r="D83" s="43"/>
      <c r="E83" s="43"/>
      <c r="F83" s="43"/>
      <c r="G83" s="43"/>
      <c r="H83" s="43"/>
      <c r="I83" s="43"/>
      <c r="J83" s="43"/>
      <c r="K83" s="43"/>
      <c r="L83" s="43"/>
      <c r="N83" s="39">
        <v>1040</v>
      </c>
      <c r="O83" s="40">
        <v>6.977665</v>
      </c>
      <c r="P83" s="41">
        <f t="shared" si="36"/>
        <v>1.0169999999999999</v>
      </c>
      <c r="Q83" s="49">
        <v>8.4000000000000005E-2</v>
      </c>
      <c r="R83" s="41">
        <v>1.087</v>
      </c>
      <c r="S83" s="41">
        <f t="shared" si="35"/>
        <v>1.101</v>
      </c>
      <c r="T83" s="42">
        <v>7.0000000000000007E-2</v>
      </c>
      <c r="U83" s="52">
        <v>1101000</v>
      </c>
    </row>
    <row r="84" spans="1:21" x14ac:dyDescent="0.35">
      <c r="A84" s="1" t="s">
        <v>141</v>
      </c>
      <c r="B84" s="1"/>
      <c r="D84" s="2"/>
      <c r="E84" s="2"/>
      <c r="F84" s="2"/>
      <c r="G84" s="2"/>
      <c r="H84" s="2"/>
      <c r="I84" s="2"/>
      <c r="J84" s="2"/>
      <c r="K84" s="2"/>
      <c r="L84" s="2"/>
      <c r="N84" s="39">
        <v>1045</v>
      </c>
      <c r="O84" s="40">
        <v>7.3260519999999998</v>
      </c>
      <c r="P84" s="41">
        <f t="shared" si="36"/>
        <v>0.96699999999999997</v>
      </c>
      <c r="Q84" s="49">
        <v>7.5999999999999998E-2</v>
      </c>
      <c r="R84" s="41">
        <v>1.0369999999999999</v>
      </c>
      <c r="S84" s="41">
        <f t="shared" si="35"/>
        <v>1.0429999999999999</v>
      </c>
      <c r="T84" s="42">
        <v>7.0000000000000007E-2</v>
      </c>
      <c r="U84" s="52">
        <v>1043000</v>
      </c>
    </row>
    <row r="85" spans="1:21" x14ac:dyDescent="0.35">
      <c r="A85" t="str">
        <f t="shared" ref="A85:A90" si="37">IF(A6="","","    "&amp;A6)</f>
        <v xml:space="preserve">    Upper Basin</v>
      </c>
      <c r="C85" s="14">
        <f>IF(OR(C$27="",$A85=""),"",C71-C78)</f>
        <v>3.2624438809560035</v>
      </c>
      <c r="D85" s="14">
        <f t="shared" ref="D85:L85" si="38">IF(OR(D$27="",$A85=""),"",D71-D78)</f>
        <v>2.0260680412696601</v>
      </c>
      <c r="E85" s="14">
        <f t="shared" si="38"/>
        <v>1.1421434824408987</v>
      </c>
      <c r="F85" s="14">
        <f t="shared" si="38"/>
        <v>0.897830679580228</v>
      </c>
      <c r="G85" s="14">
        <f t="shared" si="38"/>
        <v>0.66184056983486839</v>
      </c>
      <c r="H85" s="14" t="str">
        <f t="shared" si="38"/>
        <v/>
      </c>
      <c r="I85" s="14" t="str">
        <f t="shared" si="38"/>
        <v/>
      </c>
      <c r="J85" s="14" t="str">
        <f t="shared" si="38"/>
        <v/>
      </c>
      <c r="K85" s="14" t="str">
        <f t="shared" si="38"/>
        <v/>
      </c>
      <c r="L85" s="14" t="str">
        <f t="shared" si="38"/>
        <v/>
      </c>
      <c r="N85" s="39">
        <v>1050</v>
      </c>
      <c r="O85" s="40">
        <v>7.6828779999999997</v>
      </c>
      <c r="P85" s="41">
        <f t="shared" si="36"/>
        <v>0.71699999999999997</v>
      </c>
      <c r="Q85" s="49">
        <v>3.4000000000000002E-2</v>
      </c>
      <c r="R85" s="41">
        <v>0.78700000000000003</v>
      </c>
      <c r="S85" s="41">
        <f t="shared" si="35"/>
        <v>0.751</v>
      </c>
      <c r="T85" s="42">
        <v>7.0000000000000007E-2</v>
      </c>
      <c r="U85" s="52">
        <v>751000</v>
      </c>
    </row>
    <row r="86" spans="1:21" x14ac:dyDescent="0.35">
      <c r="A86" t="str">
        <f t="shared" si="37"/>
        <v xml:space="preserve">    Lower Basin</v>
      </c>
      <c r="C86" s="14">
        <f t="shared" ref="C86:L90" si="39">IF(OR(C$27="",$A86=""),"",C72-C79)</f>
        <v>4.566312706382833</v>
      </c>
      <c r="D86" s="14">
        <f t="shared" si="39"/>
        <v>4.6147112984892829</v>
      </c>
      <c r="E86" s="14">
        <f t="shared" si="39"/>
        <v>4.6478089418716007</v>
      </c>
      <c r="F86" s="14">
        <f t="shared" si="39"/>
        <v>4.270082441107439</v>
      </c>
      <c r="G86" s="14">
        <f t="shared" si="39"/>
        <v>3.9050918884116754</v>
      </c>
      <c r="H86" s="14" t="str">
        <f t="shared" si="39"/>
        <v/>
      </c>
      <c r="I86" s="14" t="str">
        <f t="shared" si="39"/>
        <v/>
      </c>
      <c r="J86" s="14" t="str">
        <f t="shared" si="39"/>
        <v/>
      </c>
      <c r="K86" s="14" t="str">
        <f t="shared" si="39"/>
        <v/>
      </c>
      <c r="L86" s="14" t="str">
        <f t="shared" si="39"/>
        <v/>
      </c>
      <c r="N86" s="39">
        <v>1075</v>
      </c>
      <c r="O86" s="40">
        <v>9.6009879999900001</v>
      </c>
      <c r="P86" s="41">
        <f t="shared" si="36"/>
        <v>0.63300000000000001</v>
      </c>
      <c r="Q86" s="49">
        <v>0.03</v>
      </c>
      <c r="R86" s="41">
        <v>0.68300000000000005</v>
      </c>
      <c r="S86" s="41">
        <f t="shared" si="35"/>
        <v>0.66300000000000003</v>
      </c>
      <c r="T86" s="42">
        <v>0.05</v>
      </c>
      <c r="U86" s="52">
        <v>663000</v>
      </c>
    </row>
    <row r="87" spans="1:21" x14ac:dyDescent="0.35">
      <c r="A87" t="str">
        <f t="shared" si="37"/>
        <v xml:space="preserve">    Mexico</v>
      </c>
      <c r="C87" s="14">
        <f t="shared" si="39"/>
        <v>0</v>
      </c>
      <c r="D87" s="14">
        <f t="shared" si="39"/>
        <v>0</v>
      </c>
      <c r="E87" s="14">
        <f t="shared" si="39"/>
        <v>0</v>
      </c>
      <c r="F87" s="14">
        <f t="shared" si="39"/>
        <v>0</v>
      </c>
      <c r="G87" s="14">
        <f t="shared" si="39"/>
        <v>0</v>
      </c>
      <c r="H87" s="14" t="str">
        <f t="shared" si="39"/>
        <v/>
      </c>
      <c r="I87" s="14" t="str">
        <f t="shared" si="39"/>
        <v/>
      </c>
      <c r="J87" s="14" t="str">
        <f t="shared" si="39"/>
        <v/>
      </c>
      <c r="K87" s="14" t="str">
        <f t="shared" si="39"/>
        <v/>
      </c>
      <c r="L87" s="14" t="str">
        <f t="shared" si="39"/>
        <v/>
      </c>
      <c r="N87" s="39">
        <v>1090</v>
      </c>
      <c r="O87" s="40">
        <v>10.857008</v>
      </c>
      <c r="P87" s="41">
        <f t="shared" si="36"/>
        <v>0.30000000000000004</v>
      </c>
      <c r="Q87" s="49">
        <v>4.1000000000000002E-2</v>
      </c>
      <c r="R87" s="41">
        <v>0.3</v>
      </c>
      <c r="S87" s="41">
        <f t="shared" si="35"/>
        <v>0.34100000000000003</v>
      </c>
      <c r="T87" s="38"/>
      <c r="U87" s="52">
        <v>341000</v>
      </c>
    </row>
    <row r="88" spans="1:21" x14ac:dyDescent="0.35">
      <c r="A88" t="str">
        <f t="shared" si="37"/>
        <v xml:space="preserve">    Mohave &amp; Havasu Evap &amp; ET</v>
      </c>
      <c r="C88" s="14">
        <f t="shared" si="39"/>
        <v>0</v>
      </c>
      <c r="D88" s="14">
        <f t="shared" si="39"/>
        <v>0</v>
      </c>
      <c r="E88" s="14">
        <f t="shared" si="39"/>
        <v>0</v>
      </c>
      <c r="F88" s="14">
        <f t="shared" si="39"/>
        <v>0</v>
      </c>
      <c r="G88" s="14">
        <f t="shared" si="39"/>
        <v>0</v>
      </c>
      <c r="H88" s="14" t="str">
        <f t="shared" si="39"/>
        <v/>
      </c>
      <c r="I88" s="14" t="str">
        <f t="shared" si="39"/>
        <v/>
      </c>
      <c r="J88" s="14" t="str">
        <f t="shared" si="39"/>
        <v/>
      </c>
      <c r="K88" s="14" t="str">
        <f t="shared" si="39"/>
        <v/>
      </c>
      <c r="L88" s="14" t="str">
        <f t="shared" si="39"/>
        <v/>
      </c>
    </row>
    <row r="89" spans="1:21" x14ac:dyDescent="0.35">
      <c r="A89" t="str">
        <f t="shared" si="37"/>
        <v xml:space="preserve">    Shared, Reserve</v>
      </c>
      <c r="C89" s="14">
        <f>IF(OR(C$27="",$A89=""),"",C75-C82)</f>
        <v>11.59116925</v>
      </c>
      <c r="D89" s="14">
        <f t="shared" si="39"/>
        <v>11.59116925</v>
      </c>
      <c r="E89" s="14">
        <f t="shared" si="39"/>
        <v>11.59116925</v>
      </c>
      <c r="F89" s="14">
        <f t="shared" si="39"/>
        <v>11.59116925</v>
      </c>
      <c r="G89" s="14">
        <f t="shared" si="39"/>
        <v>11.59116925</v>
      </c>
      <c r="H89" s="59" t="str">
        <f t="shared" si="39"/>
        <v/>
      </c>
      <c r="I89" s="59" t="str">
        <f t="shared" si="39"/>
        <v/>
      </c>
      <c r="J89" s="59" t="str">
        <f t="shared" si="39"/>
        <v/>
      </c>
      <c r="K89" s="59" t="str">
        <f t="shared" si="39"/>
        <v/>
      </c>
      <c r="L89" s="59" t="str">
        <f t="shared" si="39"/>
        <v/>
      </c>
    </row>
    <row r="90" spans="1:21" x14ac:dyDescent="0.35">
      <c r="A90" t="str">
        <f t="shared" si="37"/>
        <v/>
      </c>
      <c r="C90" s="14" t="str">
        <f t="shared" si="39"/>
        <v/>
      </c>
      <c r="D90" s="14" t="str">
        <f t="shared" si="39"/>
        <v/>
      </c>
      <c r="E90" s="14" t="str">
        <f t="shared" si="39"/>
        <v/>
      </c>
      <c r="F90" s="14" t="str">
        <f t="shared" si="39"/>
        <v/>
      </c>
      <c r="G90" s="14" t="str">
        <f t="shared" si="39"/>
        <v/>
      </c>
      <c r="H90" s="14" t="str">
        <f t="shared" si="39"/>
        <v/>
      </c>
      <c r="I90" s="14" t="str">
        <f t="shared" si="39"/>
        <v/>
      </c>
      <c r="J90" s="14" t="str">
        <f t="shared" si="39"/>
        <v/>
      </c>
      <c r="K90" s="14" t="str">
        <f t="shared" si="39"/>
        <v/>
      </c>
      <c r="L90" s="14" t="str">
        <f t="shared" si="39"/>
        <v/>
      </c>
    </row>
    <row r="91" spans="1:21" x14ac:dyDescent="0.35">
      <c r="A91" s="1" t="s">
        <v>125</v>
      </c>
      <c r="B91" s="1"/>
      <c r="C91" s="59">
        <f>IF(C$27&lt;&gt;"",SUM(C85:C90),"")</f>
        <v>19.419925837338837</v>
      </c>
      <c r="D91" s="59">
        <f t="shared" ref="D91:L91" si="40">IF(D$27&lt;&gt;"",SUM(D85:D90),"")</f>
        <v>18.231948589758943</v>
      </c>
      <c r="E91" s="59">
        <f t="shared" si="40"/>
        <v>17.381121674312499</v>
      </c>
      <c r="F91" s="59">
        <f t="shared" si="40"/>
        <v>16.759082370687665</v>
      </c>
      <c r="G91" s="59">
        <f t="shared" si="40"/>
        <v>16.158101708246544</v>
      </c>
      <c r="H91" s="14" t="str">
        <f t="shared" si="40"/>
        <v/>
      </c>
      <c r="I91" s="14" t="str">
        <f t="shared" si="40"/>
        <v/>
      </c>
      <c r="J91" s="14" t="str">
        <f t="shared" si="40"/>
        <v/>
      </c>
      <c r="K91" s="14" t="str">
        <f t="shared" si="40"/>
        <v/>
      </c>
      <c r="L91" s="14" t="str">
        <f t="shared" si="40"/>
        <v/>
      </c>
    </row>
    <row r="92" spans="1:21" x14ac:dyDescent="0.35">
      <c r="A92" s="1" t="s">
        <v>147</v>
      </c>
      <c r="B92" s="1"/>
      <c r="C92" s="14">
        <f>IF(C27&lt;&gt;"",C37+C27-C40-C78-C91*$B$37,"")</f>
        <v>8.3443252348954289</v>
      </c>
      <c r="D92" s="14">
        <f t="shared" ref="D92:L92" si="41">IF(D27&lt;&gt;"",D37+D27-D40-D78-D91*$B$37,"")</f>
        <v>8.13078604410574</v>
      </c>
      <c r="E92" s="14">
        <f t="shared" si="41"/>
        <v>8.3213349735415374</v>
      </c>
      <c r="F92" s="14">
        <f t="shared" si="41"/>
        <v>8.4512635906379749</v>
      </c>
      <c r="G92" s="14">
        <f t="shared" si="41"/>
        <v>8.4528331274575361</v>
      </c>
      <c r="H92" s="14" t="str">
        <f t="shared" si="41"/>
        <v/>
      </c>
      <c r="I92" s="14" t="str">
        <f t="shared" si="41"/>
        <v/>
      </c>
      <c r="J92" s="14" t="str">
        <f t="shared" si="41"/>
        <v/>
      </c>
      <c r="K92" s="14" t="str">
        <f t="shared" si="41"/>
        <v/>
      </c>
      <c r="L92" s="14" t="str">
        <f t="shared" si="41"/>
        <v/>
      </c>
    </row>
    <row r="94" spans="1:21" x14ac:dyDescent="0.35">
      <c r="A94" s="1" t="s">
        <v>127</v>
      </c>
      <c r="C94" s="12">
        <f>IF(C$27&lt;&gt;"",0.2,"")</f>
        <v>0.2</v>
      </c>
      <c r="D94" s="12">
        <f t="shared" ref="D94:L94" si="42">IF(D$27&lt;&gt;"",0.2,"")</f>
        <v>0.2</v>
      </c>
      <c r="E94" s="12">
        <f t="shared" si="42"/>
        <v>0.2</v>
      </c>
      <c r="F94" s="12">
        <f t="shared" si="42"/>
        <v>0.2</v>
      </c>
      <c r="G94" s="12">
        <f t="shared" si="42"/>
        <v>0.2</v>
      </c>
      <c r="H94" s="12" t="str">
        <f t="shared" si="42"/>
        <v/>
      </c>
      <c r="I94" s="12" t="str">
        <f t="shared" si="42"/>
        <v/>
      </c>
      <c r="J94" s="12" t="str">
        <f t="shared" si="42"/>
        <v/>
      </c>
      <c r="K94" s="12" t="str">
        <f t="shared" si="42"/>
        <v/>
      </c>
      <c r="L94" s="12" t="str">
        <f t="shared" si="42"/>
        <v/>
      </c>
    </row>
    <row r="95" spans="1:21" x14ac:dyDescent="0.35">
      <c r="A95" t="s">
        <v>128</v>
      </c>
      <c r="C95" s="14">
        <f t="shared" ref="C95:L95" si="43">IF(C$27&lt;&gt;"",C79+C94,"")</f>
        <v>7.1000000000000005</v>
      </c>
      <c r="D95" s="14">
        <f t="shared" si="43"/>
        <v>7.1000000000000005</v>
      </c>
      <c r="E95" s="14">
        <f t="shared" si="43"/>
        <v>7.1000000000000005</v>
      </c>
      <c r="F95" s="14">
        <f t="shared" si="43"/>
        <v>7.1000000000000005</v>
      </c>
      <c r="G95" s="14">
        <f t="shared" si="43"/>
        <v>7.1000000000000005</v>
      </c>
      <c r="H95" s="14" t="str">
        <f t="shared" si="43"/>
        <v/>
      </c>
      <c r="I95" s="14" t="str">
        <f t="shared" si="43"/>
        <v/>
      </c>
      <c r="J95" s="14" t="str">
        <f t="shared" si="43"/>
        <v/>
      </c>
      <c r="K95" s="14" t="str">
        <f t="shared" si="43"/>
        <v/>
      </c>
      <c r="L95" s="14" t="str">
        <f t="shared" si="43"/>
        <v/>
      </c>
    </row>
    <row r="97" spans="4:4" x14ac:dyDescent="0.35">
      <c r="D97" s="18"/>
    </row>
  </sheetData>
  <mergeCells count="9">
    <mergeCell ref="C9:G9"/>
    <mergeCell ref="C10:G10"/>
    <mergeCell ref="C11:G11"/>
    <mergeCell ref="A3:G3"/>
    <mergeCell ref="C4:G4"/>
    <mergeCell ref="C5:G5"/>
    <mergeCell ref="C6:G6"/>
    <mergeCell ref="C7:G7"/>
    <mergeCell ref="C8:G8"/>
  </mergeCells>
  <conditionalFormatting sqref="C79">
    <cfRule type="cellIs" dxfId="315" priority="57" operator="greaterThan">
      <formula>$C$72</formula>
    </cfRule>
  </conditionalFormatting>
  <conditionalFormatting sqref="C80">
    <cfRule type="cellIs" dxfId="314" priority="56" operator="greaterThan">
      <formula>$C$73</formula>
    </cfRule>
  </conditionalFormatting>
  <conditionalFormatting sqref="C81">
    <cfRule type="cellIs" dxfId="313" priority="55" operator="greaterThan">
      <formula>$C$74</formula>
    </cfRule>
  </conditionalFormatting>
  <conditionalFormatting sqref="C82">
    <cfRule type="cellIs" dxfId="312" priority="54" operator="greaterThan">
      <formula>$C$75</formula>
    </cfRule>
  </conditionalFormatting>
  <conditionalFormatting sqref="C83">
    <cfRule type="cellIs" dxfId="311" priority="53" operator="greaterThan">
      <formula>$C$76</formula>
    </cfRule>
  </conditionalFormatting>
  <conditionalFormatting sqref="D79:G79">
    <cfRule type="cellIs" dxfId="310" priority="52" operator="greaterThan">
      <formula>$D$72</formula>
    </cfRule>
  </conditionalFormatting>
  <conditionalFormatting sqref="D80">
    <cfRule type="cellIs" dxfId="309" priority="51" operator="greaterThan">
      <formula>$D$73</formula>
    </cfRule>
  </conditionalFormatting>
  <conditionalFormatting sqref="D81">
    <cfRule type="cellIs" dxfId="308" priority="50" operator="greaterThan">
      <formula>$D$74</formula>
    </cfRule>
  </conditionalFormatting>
  <conditionalFormatting sqref="D82">
    <cfRule type="cellIs" dxfId="307" priority="49" operator="greaterThan">
      <formula>$D$75</formula>
    </cfRule>
  </conditionalFormatting>
  <conditionalFormatting sqref="D83">
    <cfRule type="cellIs" dxfId="306" priority="48" operator="greaterThan">
      <formula>$D$76</formula>
    </cfRule>
  </conditionalFormatting>
  <conditionalFormatting sqref="E80">
    <cfRule type="cellIs" dxfId="305" priority="46" operator="greaterThan">
      <formula>$E$73</formula>
    </cfRule>
  </conditionalFormatting>
  <conditionalFormatting sqref="E81">
    <cfRule type="cellIs" dxfId="304" priority="45" operator="greaterThan">
      <formula>$E$74</formula>
    </cfRule>
  </conditionalFormatting>
  <conditionalFormatting sqref="E82">
    <cfRule type="cellIs" dxfId="303" priority="44" operator="greaterThan">
      <formula>$E$75</formula>
    </cfRule>
  </conditionalFormatting>
  <conditionalFormatting sqref="E83">
    <cfRule type="cellIs" dxfId="302" priority="43" operator="greaterThan">
      <formula>$E$76</formula>
    </cfRule>
  </conditionalFormatting>
  <conditionalFormatting sqref="F80">
    <cfRule type="cellIs" dxfId="301" priority="41" operator="greaterThan">
      <formula>$F$73</formula>
    </cfRule>
  </conditionalFormatting>
  <conditionalFormatting sqref="F81">
    <cfRule type="cellIs" dxfId="300" priority="40" operator="greaterThan">
      <formula>$F$74</formula>
    </cfRule>
  </conditionalFormatting>
  <conditionalFormatting sqref="F82">
    <cfRule type="cellIs" dxfId="299" priority="39" operator="greaterThan">
      <formula>$F$75</formula>
    </cfRule>
  </conditionalFormatting>
  <conditionalFormatting sqref="F83">
    <cfRule type="cellIs" dxfId="298" priority="38" operator="greaterThan">
      <formula>$F$76</formula>
    </cfRule>
  </conditionalFormatting>
  <conditionalFormatting sqref="G80">
    <cfRule type="cellIs" dxfId="297" priority="36" operator="greaterThan">
      <formula>$G$73</formula>
    </cfRule>
  </conditionalFormatting>
  <conditionalFormatting sqref="G81">
    <cfRule type="cellIs" dxfId="296" priority="35" operator="greaterThan">
      <formula>$G$74</formula>
    </cfRule>
  </conditionalFormatting>
  <conditionalFormatting sqref="G82">
    <cfRule type="cellIs" dxfId="295" priority="34" operator="greaterThan">
      <formula>$G$75</formula>
    </cfRule>
  </conditionalFormatting>
  <conditionalFormatting sqref="G83">
    <cfRule type="cellIs" dxfId="294" priority="33" operator="greaterThan">
      <formula>$G$76</formula>
    </cfRule>
  </conditionalFormatting>
  <conditionalFormatting sqref="H78">
    <cfRule type="cellIs" dxfId="293" priority="32" operator="greaterThan">
      <formula>$H$71</formula>
    </cfRule>
  </conditionalFormatting>
  <conditionalFormatting sqref="H79">
    <cfRule type="cellIs" dxfId="292" priority="31" operator="greaterThan">
      <formula>$H$72</formula>
    </cfRule>
  </conditionalFormatting>
  <conditionalFormatting sqref="H80">
    <cfRule type="cellIs" dxfId="291" priority="30" operator="greaterThan">
      <formula>$H$73</formula>
    </cfRule>
  </conditionalFormatting>
  <conditionalFormatting sqref="H81">
    <cfRule type="cellIs" dxfId="290" priority="29" operator="greaterThan">
      <formula>$H$74</formula>
    </cfRule>
  </conditionalFormatting>
  <conditionalFormatting sqref="H82">
    <cfRule type="cellIs" dxfId="289" priority="28" operator="greaterThan">
      <formula>$H$75</formula>
    </cfRule>
  </conditionalFormatting>
  <conditionalFormatting sqref="H83">
    <cfRule type="cellIs" dxfId="288" priority="27" operator="greaterThan">
      <formula>$H$76</formula>
    </cfRule>
  </conditionalFormatting>
  <conditionalFormatting sqref="I78">
    <cfRule type="cellIs" dxfId="287" priority="26" operator="greaterThan">
      <formula>$I$71</formula>
    </cfRule>
  </conditionalFormatting>
  <conditionalFormatting sqref="I79">
    <cfRule type="cellIs" dxfId="286" priority="25" operator="greaterThan">
      <formula>$I$72</formula>
    </cfRule>
  </conditionalFormatting>
  <conditionalFormatting sqref="I80">
    <cfRule type="cellIs" dxfId="285" priority="24" operator="greaterThan">
      <formula>$I$73</formula>
    </cfRule>
  </conditionalFormatting>
  <conditionalFormatting sqref="I81">
    <cfRule type="cellIs" dxfId="284" priority="23" operator="greaterThan">
      <formula>$I$74</formula>
    </cfRule>
  </conditionalFormatting>
  <conditionalFormatting sqref="I82">
    <cfRule type="cellIs" dxfId="283" priority="22" operator="greaterThan">
      <formula>$I$75</formula>
    </cfRule>
  </conditionalFormatting>
  <conditionalFormatting sqref="I83">
    <cfRule type="cellIs" dxfId="282" priority="21" operator="greaterThan">
      <formula>$I$76</formula>
    </cfRule>
  </conditionalFormatting>
  <conditionalFormatting sqref="J78">
    <cfRule type="cellIs" dxfId="281" priority="20" operator="greaterThan">
      <formula>$J$71</formula>
    </cfRule>
  </conditionalFormatting>
  <conditionalFormatting sqref="J79">
    <cfRule type="cellIs" dxfId="280" priority="19" operator="greaterThan">
      <formula>$J$72</formula>
    </cfRule>
  </conditionalFormatting>
  <conditionalFormatting sqref="J80">
    <cfRule type="cellIs" dxfId="279" priority="18" operator="greaterThan">
      <formula>$J$73</formula>
    </cfRule>
  </conditionalFormatting>
  <conditionalFormatting sqref="J81">
    <cfRule type="cellIs" dxfId="278" priority="17" operator="greaterThan">
      <formula>$J$74</formula>
    </cfRule>
  </conditionalFormatting>
  <conditionalFormatting sqref="J82">
    <cfRule type="cellIs" dxfId="277" priority="16" operator="greaterThan">
      <formula>$J$75</formula>
    </cfRule>
  </conditionalFormatting>
  <conditionalFormatting sqref="J83">
    <cfRule type="cellIs" dxfId="276" priority="15" operator="greaterThan">
      <formula>$J$76</formula>
    </cfRule>
  </conditionalFormatting>
  <conditionalFormatting sqref="K78">
    <cfRule type="cellIs" dxfId="275" priority="14" operator="greaterThan">
      <formula>$K$71</formula>
    </cfRule>
  </conditionalFormatting>
  <conditionalFormatting sqref="K79">
    <cfRule type="cellIs" dxfId="274" priority="13" operator="greaterThan">
      <formula>$K$72</formula>
    </cfRule>
  </conditionalFormatting>
  <conditionalFormatting sqref="K80">
    <cfRule type="cellIs" dxfId="273" priority="12" operator="greaterThan">
      <formula>$K$73</formula>
    </cfRule>
  </conditionalFormatting>
  <conditionalFormatting sqref="K81">
    <cfRule type="cellIs" dxfId="272" priority="11" operator="greaterThan">
      <formula>$K$74</formula>
    </cfRule>
  </conditionalFormatting>
  <conditionalFormatting sqref="K82">
    <cfRule type="cellIs" dxfId="271" priority="10" operator="greaterThan">
      <formula>$K$75</formula>
    </cfRule>
  </conditionalFormatting>
  <conditionalFormatting sqref="K83">
    <cfRule type="cellIs" dxfId="270" priority="9" operator="greaterThan">
      <formula>$K$76</formula>
    </cfRule>
  </conditionalFormatting>
  <conditionalFormatting sqref="L78">
    <cfRule type="cellIs" dxfId="269" priority="8" operator="greaterThan">
      <formula>$L$71</formula>
    </cfRule>
  </conditionalFormatting>
  <conditionalFormatting sqref="L79">
    <cfRule type="cellIs" dxfId="268" priority="7" operator="greaterThan">
      <formula>$L$72</formula>
    </cfRule>
  </conditionalFormatting>
  <conditionalFormatting sqref="L80">
    <cfRule type="cellIs" dxfId="267" priority="6" operator="greaterThan">
      <formula>$L$73</formula>
    </cfRule>
  </conditionalFormatting>
  <conditionalFormatting sqref="L81">
    <cfRule type="cellIs" dxfId="266" priority="5" operator="greaterThan">
      <formula>$L$74</formula>
    </cfRule>
  </conditionalFormatting>
  <conditionalFormatting sqref="L82">
    <cfRule type="cellIs" dxfId="265" priority="4" operator="greaterThan">
      <formula>$L$75</formula>
    </cfRule>
  </conditionalFormatting>
  <conditionalFormatting sqref="L83">
    <cfRule type="cellIs" dxfId="264" priority="3" operator="greaterThan">
      <formula>$L$76</formula>
    </cfRule>
  </conditionalFormatting>
  <conditionalFormatting sqref="D78:F78">
    <cfRule type="cellIs" dxfId="263" priority="2" operator="greaterThan">
      <formula>$D$71</formula>
    </cfRule>
  </conditionalFormatting>
  <conditionalFormatting sqref="G78">
    <cfRule type="cellIs" dxfId="262" priority="1" operator="greaterThan">
      <formula>$G$71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AAC35-3C4F-4FAD-BA5E-009A6B38BA4B}">
  <dimension ref="A1:U95"/>
  <sheetViews>
    <sheetView topLeftCell="A16"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63"/>
      <c r="I3" s="63"/>
      <c r="J3" s="63"/>
      <c r="K3" s="63"/>
    </row>
    <row r="4" spans="1:11" x14ac:dyDescent="0.35">
      <c r="A4" s="64" t="s">
        <v>39</v>
      </c>
      <c r="B4" s="64" t="s">
        <v>43</v>
      </c>
      <c r="C4" s="116" t="s">
        <v>44</v>
      </c>
      <c r="D4" s="117"/>
      <c r="E4" s="117"/>
      <c r="F4" s="117"/>
      <c r="G4" s="118"/>
    </row>
    <row r="5" spans="1:11" x14ac:dyDescent="0.35">
      <c r="A5" s="65" t="s">
        <v>52</v>
      </c>
      <c r="B5" s="65"/>
      <c r="C5" s="119"/>
      <c r="D5" s="119"/>
      <c r="E5" s="119"/>
      <c r="F5" s="119"/>
      <c r="G5" s="119"/>
    </row>
    <row r="6" spans="1:11" x14ac:dyDescent="0.35">
      <c r="A6" s="66" t="s">
        <v>40</v>
      </c>
      <c r="B6" s="66" t="s">
        <v>184</v>
      </c>
      <c r="C6" s="113" t="s">
        <v>183</v>
      </c>
      <c r="D6" s="113"/>
      <c r="E6" s="113"/>
      <c r="F6" s="113"/>
      <c r="G6" s="113"/>
    </row>
    <row r="7" spans="1:11" x14ac:dyDescent="0.35">
      <c r="A7" s="66" t="s">
        <v>41</v>
      </c>
      <c r="B7" s="66" t="s">
        <v>184</v>
      </c>
      <c r="C7" s="114" t="s">
        <v>181</v>
      </c>
      <c r="D7" s="114"/>
      <c r="E7" s="114"/>
      <c r="F7" s="114"/>
      <c r="G7" s="114"/>
    </row>
    <row r="8" spans="1:11" x14ac:dyDescent="0.35">
      <c r="A8" s="66" t="s">
        <v>42</v>
      </c>
      <c r="B8" s="66" t="s">
        <v>184</v>
      </c>
      <c r="C8" s="113" t="s">
        <v>183</v>
      </c>
      <c r="D8" s="113"/>
      <c r="E8" s="113"/>
      <c r="F8" s="113"/>
      <c r="G8" s="113"/>
    </row>
    <row r="9" spans="1:11" x14ac:dyDescent="0.35">
      <c r="A9" s="66" t="s">
        <v>165</v>
      </c>
      <c r="B9" s="66" t="s">
        <v>184</v>
      </c>
      <c r="C9" s="114" t="s">
        <v>182</v>
      </c>
      <c r="D9" s="114"/>
      <c r="E9" s="114"/>
      <c r="F9" s="114"/>
      <c r="G9" s="114"/>
    </row>
    <row r="10" spans="1:11" x14ac:dyDescent="0.35">
      <c r="A10" s="66"/>
      <c r="B10" s="66"/>
      <c r="C10" s="114"/>
      <c r="D10" s="114"/>
      <c r="E10" s="114"/>
      <c r="F10" s="114"/>
      <c r="G10" s="114"/>
    </row>
    <row r="11" spans="1:11" x14ac:dyDescent="0.35">
      <c r="A11" s="66"/>
      <c r="B11" s="66"/>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11</v>
      </c>
      <c r="D25" s="45">
        <f>C25</f>
        <v>11</v>
      </c>
      <c r="E25" s="45">
        <f t="shared" ref="E25:G25" si="0">D25</f>
        <v>11</v>
      </c>
      <c r="F25" s="45">
        <f t="shared" si="0"/>
        <v>11</v>
      </c>
      <c r="G25" s="45">
        <f t="shared" si="0"/>
        <v>11</v>
      </c>
      <c r="H25" s="45"/>
      <c r="I25" s="45"/>
      <c r="J25" s="45"/>
      <c r="K25" s="45"/>
      <c r="L25" s="45"/>
    </row>
    <row r="26" spans="1:14"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4" x14ac:dyDescent="0.35">
      <c r="A27" s="1" t="s">
        <v>126</v>
      </c>
      <c r="B27" s="14">
        <f>SUM(B28:B33)-SUM(B22:C22)</f>
        <v>0</v>
      </c>
      <c r="C27" s="14">
        <f>IF(C$25&lt;&gt;"",SUM(B22:C22),"")</f>
        <v>21.1</v>
      </c>
      <c r="D27" s="14">
        <f>IF(D$25&lt;&gt;"",C89,"")</f>
        <v>18.702087997956422</v>
      </c>
      <c r="E27" s="14">
        <f t="shared" ref="E27:L27" si="2">IF(E$25&lt;&gt;"",D89,"")</f>
        <v>16.415286880456996</v>
      </c>
      <c r="F27" s="14">
        <f t="shared" si="2"/>
        <v>15.064095076101138</v>
      </c>
      <c r="G27" s="14">
        <f t="shared" si="2"/>
        <v>14.750680962076862</v>
      </c>
      <c r="H27" s="14" t="str">
        <f t="shared" si="2"/>
        <v/>
      </c>
      <c r="I27" s="14" t="str">
        <f t="shared" si="2"/>
        <v/>
      </c>
      <c r="J27" s="14" t="str">
        <f t="shared" si="2"/>
        <v/>
      </c>
      <c r="K27" s="14" t="str">
        <f t="shared" si="2"/>
        <v/>
      </c>
      <c r="L27" s="14" t="str">
        <f t="shared" si="2"/>
        <v/>
      </c>
    </row>
    <row r="28" spans="1:14" x14ac:dyDescent="0.35">
      <c r="A28" t="str">
        <f>IF(A6="","","    "&amp;A6&amp;" Balance")</f>
        <v xml:space="preserve">    Upper Basin Balance</v>
      </c>
      <c r="B28" s="55">
        <f>B22</f>
        <v>11</v>
      </c>
      <c r="C28" s="14">
        <f>IF(OR(C$25="",$A28=""),"",B28)</f>
        <v>11</v>
      </c>
      <c r="D28" s="14">
        <f>IF(OR(D$25="",$A28=""),"",C83)</f>
        <v>9.0322571336493027</v>
      </c>
      <c r="E28" s="14">
        <f t="shared" ref="E28:L28" si="3">IF(OR(E$25="",$A28=""),"",D83)</f>
        <v>7.1385464313993898</v>
      </c>
      <c r="F28" s="14">
        <f t="shared" si="3"/>
        <v>6.1</v>
      </c>
      <c r="G28" s="14">
        <f t="shared" si="3"/>
        <v>6.1</v>
      </c>
      <c r="H28" s="14" t="str">
        <f t="shared" si="3"/>
        <v/>
      </c>
      <c r="I28" s="14" t="str">
        <f t="shared" si="3"/>
        <v/>
      </c>
      <c r="J28" s="14" t="str">
        <f t="shared" si="3"/>
        <v/>
      </c>
      <c r="K28" s="14" t="str">
        <f t="shared" si="3"/>
        <v/>
      </c>
      <c r="L28" s="14" t="str">
        <f t="shared" si="3"/>
        <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9.2767404490576055</v>
      </c>
      <c r="F29" s="14">
        <f t="shared" si="6"/>
        <v>8.9640950761011382</v>
      </c>
      <c r="G29" s="14">
        <f t="shared" si="6"/>
        <v>8.6506809620768621</v>
      </c>
      <c r="H29" s="14" t="str">
        <f t="shared" si="6"/>
        <v/>
      </c>
      <c r="I29" s="14" t="str">
        <f t="shared" si="6"/>
        <v/>
      </c>
      <c r="J29" s="14" t="str">
        <f t="shared" si="6"/>
        <v/>
      </c>
      <c r="K29" s="14" t="str">
        <f t="shared" si="6"/>
        <v/>
      </c>
      <c r="L29" s="14" t="str">
        <f t="shared" si="6"/>
        <v/>
      </c>
      <c r="N29" t="s">
        <v>223</v>
      </c>
    </row>
    <row r="30" spans="1:14" x14ac:dyDescent="0.35">
      <c r="A30" t="str">
        <f t="shared" si="4"/>
        <v xml:space="preserve">    Mexico Balance</v>
      </c>
      <c r="B30" s="86">
        <v>4.1000000000000002E-2</v>
      </c>
      <c r="C30" s="14">
        <f t="shared" si="5"/>
        <v>4.1000000000000002E-2</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9.351043998978211</v>
      </c>
      <c r="E35" s="14">
        <f t="shared" si="7"/>
        <v>8.2076434402284981</v>
      </c>
      <c r="F35" s="14">
        <f t="shared" si="7"/>
        <v>7.5320475380505689</v>
      </c>
      <c r="G35" s="14">
        <f t="shared" si="7"/>
        <v>7.3753404810384309</v>
      </c>
      <c r="H35" s="14" t="str">
        <f t="shared" si="7"/>
        <v/>
      </c>
      <c r="I35" s="14" t="str">
        <f t="shared" si="7"/>
        <v/>
      </c>
      <c r="J35" s="14" t="str">
        <f t="shared" si="7"/>
        <v/>
      </c>
      <c r="K35" s="14" t="str">
        <f t="shared" si="7"/>
        <v/>
      </c>
      <c r="L35" s="14" t="str">
        <f t="shared" si="7"/>
        <v/>
      </c>
    </row>
    <row r="36" spans="1:12" x14ac:dyDescent="0.35">
      <c r="A36" t="s">
        <v>116</v>
      </c>
      <c r="B36" s="35">
        <f>1-B35</f>
        <v>0.5</v>
      </c>
      <c r="C36" s="14">
        <f>IF(C$25&lt;&gt;"",C22,"")</f>
        <v>10.1</v>
      </c>
      <c r="D36" s="14">
        <f t="shared" si="7"/>
        <v>9.351043998978211</v>
      </c>
      <c r="E36" s="14">
        <f t="shared" si="7"/>
        <v>8.2076434402284981</v>
      </c>
      <c r="F36" s="14">
        <f t="shared" si="7"/>
        <v>7.5320475380505689</v>
      </c>
      <c r="G36" s="14">
        <f t="shared" si="7"/>
        <v>7.3753404810384309</v>
      </c>
      <c r="H36" s="14" t="str">
        <f t="shared" si="7"/>
        <v/>
      </c>
      <c r="I36" s="14" t="str">
        <f t="shared" si="7"/>
        <v/>
      </c>
      <c r="J36" s="14" t="str">
        <f t="shared" si="7"/>
        <v/>
      </c>
      <c r="K36" s="14" t="str">
        <f t="shared" si="7"/>
        <v/>
      </c>
      <c r="L36" s="14" t="str">
        <f t="shared" si="7"/>
        <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0.94980111749942708</v>
      </c>
      <c r="E37" s="14">
        <f>IF(E$25&lt;&gt;"",VLOOKUP(E35*1000000,'Powell-Elevation-Area'!$B$5:$D$689,3)*$B$21/1000000 + VLOOKUP(E36*1000000,'Mead-Elevation-Area'!$B$5:$D$676,3)*$C$21/1000000,"")</f>
        <v>0.87881905500117308</v>
      </c>
      <c r="F37" s="14">
        <f>IF(F$25&lt;&gt;"",VLOOKUP(F35*1000000,'Powell-Elevation-Area'!$B$5:$D$689,3)*$B$21/1000000 + VLOOKUP(F36*1000000,'Mead-Elevation-Area'!$B$5:$D$676,3)*$C$21/1000000,"")</f>
        <v>0.83590071750057304</v>
      </c>
      <c r="G37" s="14">
        <f>IF(G$25&lt;&gt;"",VLOOKUP(G35*1000000,'Powell-Elevation-Area'!$B$5:$D$689,3)*$B$21/1000000 + VLOOKUP(G36*1000000,'Mead-Elevation-Area'!$B$5:$D$676,3)*$C$21/1000000,"")</f>
        <v>0.82682864249940002</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f>IF(OR(C$25="",$A38=""),"",C$37*C28/C$27)</f>
        <v>0.5327428663506969</v>
      </c>
      <c r="D38" s="14">
        <f t="shared" ref="D38:L38" si="8">IF(OR(D$25="",$A38=""),"",D$37*D28/D$27)</f>
        <v>0.45871070224991406</v>
      </c>
      <c r="E38" s="14">
        <f t="shared" si="8"/>
        <v>0.38217368204470614</v>
      </c>
      <c r="F38" s="14">
        <f t="shared" si="8"/>
        <v>0.33848660347629778</v>
      </c>
      <c r="G38" s="14">
        <f t="shared" si="8"/>
        <v>0.3419269071179345</v>
      </c>
      <c r="H38" s="14" t="str">
        <f t="shared" si="8"/>
        <v/>
      </c>
      <c r="I38" s="14" t="str">
        <f t="shared" si="8"/>
        <v/>
      </c>
      <c r="J38" s="14" t="str">
        <f t="shared" si="8"/>
        <v/>
      </c>
      <c r="K38" s="14" t="str">
        <f t="shared" si="8"/>
        <v/>
      </c>
      <c r="L38" s="14" t="str">
        <f t="shared" si="8"/>
        <v/>
      </c>
    </row>
    <row r="39" spans="1:12" x14ac:dyDescent="0.35">
      <c r="A39" t="str">
        <f t="shared" ref="A39:A43" si="9">IF(A7="","","    "&amp;A7&amp;" Share")</f>
        <v xml:space="preserve">    Lower Basin Share</v>
      </c>
      <c r="B39" s="1"/>
      <c r="C39" s="14">
        <f t="shared" ref="C39:L43" si="10">IF(OR(C$25="",$A39=""),"",C$37*C29/C$27)</f>
        <v>0.48716913569287823</v>
      </c>
      <c r="D39" s="14">
        <f t="shared" si="10"/>
        <v>0.49109041524951297</v>
      </c>
      <c r="E39" s="14">
        <f t="shared" si="10"/>
        <v>0.49664537295646694</v>
      </c>
      <c r="F39" s="14">
        <f t="shared" si="10"/>
        <v>0.49741411402427532</v>
      </c>
      <c r="G39" s="14">
        <f t="shared" si="10"/>
        <v>0.48490173538146553</v>
      </c>
      <c r="H39" s="14" t="str">
        <f t="shared" si="10"/>
        <v/>
      </c>
      <c r="I39" s="14" t="str">
        <f t="shared" si="10"/>
        <v/>
      </c>
      <c r="J39" s="14" t="str">
        <f t="shared" si="10"/>
        <v/>
      </c>
      <c r="K39" s="14" t="str">
        <f t="shared" si="10"/>
        <v/>
      </c>
      <c r="L39" s="14" t="str">
        <f t="shared" si="10"/>
        <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t="str">
        <f t="shared" si="11"/>
        <v/>
      </c>
      <c r="I44" s="50" t="str">
        <f t="shared" si="11"/>
        <v/>
      </c>
      <c r="J44" s="50" t="str">
        <f t="shared" si="11"/>
        <v/>
      </c>
      <c r="K44" s="50" t="str">
        <f t="shared" si="11"/>
        <v/>
      </c>
      <c r="L44" s="50" t="str">
        <f t="shared" si="11"/>
        <v/>
      </c>
    </row>
    <row r="45" spans="1:12" x14ac:dyDescent="0.35">
      <c r="A45" s="1" t="s">
        <v>162</v>
      </c>
      <c r="B45" s="1"/>
      <c r="C45"/>
    </row>
    <row r="46" spans="1:12" x14ac:dyDescent="0.35">
      <c r="A46" t="str">
        <f>IF(A6="","","    To "&amp;A6)</f>
        <v xml:space="preserve">    To Upper Basin</v>
      </c>
      <c r="B46" s="24" t="s">
        <v>164</v>
      </c>
      <c r="C46" s="14">
        <f>IF(OR(C$25="",$A4=""),"",MAX(0,C$25-SUM(C47:C48)))</f>
        <v>2.7650000000000006</v>
      </c>
      <c r="D46" s="14">
        <f t="shared" ref="D46:L46" si="12">IF(OR(D$25="",$A4=""),"",MAX(0,D$25-SUM(D47:D48)))</f>
        <v>2.7650000000000006</v>
      </c>
      <c r="E46" s="14">
        <f t="shared" si="12"/>
        <v>2.7650000000000006</v>
      </c>
      <c r="F46" s="14">
        <f t="shared" si="12"/>
        <v>2.7650000000000006</v>
      </c>
      <c r="G46" s="14">
        <f t="shared" si="12"/>
        <v>2.7650000000000006</v>
      </c>
      <c r="H46" s="14" t="str">
        <f t="shared" si="12"/>
        <v/>
      </c>
      <c r="I46" s="14" t="str">
        <f t="shared" si="12"/>
        <v/>
      </c>
      <c r="J46" s="14" t="str">
        <f t="shared" si="12"/>
        <v/>
      </c>
      <c r="K46" s="14" t="str">
        <f t="shared" si="12"/>
        <v/>
      </c>
      <c r="L46" s="14" t="str">
        <f t="shared" si="12"/>
        <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t="str">
        <f t="shared" si="14"/>
        <v/>
      </c>
      <c r="I47" s="14" t="str">
        <f t="shared" si="14"/>
        <v/>
      </c>
      <c r="J47" s="14" t="str">
        <f t="shared" si="14"/>
        <v/>
      </c>
      <c r="K47" s="14" t="str">
        <f t="shared" si="14"/>
        <v/>
      </c>
      <c r="L47" s="14" t="str">
        <f t="shared" si="14"/>
        <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t="str">
        <f t="shared" si="15"/>
        <v/>
      </c>
      <c r="I48" s="14" t="str">
        <f t="shared" si="15"/>
        <v/>
      </c>
      <c r="J48" s="14" t="str">
        <f t="shared" si="15"/>
        <v/>
      </c>
      <c r="K48" s="14" t="str">
        <f t="shared" si="15"/>
        <v/>
      </c>
      <c r="L48" s="14" t="str">
        <f t="shared" si="15"/>
        <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t="str">
        <f t="shared" si="16"/>
        <v/>
      </c>
      <c r="I49" s="14" t="str">
        <f t="shared" si="16"/>
        <v/>
      </c>
      <c r="J49" s="14" t="str">
        <f t="shared" si="16"/>
        <v/>
      </c>
      <c r="K49" s="14" t="str">
        <f t="shared" si="16"/>
        <v/>
      </c>
      <c r="L49" s="14" t="str">
        <f t="shared" si="16"/>
        <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t="str">
        <f t="shared" si="17"/>
        <v/>
      </c>
      <c r="I53" s="14" t="str">
        <f t="shared" si="17"/>
        <v/>
      </c>
      <c r="J53" s="14" t="str">
        <f t="shared" si="17"/>
        <v/>
      </c>
      <c r="K53" s="14" t="str">
        <f t="shared" si="17"/>
        <v/>
      </c>
      <c r="L53" s="14" t="str">
        <f t="shared" si="17"/>
        <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t="str">
        <f t="shared" si="19"/>
        <v/>
      </c>
      <c r="I54" s="14" t="str">
        <f t="shared" si="19"/>
        <v/>
      </c>
      <c r="J54" s="14" t="str">
        <f t="shared" si="19"/>
        <v/>
      </c>
      <c r="K54" s="14" t="str">
        <f t="shared" si="19"/>
        <v/>
      </c>
      <c r="L54" s="14" t="str">
        <f t="shared" si="19"/>
        <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t="str">
        <f t="shared" si="20"/>
        <v/>
      </c>
      <c r="I55" s="14" t="str">
        <f t="shared" si="20"/>
        <v/>
      </c>
      <c r="J55" s="14" t="str">
        <f t="shared" si="20"/>
        <v/>
      </c>
      <c r="K55" s="14" t="str">
        <f t="shared" si="20"/>
        <v/>
      </c>
      <c r="L55" s="14" t="str">
        <f t="shared" si="20"/>
        <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t="str">
        <f t="shared" si="21"/>
        <v/>
      </c>
      <c r="I56" s="14" t="str">
        <f t="shared" si="21"/>
        <v/>
      </c>
      <c r="J56" s="14" t="str">
        <f t="shared" si="21"/>
        <v/>
      </c>
      <c r="K56" s="14" t="str">
        <f t="shared" si="21"/>
        <v/>
      </c>
      <c r="L56" s="14" t="str">
        <f t="shared" si="21"/>
        <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c r="L61" s="62"/>
      <c r="M61" s="54">
        <f t="shared" ref="M61:M65" si="24">SUMPRODUCT(C61:L61,C$67:L$67)</f>
        <v>0</v>
      </c>
    </row>
    <row r="62" spans="1:13" x14ac:dyDescent="0.35">
      <c r="A62" t="str">
        <f t="shared" si="23"/>
        <v xml:space="preserve">    Mexico</v>
      </c>
      <c r="B62" s="1"/>
      <c r="C62" s="50"/>
      <c r="D62" s="50"/>
      <c r="E62" s="68"/>
      <c r="F62" s="50"/>
      <c r="G62" s="50"/>
      <c r="H62" s="68"/>
      <c r="I62" s="50"/>
      <c r="J62" s="50"/>
      <c r="K62" s="68"/>
      <c r="L62" s="50"/>
      <c r="M62" s="54">
        <f t="shared" si="24"/>
        <v>0</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c>
      <c r="B64" s="1"/>
      <c r="C64" s="50"/>
      <c r="D64" s="50"/>
      <c r="E64" s="68"/>
      <c r="F64" s="50"/>
      <c r="G64" s="50"/>
      <c r="H64" s="68"/>
      <c r="I64" s="50"/>
      <c r="J64" s="50"/>
      <c r="K64" s="68"/>
      <c r="L64" s="50"/>
      <c r="M64" s="54">
        <f t="shared" si="24"/>
        <v>0</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t="str">
        <f t="shared" si="25"/>
        <v/>
      </c>
      <c r="I66" s="53" t="str">
        <f t="shared" si="25"/>
        <v/>
      </c>
      <c r="J66" s="53" t="str">
        <f t="shared" si="25"/>
        <v/>
      </c>
      <c r="K66" s="53" t="str">
        <f t="shared" si="25"/>
        <v/>
      </c>
      <c r="L66" s="53" t="str">
        <f t="shared" si="25"/>
        <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13.232257133649304</v>
      </c>
      <c r="D69" s="14">
        <f t="shared" ref="D69:L69" si="26">IF(OR(D$25="",$A69=""),"",D28+D46+D53-D38-D60)</f>
        <v>11.33854643139939</v>
      </c>
      <c r="E69" s="14">
        <f t="shared" si="26"/>
        <v>9.5213727493546845</v>
      </c>
      <c r="F69" s="14">
        <f t="shared" si="26"/>
        <v>8.5265133965237023</v>
      </c>
      <c r="G69" s="14">
        <f t="shared" si="26"/>
        <v>8.5230730928820648</v>
      </c>
      <c r="H69" s="14" t="str">
        <f t="shared" si="26"/>
        <v/>
      </c>
      <c r="I69" s="14" t="str">
        <f t="shared" si="26"/>
        <v/>
      </c>
      <c r="J69" s="14" t="str">
        <f t="shared" si="26"/>
        <v/>
      </c>
      <c r="K69" s="14" t="str">
        <f t="shared" si="26"/>
        <v/>
      </c>
      <c r="L69" s="14" t="str">
        <f t="shared" si="26"/>
        <v/>
      </c>
    </row>
    <row r="70" spans="1:21" x14ac:dyDescent="0.35">
      <c r="A70" t="str">
        <f t="shared" ref="A70:A74" si="27">IF(A7="","","    "&amp;A7)</f>
        <v xml:space="preserve">    Lower Basin</v>
      </c>
      <c r="C70" s="14">
        <f t="shared" ref="C70:L74" si="28">IF(OR(C$25="",$A70=""),"",C29+C47+C54-C39-C61)</f>
        <v>16.53683086430712</v>
      </c>
      <c r="D70" s="14">
        <f t="shared" si="28"/>
        <v>16.143740449057606</v>
      </c>
      <c r="E70" s="14">
        <f t="shared" si="28"/>
        <v>15.747095076101138</v>
      </c>
      <c r="F70" s="14">
        <f t="shared" si="28"/>
        <v>15.433680962076863</v>
      </c>
      <c r="G70" s="14">
        <f t="shared" si="28"/>
        <v>15.132779226695398</v>
      </c>
      <c r="H70" s="14" t="str">
        <f t="shared" si="28"/>
        <v/>
      </c>
      <c r="I70" s="14" t="str">
        <f t="shared" si="28"/>
        <v/>
      </c>
      <c r="J70" s="14" t="str">
        <f t="shared" si="28"/>
        <v/>
      </c>
      <c r="K70" s="14" t="str">
        <f t="shared" si="28"/>
        <v/>
      </c>
      <c r="L70" s="14" t="str">
        <f t="shared" si="28"/>
        <v/>
      </c>
    </row>
    <row r="71" spans="1:21" x14ac:dyDescent="0.35">
      <c r="A71" t="str">
        <f t="shared" si="27"/>
        <v xml:space="preserve">    Mexico</v>
      </c>
      <c r="C71" s="60">
        <f t="shared" si="28"/>
        <v>1.5090143220436021</v>
      </c>
      <c r="D71" s="14">
        <f t="shared" si="28"/>
        <v>1.47</v>
      </c>
      <c r="E71" s="14">
        <f t="shared" si="28"/>
        <v>1.468</v>
      </c>
      <c r="F71" s="14">
        <f t="shared" si="28"/>
        <v>1.468</v>
      </c>
      <c r="G71" s="14">
        <f t="shared" si="28"/>
        <v>1.468</v>
      </c>
      <c r="H71" s="14" t="str">
        <f t="shared" si="28"/>
        <v/>
      </c>
      <c r="I71" s="14" t="str">
        <f t="shared" si="28"/>
        <v/>
      </c>
      <c r="J71" s="14" t="str">
        <f t="shared" si="28"/>
        <v/>
      </c>
      <c r="K71" s="14" t="str">
        <f t="shared" si="28"/>
        <v/>
      </c>
      <c r="L71" s="14" t="str">
        <f t="shared" si="28"/>
        <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t="str">
        <f t="shared" si="28"/>
        <v/>
      </c>
      <c r="I72" s="14" t="str">
        <f t="shared" si="28"/>
        <v/>
      </c>
      <c r="J72" s="14" t="str">
        <f t="shared" si="28"/>
        <v/>
      </c>
      <c r="K72" s="14" t="str">
        <f t="shared" si="28"/>
        <v/>
      </c>
      <c r="L72" s="14" t="str">
        <f t="shared" si="28"/>
        <v/>
      </c>
    </row>
    <row r="73" spans="1:21" x14ac:dyDescent="0.35">
      <c r="A73" t="str">
        <f t="shared" si="27"/>
        <v/>
      </c>
      <c r="C73" s="60" t="str">
        <f t="shared" si="28"/>
        <v/>
      </c>
      <c r="D73" s="60" t="str">
        <f t="shared" si="28"/>
        <v/>
      </c>
      <c r="E73" s="60" t="str">
        <f t="shared" si="28"/>
        <v/>
      </c>
      <c r="F73" s="60" t="str">
        <f t="shared" si="28"/>
        <v/>
      </c>
      <c r="G73" s="60" t="str">
        <f t="shared" si="28"/>
        <v/>
      </c>
      <c r="H73" s="60" t="str">
        <f t="shared" si="28"/>
        <v/>
      </c>
      <c r="I73" s="60" t="str">
        <f t="shared" si="28"/>
        <v/>
      </c>
      <c r="J73" s="60" t="str">
        <f t="shared" si="28"/>
        <v/>
      </c>
      <c r="K73" s="60" t="str">
        <f t="shared" si="28"/>
        <v/>
      </c>
      <c r="L73" s="60" t="str">
        <f t="shared" si="28"/>
        <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G76" si="29">IF(D69&gt;6.1+4.2,4.2,MAX(D69-6.1,0))</f>
        <v>4.2</v>
      </c>
      <c r="E76" s="43">
        <f t="shared" si="29"/>
        <v>3.4213727493546848</v>
      </c>
      <c r="F76" s="43">
        <f t="shared" si="29"/>
        <v>2.4265133965237027</v>
      </c>
      <c r="G76" s="43">
        <f t="shared" si="29"/>
        <v>2.4230730928820652</v>
      </c>
      <c r="H76" s="43"/>
      <c r="I76" s="43"/>
      <c r="J76" s="43"/>
      <c r="K76" s="43"/>
      <c r="L76" s="43"/>
      <c r="N76" s="1" t="s">
        <v>129</v>
      </c>
    </row>
    <row r="77" spans="1:21" x14ac:dyDescent="0.35">
      <c r="A77" t="str">
        <f>IF(A7="","","    "&amp;A7&amp;" - Release from Mead")</f>
        <v xml:space="preserve">    Lower Basin - Release from Mead</v>
      </c>
      <c r="C77" s="43">
        <f>7.5-IF(C$29&lt;$O$78,$P$78,IF(C$29&lt;=$O$85,VLOOKUP(C$29,$O$78:$P$85,2),0))</f>
        <v>6.867</v>
      </c>
      <c r="D77" s="43">
        <f>7.5-IF(D$29&lt;$O$78,$P$78,IF(D$29&lt;=$O$85,VLOOKUP(D$29,$O$78:$P$85,2),0))</f>
        <v>6.867</v>
      </c>
      <c r="E77" s="43">
        <f t="shared" ref="E77:G77" si="30">7.5-IF(E$29&lt;$O$78,$P$78,IF(E$29&lt;=$O$85,VLOOKUP(E$29,$O$78:$P$85,2),0))</f>
        <v>6.7830000000000004</v>
      </c>
      <c r="F77" s="43">
        <f t="shared" si="30"/>
        <v>6.7830000000000004</v>
      </c>
      <c r="G77" s="43">
        <f t="shared" si="30"/>
        <v>6.7830000000000004</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C71</f>
        <v>1.5090143220436021</v>
      </c>
      <c r="D78" s="50">
        <f>D71</f>
        <v>1.47</v>
      </c>
      <c r="E78" s="50">
        <f>E71</f>
        <v>1.468</v>
      </c>
      <c r="F78" s="50">
        <f>F71</f>
        <v>1.468</v>
      </c>
      <c r="G78" s="50">
        <f>G71</f>
        <v>1.468</v>
      </c>
      <c r="H78" s="50"/>
      <c r="I78" s="50"/>
      <c r="J78" s="50"/>
      <c r="K78" s="50"/>
      <c r="L78" s="50"/>
      <c r="N78" s="39">
        <v>1025</v>
      </c>
      <c r="O78" s="40">
        <v>5.981122</v>
      </c>
      <c r="P78" s="41">
        <f>S78-Q78</f>
        <v>1.2000000000000002</v>
      </c>
      <c r="Q78" s="49">
        <v>0.15</v>
      </c>
      <c r="R78" s="41">
        <v>1.325</v>
      </c>
      <c r="S78" s="41">
        <f t="shared" ref="S78:S85" si="32">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3">S79-Q79</f>
        <v>1.117</v>
      </c>
      <c r="Q79" s="49">
        <v>0.10100000000000001</v>
      </c>
      <c r="R79" s="41">
        <v>1.1870000000000001</v>
      </c>
      <c r="S79" s="41">
        <f t="shared" si="32"/>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3"/>
        <v>1.0669999999999999</v>
      </c>
      <c r="Q80" s="49">
        <v>9.1999999999999998E-2</v>
      </c>
      <c r="R80" s="41">
        <v>1.137</v>
      </c>
      <c r="S80" s="41">
        <f t="shared" si="32"/>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3"/>
        <v>1.0169999999999999</v>
      </c>
      <c r="Q81" s="49">
        <v>8.4000000000000005E-2</v>
      </c>
      <c r="R81" s="41">
        <v>1.087</v>
      </c>
      <c r="S81" s="41">
        <f t="shared" si="32"/>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3"/>
        <v>0.96699999999999997</v>
      </c>
      <c r="Q82" s="49">
        <v>7.5999999999999998E-2</v>
      </c>
      <c r="R82" s="41">
        <v>1.0369999999999999</v>
      </c>
      <c r="S82" s="41">
        <f t="shared" si="32"/>
        <v>1.0429999999999999</v>
      </c>
      <c r="T82" s="42">
        <v>7.0000000000000007E-2</v>
      </c>
      <c r="U82" s="52">
        <v>1043000</v>
      </c>
    </row>
    <row r="83" spans="1:21" x14ac:dyDescent="0.35">
      <c r="A83" t="str">
        <f>IF(A6="","","    "&amp;A6)</f>
        <v xml:space="preserve">    Upper Basin</v>
      </c>
      <c r="C83" s="14">
        <f>IF(OR(C$25="",$A83=""),"",C69-C76)</f>
        <v>9.0322571336493027</v>
      </c>
      <c r="D83" s="14">
        <f t="shared" ref="D83:L83" si="34">IF(OR(D$25="",$A83=""),"",D69-D76)</f>
        <v>7.1385464313993898</v>
      </c>
      <c r="E83" s="14">
        <f t="shared" si="34"/>
        <v>6.1</v>
      </c>
      <c r="F83" s="14">
        <f t="shared" si="34"/>
        <v>6.1</v>
      </c>
      <c r="G83" s="14">
        <f t="shared" si="34"/>
        <v>6.1</v>
      </c>
      <c r="H83" s="14" t="str">
        <f t="shared" si="34"/>
        <v/>
      </c>
      <c r="I83" s="14" t="str">
        <f t="shared" si="34"/>
        <v/>
      </c>
      <c r="J83" s="14" t="str">
        <f t="shared" si="34"/>
        <v/>
      </c>
      <c r="K83" s="14" t="str">
        <f t="shared" si="34"/>
        <v/>
      </c>
      <c r="L83" s="14" t="str">
        <f t="shared" si="34"/>
        <v/>
      </c>
      <c r="N83" s="39">
        <v>1050</v>
      </c>
      <c r="O83" s="40">
        <v>7.6828779999999997</v>
      </c>
      <c r="P83" s="41">
        <f t="shared" si="33"/>
        <v>0.71699999999999997</v>
      </c>
      <c r="Q83" s="49">
        <v>3.4000000000000002E-2</v>
      </c>
      <c r="R83" s="41">
        <v>0.78700000000000003</v>
      </c>
      <c r="S83" s="41">
        <f t="shared" si="32"/>
        <v>0.751</v>
      </c>
      <c r="T83" s="42">
        <v>7.0000000000000007E-2</v>
      </c>
      <c r="U83" s="52">
        <v>751000</v>
      </c>
    </row>
    <row r="84" spans="1:21" x14ac:dyDescent="0.35">
      <c r="A84" t="str">
        <f t="shared" ref="A84:A88" si="35">IF(A7="","","    "&amp;A7)</f>
        <v xml:space="preserve">    Lower Basin</v>
      </c>
      <c r="C84" s="14">
        <f t="shared" ref="C84:L88" si="36">IF(OR(C$25="",$A84=""),"",C70-C77)</f>
        <v>9.6698308643071194</v>
      </c>
      <c r="D84" s="14">
        <f t="shared" si="36"/>
        <v>9.2767404490576055</v>
      </c>
      <c r="E84" s="14">
        <f t="shared" si="36"/>
        <v>8.9640950761011382</v>
      </c>
      <c r="F84" s="14">
        <f t="shared" si="36"/>
        <v>8.6506809620768621</v>
      </c>
      <c r="G84" s="14">
        <f t="shared" si="36"/>
        <v>8.3497792266953965</v>
      </c>
      <c r="H84" s="14" t="str">
        <f t="shared" si="36"/>
        <v/>
      </c>
      <c r="I84" s="14" t="str">
        <f t="shared" si="36"/>
        <v/>
      </c>
      <c r="J84" s="14" t="str">
        <f t="shared" si="36"/>
        <v/>
      </c>
      <c r="K84" s="14" t="str">
        <f t="shared" si="36"/>
        <v/>
      </c>
      <c r="L84" s="14" t="str">
        <f t="shared" si="36"/>
        <v/>
      </c>
      <c r="N84" s="39">
        <v>1075</v>
      </c>
      <c r="O84" s="40">
        <v>9.6009879999900001</v>
      </c>
      <c r="P84" s="41">
        <f t="shared" si="33"/>
        <v>0.63300000000000001</v>
      </c>
      <c r="Q84" s="49">
        <v>0.03</v>
      </c>
      <c r="R84" s="41">
        <v>0.68300000000000005</v>
      </c>
      <c r="S84" s="41">
        <f t="shared" si="32"/>
        <v>0.66300000000000003</v>
      </c>
      <c r="T84" s="42">
        <v>0.05</v>
      </c>
      <c r="U84" s="52">
        <v>663000</v>
      </c>
    </row>
    <row r="85" spans="1:21" x14ac:dyDescent="0.35">
      <c r="A85" t="str">
        <f t="shared" si="35"/>
        <v xml:space="preserve">    Mexico</v>
      </c>
      <c r="C85" s="14">
        <f t="shared" si="36"/>
        <v>0</v>
      </c>
      <c r="D85" s="14">
        <f t="shared" si="36"/>
        <v>0</v>
      </c>
      <c r="E85" s="14">
        <f t="shared" si="36"/>
        <v>0</v>
      </c>
      <c r="F85" s="14">
        <f t="shared" si="36"/>
        <v>0</v>
      </c>
      <c r="G85" s="14">
        <f t="shared" si="36"/>
        <v>0</v>
      </c>
      <c r="H85" s="14" t="str">
        <f t="shared" si="36"/>
        <v/>
      </c>
      <c r="I85" s="14" t="str">
        <f t="shared" si="36"/>
        <v/>
      </c>
      <c r="J85" s="14" t="str">
        <f t="shared" si="36"/>
        <v/>
      </c>
      <c r="K85" s="14" t="str">
        <f t="shared" si="36"/>
        <v/>
      </c>
      <c r="L85" s="14" t="str">
        <f t="shared" si="36"/>
        <v/>
      </c>
      <c r="N85" s="39">
        <v>1090</v>
      </c>
      <c r="O85" s="40">
        <v>10.857008</v>
      </c>
      <c r="P85" s="41">
        <f t="shared" si="33"/>
        <v>0.30000000000000004</v>
      </c>
      <c r="Q85" s="49">
        <v>4.1000000000000002E-2</v>
      </c>
      <c r="R85" s="41">
        <v>0.3</v>
      </c>
      <c r="S85" s="41">
        <f t="shared" si="32"/>
        <v>0.34100000000000003</v>
      </c>
      <c r="T85" s="38"/>
      <c r="U85" s="52">
        <v>341000</v>
      </c>
    </row>
    <row r="86" spans="1:21" x14ac:dyDescent="0.35">
      <c r="A86" t="str">
        <f t="shared" si="35"/>
        <v xml:space="preserve">    Mohave &amp; Havasu Evap &amp; ET</v>
      </c>
      <c r="C86" s="14">
        <f t="shared" si="36"/>
        <v>0</v>
      </c>
      <c r="D86" s="14">
        <f t="shared" si="36"/>
        <v>0</v>
      </c>
      <c r="E86" s="14">
        <f t="shared" si="36"/>
        <v>0</v>
      </c>
      <c r="F86" s="14">
        <f t="shared" si="36"/>
        <v>0</v>
      </c>
      <c r="G86" s="14">
        <f t="shared" si="36"/>
        <v>0</v>
      </c>
      <c r="H86" s="14" t="str">
        <f t="shared" si="36"/>
        <v/>
      </c>
      <c r="I86" s="14" t="str">
        <f t="shared" si="36"/>
        <v/>
      </c>
      <c r="J86" s="14" t="str">
        <f t="shared" si="36"/>
        <v/>
      </c>
      <c r="K86" s="14" t="str">
        <f t="shared" si="36"/>
        <v/>
      </c>
      <c r="L86" s="14" t="str">
        <f t="shared" si="36"/>
        <v/>
      </c>
    </row>
    <row r="87" spans="1:21" x14ac:dyDescent="0.35">
      <c r="A87" t="str">
        <f t="shared" si="35"/>
        <v/>
      </c>
      <c r="C87" s="59" t="str">
        <f>IF(OR(C$25="",$A87=""),"",C73-C80)</f>
        <v/>
      </c>
      <c r="D87" s="59" t="str">
        <f t="shared" si="36"/>
        <v/>
      </c>
      <c r="E87" s="59" t="str">
        <f t="shared" si="36"/>
        <v/>
      </c>
      <c r="F87" s="59" t="str">
        <f t="shared" si="36"/>
        <v/>
      </c>
      <c r="G87" s="59" t="str">
        <f t="shared" si="36"/>
        <v/>
      </c>
      <c r="H87" s="59" t="str">
        <f t="shared" si="36"/>
        <v/>
      </c>
      <c r="I87" s="59" t="str">
        <f t="shared" si="36"/>
        <v/>
      </c>
      <c r="J87" s="59" t="str">
        <f t="shared" si="36"/>
        <v/>
      </c>
      <c r="K87" s="59" t="str">
        <f t="shared" si="36"/>
        <v/>
      </c>
      <c r="L87" s="59" t="str">
        <f t="shared" si="36"/>
        <v/>
      </c>
    </row>
    <row r="88" spans="1:21" x14ac:dyDescent="0.35">
      <c r="A88" t="str">
        <f t="shared" si="35"/>
        <v/>
      </c>
      <c r="C88" s="14" t="str">
        <f t="shared" si="36"/>
        <v/>
      </c>
      <c r="D88" s="14" t="str">
        <f t="shared" si="36"/>
        <v/>
      </c>
      <c r="E88" s="14" t="str">
        <f t="shared" si="36"/>
        <v/>
      </c>
      <c r="F88" s="14" t="str">
        <f t="shared" si="36"/>
        <v/>
      </c>
      <c r="G88" s="14" t="str">
        <f t="shared" si="36"/>
        <v/>
      </c>
      <c r="H88" s="14" t="str">
        <f t="shared" si="36"/>
        <v/>
      </c>
      <c r="I88" s="14" t="str">
        <f t="shared" si="36"/>
        <v/>
      </c>
      <c r="J88" s="14" t="str">
        <f t="shared" si="36"/>
        <v/>
      </c>
      <c r="K88" s="14" t="str">
        <f t="shared" si="36"/>
        <v/>
      </c>
      <c r="L88" s="14" t="str">
        <f t="shared" si="36"/>
        <v/>
      </c>
    </row>
    <row r="89" spans="1:21" x14ac:dyDescent="0.35">
      <c r="A89" s="1" t="s">
        <v>125</v>
      </c>
      <c r="B89" s="1"/>
      <c r="C89" s="14">
        <f>IF(C$25&lt;&gt;"",SUM(C83:C88),"")</f>
        <v>18.702087997956422</v>
      </c>
      <c r="D89" s="14">
        <f t="shared" ref="D89:L89" si="37">IF(D$25&lt;&gt;"",SUM(D83:D88),"")</f>
        <v>16.415286880456996</v>
      </c>
      <c r="E89" s="14">
        <f t="shared" si="37"/>
        <v>15.064095076101138</v>
      </c>
      <c r="F89" s="14">
        <f t="shared" si="37"/>
        <v>14.750680962076862</v>
      </c>
      <c r="G89" s="14">
        <f t="shared" si="37"/>
        <v>14.449779226695396</v>
      </c>
      <c r="H89" s="14" t="str">
        <f t="shared" si="37"/>
        <v/>
      </c>
      <c r="I89" s="14" t="str">
        <f t="shared" si="37"/>
        <v/>
      </c>
      <c r="J89" s="14" t="str">
        <f t="shared" si="37"/>
        <v/>
      </c>
      <c r="K89" s="14" t="str">
        <f t="shared" si="37"/>
        <v/>
      </c>
      <c r="L89" s="14" t="str">
        <f t="shared" si="37"/>
        <v/>
      </c>
    </row>
    <row r="90" spans="1:21" x14ac:dyDescent="0.35">
      <c r="A90" s="1" t="s">
        <v>147</v>
      </c>
      <c r="B90" s="1"/>
      <c r="C90" s="14">
        <f>IF(C25&lt;&gt;"",C35+C25-C38-C76-C89*$B$35,"")</f>
        <v>7.9162131346710911</v>
      </c>
      <c r="D90" s="14">
        <f t="shared" ref="D90:L90" si="38">IF(D25&lt;&gt;"",D35+D25-D38-D76-D89*$B$35,"")</f>
        <v>7.4846898564998021</v>
      </c>
      <c r="E90" s="14">
        <f t="shared" si="38"/>
        <v>7.8720494707785393</v>
      </c>
      <c r="F90" s="14">
        <f t="shared" si="38"/>
        <v>8.3917070570121375</v>
      </c>
      <c r="G90" s="14">
        <f t="shared" si="38"/>
        <v>8.3854508676907358</v>
      </c>
      <c r="H90" s="14" t="str">
        <f t="shared" si="38"/>
        <v/>
      </c>
      <c r="I90" s="14" t="str">
        <f t="shared" si="38"/>
        <v/>
      </c>
      <c r="J90" s="14" t="str">
        <f t="shared" si="38"/>
        <v/>
      </c>
      <c r="K90" s="14" t="str">
        <f t="shared" si="38"/>
        <v/>
      </c>
      <c r="L90" s="14" t="str">
        <f t="shared" si="38"/>
        <v/>
      </c>
    </row>
    <row r="92" spans="1:21" x14ac:dyDescent="0.35">
      <c r="A92" s="1" t="s">
        <v>127</v>
      </c>
      <c r="C92" s="12">
        <f>IF(C$25&lt;&gt;"",0.2,"")</f>
        <v>0.2</v>
      </c>
      <c r="D92" s="12">
        <f t="shared" ref="D92:L92" si="39">IF(D$25&lt;&gt;"",0.2,"")</f>
        <v>0.2</v>
      </c>
      <c r="E92" s="12">
        <f t="shared" si="39"/>
        <v>0.2</v>
      </c>
      <c r="F92" s="12">
        <f t="shared" si="39"/>
        <v>0.2</v>
      </c>
      <c r="G92" s="12">
        <f t="shared" si="39"/>
        <v>0.2</v>
      </c>
      <c r="H92" s="12" t="str">
        <f t="shared" si="39"/>
        <v/>
      </c>
      <c r="I92" s="12" t="str">
        <f t="shared" si="39"/>
        <v/>
      </c>
      <c r="J92" s="12" t="str">
        <f t="shared" si="39"/>
        <v/>
      </c>
      <c r="K92" s="12" t="str">
        <f t="shared" si="39"/>
        <v/>
      </c>
      <c r="L92" s="12" t="str">
        <f t="shared" si="39"/>
        <v/>
      </c>
    </row>
    <row r="93" spans="1:21" x14ac:dyDescent="0.35">
      <c r="A93" t="s">
        <v>128</v>
      </c>
      <c r="C93" s="14">
        <f t="shared" ref="C93:L93" si="40">IF(C$25&lt;&gt;"",C77+C92,"")</f>
        <v>7.0670000000000002</v>
      </c>
      <c r="D93" s="14">
        <f t="shared" si="40"/>
        <v>7.0670000000000002</v>
      </c>
      <c r="E93" s="14">
        <f t="shared" si="40"/>
        <v>6.9830000000000005</v>
      </c>
      <c r="F93" s="14">
        <f t="shared" si="40"/>
        <v>6.9830000000000005</v>
      </c>
      <c r="G93" s="14">
        <f t="shared" si="40"/>
        <v>6.9830000000000005</v>
      </c>
      <c r="H93" s="14" t="str">
        <f t="shared" si="40"/>
        <v/>
      </c>
      <c r="I93" s="14" t="str">
        <f t="shared" si="40"/>
        <v/>
      </c>
      <c r="J93" s="14" t="str">
        <f t="shared" si="40"/>
        <v/>
      </c>
      <c r="K93" s="14" t="str">
        <f t="shared" si="40"/>
        <v/>
      </c>
      <c r="L93" s="14" t="str">
        <f t="shared" si="40"/>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261" priority="60" operator="greaterThan">
      <formula>$C$69</formula>
    </cfRule>
  </conditionalFormatting>
  <conditionalFormatting sqref="C77:D77">
    <cfRule type="cellIs" dxfId="260" priority="59" operator="greaterThan">
      <formula>$C$70</formula>
    </cfRule>
  </conditionalFormatting>
  <conditionalFormatting sqref="C78">
    <cfRule type="cellIs" dxfId="259" priority="58" operator="greaterThan">
      <formula>$C$71</formula>
    </cfRule>
  </conditionalFormatting>
  <conditionalFormatting sqref="C79">
    <cfRule type="cellIs" dxfId="258" priority="57" operator="greaterThan">
      <formula>$C$72</formula>
    </cfRule>
  </conditionalFormatting>
  <conditionalFormatting sqref="C80">
    <cfRule type="cellIs" dxfId="257" priority="56" operator="greaterThan">
      <formula>$C$73</formula>
    </cfRule>
  </conditionalFormatting>
  <conditionalFormatting sqref="C81">
    <cfRule type="cellIs" dxfId="256" priority="55" operator="greaterThan">
      <formula>$C$74</formula>
    </cfRule>
  </conditionalFormatting>
  <conditionalFormatting sqref="D76">
    <cfRule type="cellIs" dxfId="255" priority="54" operator="greaterThan">
      <formula>$D$69</formula>
    </cfRule>
  </conditionalFormatting>
  <conditionalFormatting sqref="D78">
    <cfRule type="cellIs" dxfId="254" priority="52" operator="greaterThan">
      <formula>$D$71</formula>
    </cfRule>
  </conditionalFormatting>
  <conditionalFormatting sqref="D79">
    <cfRule type="cellIs" dxfId="253" priority="51" operator="greaterThan">
      <formula>$D$72</formula>
    </cfRule>
  </conditionalFormatting>
  <conditionalFormatting sqref="D80">
    <cfRule type="cellIs" dxfId="252" priority="50" operator="greaterThan">
      <formula>$D$73</formula>
    </cfRule>
  </conditionalFormatting>
  <conditionalFormatting sqref="D81">
    <cfRule type="cellIs" dxfId="251" priority="49" operator="greaterThan">
      <formula>$D$74</formula>
    </cfRule>
  </conditionalFormatting>
  <conditionalFormatting sqref="E76">
    <cfRule type="cellIs" dxfId="250" priority="48" operator="greaterThan">
      <formula>$E$69</formula>
    </cfRule>
  </conditionalFormatting>
  <conditionalFormatting sqref="E77">
    <cfRule type="cellIs" dxfId="249" priority="47" operator="greaterThan">
      <formula>$E$70</formula>
    </cfRule>
  </conditionalFormatting>
  <conditionalFormatting sqref="E78">
    <cfRule type="cellIs" dxfId="248" priority="46" operator="greaterThan">
      <formula>$E$71</formula>
    </cfRule>
  </conditionalFormatting>
  <conditionalFormatting sqref="E79">
    <cfRule type="cellIs" dxfId="247" priority="45" operator="greaterThan">
      <formula>$E$72</formula>
    </cfRule>
  </conditionalFormatting>
  <conditionalFormatting sqref="E80">
    <cfRule type="cellIs" dxfId="246" priority="44" operator="greaterThan">
      <formula>$E$73</formula>
    </cfRule>
  </conditionalFormatting>
  <conditionalFormatting sqref="E81">
    <cfRule type="cellIs" dxfId="245" priority="43" operator="greaterThan">
      <formula>$E$74</formula>
    </cfRule>
  </conditionalFormatting>
  <conditionalFormatting sqref="F76">
    <cfRule type="cellIs" dxfId="244" priority="42" operator="greaterThan">
      <formula>$F$69</formula>
    </cfRule>
  </conditionalFormatting>
  <conditionalFormatting sqref="F77">
    <cfRule type="cellIs" dxfId="243" priority="41" operator="greaterThan">
      <formula>$F$70</formula>
    </cfRule>
  </conditionalFormatting>
  <conditionalFormatting sqref="F78">
    <cfRule type="cellIs" dxfId="242" priority="40" operator="greaterThan">
      <formula>$F$71</formula>
    </cfRule>
  </conditionalFormatting>
  <conditionalFormatting sqref="F79">
    <cfRule type="cellIs" dxfId="241" priority="39" operator="greaterThan">
      <formula>$F$72</formula>
    </cfRule>
  </conditionalFormatting>
  <conditionalFormatting sqref="F80">
    <cfRule type="cellIs" dxfId="240" priority="38" operator="greaterThan">
      <formula>$F$73</formula>
    </cfRule>
  </conditionalFormatting>
  <conditionalFormatting sqref="F81">
    <cfRule type="cellIs" dxfId="239" priority="37" operator="greaterThan">
      <formula>$F$74</formula>
    </cfRule>
  </conditionalFormatting>
  <conditionalFormatting sqref="G76">
    <cfRule type="cellIs" dxfId="238" priority="36" operator="greaterThan">
      <formula>$G$69</formula>
    </cfRule>
  </conditionalFormatting>
  <conditionalFormatting sqref="G77">
    <cfRule type="cellIs" dxfId="237" priority="35" operator="greaterThan">
      <formula>$G$70</formula>
    </cfRule>
  </conditionalFormatting>
  <conditionalFormatting sqref="G78">
    <cfRule type="cellIs" dxfId="236" priority="34" operator="greaterThan">
      <formula>$G$71</formula>
    </cfRule>
  </conditionalFormatting>
  <conditionalFormatting sqref="G79">
    <cfRule type="cellIs" dxfId="235" priority="33" operator="greaterThan">
      <formula>$G$72</formula>
    </cfRule>
  </conditionalFormatting>
  <conditionalFormatting sqref="G80">
    <cfRule type="cellIs" dxfId="234" priority="32" operator="greaterThan">
      <formula>$G$73</formula>
    </cfRule>
  </conditionalFormatting>
  <conditionalFormatting sqref="G81">
    <cfRule type="cellIs" dxfId="233" priority="31" operator="greaterThan">
      <formula>$G$74</formula>
    </cfRule>
  </conditionalFormatting>
  <conditionalFormatting sqref="H76">
    <cfRule type="cellIs" dxfId="232" priority="30" operator="greaterThan">
      <formula>$H$69</formula>
    </cfRule>
  </conditionalFormatting>
  <conditionalFormatting sqref="H77">
    <cfRule type="cellIs" dxfId="231" priority="29" operator="greaterThan">
      <formula>$H$70</formula>
    </cfRule>
  </conditionalFormatting>
  <conditionalFormatting sqref="H78">
    <cfRule type="cellIs" dxfId="230" priority="28" operator="greaterThan">
      <formula>$H$71</formula>
    </cfRule>
  </conditionalFormatting>
  <conditionalFormatting sqref="H79">
    <cfRule type="cellIs" dxfId="229" priority="27" operator="greaterThan">
      <formula>$H$72</formula>
    </cfRule>
  </conditionalFormatting>
  <conditionalFormatting sqref="H80">
    <cfRule type="cellIs" dxfId="228" priority="26" operator="greaterThan">
      <formula>$H$73</formula>
    </cfRule>
  </conditionalFormatting>
  <conditionalFormatting sqref="H81">
    <cfRule type="cellIs" dxfId="227" priority="25" operator="greaterThan">
      <formula>$H$74</formula>
    </cfRule>
  </conditionalFormatting>
  <conditionalFormatting sqref="I76">
    <cfRule type="cellIs" dxfId="226" priority="24" operator="greaterThan">
      <formula>$I$69</formula>
    </cfRule>
  </conditionalFormatting>
  <conditionalFormatting sqref="I77">
    <cfRule type="cellIs" dxfId="225" priority="23" operator="greaterThan">
      <formula>$I$70</formula>
    </cfRule>
  </conditionalFormatting>
  <conditionalFormatting sqref="I78">
    <cfRule type="cellIs" dxfId="224" priority="22" operator="greaterThan">
      <formula>$I$71</formula>
    </cfRule>
  </conditionalFormatting>
  <conditionalFormatting sqref="I79">
    <cfRule type="cellIs" dxfId="223" priority="21" operator="greaterThan">
      <formula>$I$72</formula>
    </cfRule>
  </conditionalFormatting>
  <conditionalFormatting sqref="I80">
    <cfRule type="cellIs" dxfId="222" priority="20" operator="greaterThan">
      <formula>$I$73</formula>
    </cfRule>
  </conditionalFormatting>
  <conditionalFormatting sqref="I81">
    <cfRule type="cellIs" dxfId="221" priority="19" operator="greaterThan">
      <formula>$I$74</formula>
    </cfRule>
  </conditionalFormatting>
  <conditionalFormatting sqref="J76">
    <cfRule type="cellIs" dxfId="220" priority="18" operator="greaterThan">
      <formula>$J$69</formula>
    </cfRule>
  </conditionalFormatting>
  <conditionalFormatting sqref="J77">
    <cfRule type="cellIs" dxfId="219" priority="17" operator="greaterThan">
      <formula>$J$70</formula>
    </cfRule>
  </conditionalFormatting>
  <conditionalFormatting sqref="J78">
    <cfRule type="cellIs" dxfId="218" priority="16" operator="greaterThan">
      <formula>$J$71</formula>
    </cfRule>
  </conditionalFormatting>
  <conditionalFormatting sqref="J79">
    <cfRule type="cellIs" dxfId="217" priority="15" operator="greaterThan">
      <formula>$J$72</formula>
    </cfRule>
  </conditionalFormatting>
  <conditionalFormatting sqref="J80">
    <cfRule type="cellIs" dxfId="216" priority="14" operator="greaterThan">
      <formula>$J$73</formula>
    </cfRule>
  </conditionalFormatting>
  <conditionalFormatting sqref="J81">
    <cfRule type="cellIs" dxfId="215" priority="13" operator="greaterThan">
      <formula>$J$74</formula>
    </cfRule>
  </conditionalFormatting>
  <conditionalFormatting sqref="K76">
    <cfRule type="cellIs" dxfId="214" priority="12" operator="greaterThan">
      <formula>$K$69</formula>
    </cfRule>
  </conditionalFormatting>
  <conditionalFormatting sqref="K77">
    <cfRule type="cellIs" dxfId="213" priority="11" operator="greaterThan">
      <formula>$K$70</formula>
    </cfRule>
  </conditionalFormatting>
  <conditionalFormatting sqref="K78">
    <cfRule type="cellIs" dxfId="212" priority="10" operator="greaterThan">
      <formula>$K$71</formula>
    </cfRule>
  </conditionalFormatting>
  <conditionalFormatting sqref="K79">
    <cfRule type="cellIs" dxfId="211" priority="9" operator="greaterThan">
      <formula>$K$72</formula>
    </cfRule>
  </conditionalFormatting>
  <conditionalFormatting sqref="K80">
    <cfRule type="cellIs" dxfId="210" priority="8" operator="greaterThan">
      <formula>$K$73</formula>
    </cfRule>
  </conditionalFormatting>
  <conditionalFormatting sqref="K81">
    <cfRule type="cellIs" dxfId="209" priority="7" operator="greaterThan">
      <formula>$K$74</formula>
    </cfRule>
  </conditionalFormatting>
  <conditionalFormatting sqref="L76">
    <cfRule type="cellIs" dxfId="208" priority="6" operator="greaterThan">
      <formula>$L$69</formula>
    </cfRule>
  </conditionalFormatting>
  <conditionalFormatting sqref="L77">
    <cfRule type="cellIs" dxfId="207" priority="5" operator="greaterThan">
      <formula>$L$70</formula>
    </cfRule>
  </conditionalFormatting>
  <conditionalFormatting sqref="L78">
    <cfRule type="cellIs" dxfId="206" priority="4" operator="greaterThan">
      <formula>$L$71</formula>
    </cfRule>
  </conditionalFormatting>
  <conditionalFormatting sqref="L79">
    <cfRule type="cellIs" dxfId="205" priority="3" operator="greaterThan">
      <formula>$L$72</formula>
    </cfRule>
  </conditionalFormatting>
  <conditionalFormatting sqref="L80">
    <cfRule type="cellIs" dxfId="204" priority="2" operator="greaterThan">
      <formula>$L$73</formula>
    </cfRule>
  </conditionalFormatting>
  <conditionalFormatting sqref="L81">
    <cfRule type="cellIs" dxfId="203" priority="1" operator="greaterThan">
      <formula>$L$74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P1"/>
  <sheetViews>
    <sheetView workbookViewId="0">
      <selection activeCell="V36" sqref="V36"/>
    </sheetView>
  </sheetViews>
  <sheetFormatPr defaultRowHeight="14.5" x14ac:dyDescent="0.35"/>
  <sheetData>
    <row r="1" spans="7:16" ht="36" x14ac:dyDescent="0.8">
      <c r="G1" s="48" t="s">
        <v>40</v>
      </c>
      <c r="P1" s="48"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9FD0-848D-45A7-9E86-C03F8B4C3967}">
  <dimension ref="A1:U95"/>
  <sheetViews>
    <sheetView topLeftCell="A16"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115" t="s">
        <v>169</v>
      </c>
      <c r="B3" s="115"/>
      <c r="C3" s="115"/>
      <c r="D3" s="115"/>
      <c r="E3" s="115"/>
      <c r="F3" s="115"/>
      <c r="G3" s="115"/>
      <c r="H3" s="72"/>
      <c r="I3" s="72"/>
      <c r="J3" s="72"/>
      <c r="K3" s="72"/>
    </row>
    <row r="4" spans="1:11" x14ac:dyDescent="0.35">
      <c r="A4" s="64" t="s">
        <v>39</v>
      </c>
      <c r="B4" s="64" t="s">
        <v>43</v>
      </c>
      <c r="C4" s="116" t="s">
        <v>44</v>
      </c>
      <c r="D4" s="117"/>
      <c r="E4" s="117"/>
      <c r="F4" s="117"/>
      <c r="G4" s="118"/>
    </row>
    <row r="5" spans="1:11" x14ac:dyDescent="0.35">
      <c r="A5" s="73" t="s">
        <v>52</v>
      </c>
      <c r="B5" s="73"/>
      <c r="C5" s="119"/>
      <c r="D5" s="119"/>
      <c r="E5" s="119"/>
      <c r="F5" s="119"/>
      <c r="G5" s="119"/>
    </row>
    <row r="6" spans="1:11" x14ac:dyDescent="0.35">
      <c r="A6" s="71" t="s">
        <v>40</v>
      </c>
      <c r="B6" s="71" t="s">
        <v>184</v>
      </c>
      <c r="C6" s="113" t="s">
        <v>183</v>
      </c>
      <c r="D6" s="113"/>
      <c r="E6" s="113"/>
      <c r="F6" s="113"/>
      <c r="G6" s="113"/>
    </row>
    <row r="7" spans="1:11" x14ac:dyDescent="0.35">
      <c r="A7" s="71" t="s">
        <v>41</v>
      </c>
      <c r="B7" s="71" t="s">
        <v>184</v>
      </c>
      <c r="C7" s="114" t="s">
        <v>181</v>
      </c>
      <c r="D7" s="114"/>
      <c r="E7" s="114"/>
      <c r="F7" s="114"/>
      <c r="G7" s="114"/>
    </row>
    <row r="8" spans="1:11" x14ac:dyDescent="0.35">
      <c r="A8" s="71" t="s">
        <v>42</v>
      </c>
      <c r="B8" s="71" t="s">
        <v>184</v>
      </c>
      <c r="C8" s="113" t="s">
        <v>183</v>
      </c>
      <c r="D8" s="113"/>
      <c r="E8" s="113"/>
      <c r="F8" s="113"/>
      <c r="G8" s="113"/>
    </row>
    <row r="9" spans="1:11" x14ac:dyDescent="0.35">
      <c r="A9" s="71" t="s">
        <v>165</v>
      </c>
      <c r="B9" s="71" t="s">
        <v>184</v>
      </c>
      <c r="C9" s="114" t="s">
        <v>182</v>
      </c>
      <c r="D9" s="114"/>
      <c r="E9" s="114"/>
      <c r="F9" s="114"/>
      <c r="G9" s="114"/>
    </row>
    <row r="10" spans="1:11" x14ac:dyDescent="0.35">
      <c r="A10" s="71"/>
      <c r="B10" s="71"/>
      <c r="C10" s="114"/>
      <c r="D10" s="114"/>
      <c r="E10" s="114"/>
      <c r="F10" s="114"/>
      <c r="G10" s="114"/>
    </row>
    <row r="11" spans="1:11" x14ac:dyDescent="0.35">
      <c r="A11" s="71"/>
      <c r="B11" s="71"/>
      <c r="C11" s="114"/>
      <c r="D11" s="114"/>
      <c r="E11" s="114"/>
      <c r="F11" s="114"/>
      <c r="G11" s="114"/>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185</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4"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4" x14ac:dyDescent="0.35">
      <c r="A27" s="1" t="s">
        <v>126</v>
      </c>
      <c r="B27" s="14">
        <f>SUM(B28:B33)-SUM(B22:C22)</f>
        <v>0</v>
      </c>
      <c r="C27" s="14">
        <f>IF(C$25&lt;&gt;"",SUM(B22:C22),"")</f>
        <v>21.1</v>
      </c>
      <c r="D27" s="14">
        <f>IF(D$25&lt;&gt;"",C89,"")</f>
        <v>20.102087997956424</v>
      </c>
      <c r="E27" s="14">
        <f t="shared" ref="E27:L27" si="2">IF(E$25&lt;&gt;"",D89,"")</f>
        <v>19.174337307957025</v>
      </c>
      <c r="F27" s="14">
        <f t="shared" si="2"/>
        <v>18.359085073456452</v>
      </c>
      <c r="G27" s="14">
        <f t="shared" si="2"/>
        <v>17.56795603395528</v>
      </c>
      <c r="H27" s="14">
        <f t="shared" si="2"/>
        <v>16.801556189454683</v>
      </c>
      <c r="I27" s="14">
        <f t="shared" si="2"/>
        <v>16.058504020454109</v>
      </c>
      <c r="J27" s="14">
        <f t="shared" si="2"/>
        <v>17.339143040454712</v>
      </c>
      <c r="K27" s="14">
        <f t="shared" si="2"/>
        <v>18.580163754454713</v>
      </c>
      <c r="L27" s="14">
        <f t="shared" si="2"/>
        <v>19.78177015645414</v>
      </c>
    </row>
    <row r="28" spans="1:14" x14ac:dyDescent="0.35">
      <c r="A28" t="str">
        <f>IF(A6="","","    "&amp;A6&amp;" Balance")</f>
        <v xml:space="preserve">    Upper Basin Balance</v>
      </c>
      <c r="B28" s="55">
        <f>B22</f>
        <v>11</v>
      </c>
      <c r="C28" s="14">
        <f>IF(OR(C$25="",$A28=""),"",B28)</f>
        <v>11</v>
      </c>
      <c r="D28" s="14">
        <f>IF(OR(D$25="",$A28=""),"",C83)</f>
        <v>10.432257133649305</v>
      </c>
      <c r="E28" s="14">
        <f t="shared" ref="E28:L28" si="3">IF(OR(E$25="",$A28=""),"",D83)</f>
        <v>9.883093333626892</v>
      </c>
      <c r="F28" s="14">
        <f t="shared" si="3"/>
        <v>9.3510855529839212</v>
      </c>
      <c r="G28" s="14">
        <f t="shared" si="3"/>
        <v>8.8372366863848768</v>
      </c>
      <c r="H28" s="14">
        <f t="shared" si="3"/>
        <v>8.3417616560002301</v>
      </c>
      <c r="I28" s="14">
        <f t="shared" si="3"/>
        <v>7.8638689563828423</v>
      </c>
      <c r="J28" s="14">
        <f t="shared" si="3"/>
        <v>8.9036315279864233</v>
      </c>
      <c r="K28" s="14">
        <f t="shared" si="3"/>
        <v>9.902385129376853</v>
      </c>
      <c r="L28" s="14">
        <f t="shared" si="3"/>
        <v>10.862467282554409</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9.2912439743301327</v>
      </c>
      <c r="F29" s="14">
        <f t="shared" si="6"/>
        <v>9.0079995204725307</v>
      </c>
      <c r="G29" s="14">
        <f t="shared" si="6"/>
        <v>8.7307193475704032</v>
      </c>
      <c r="H29" s="14">
        <f t="shared" si="6"/>
        <v>8.4597945334544526</v>
      </c>
      <c r="I29" s="14">
        <f t="shared" si="6"/>
        <v>8.1946350640712673</v>
      </c>
      <c r="J29" s="14">
        <f t="shared" si="6"/>
        <v>8.4355115124682882</v>
      </c>
      <c r="K29" s="14">
        <f t="shared" si="6"/>
        <v>8.6777786250778597</v>
      </c>
      <c r="L29" s="14">
        <f t="shared" si="6"/>
        <v>8.9193028738997313</v>
      </c>
      <c r="N29" t="s">
        <v>223</v>
      </c>
    </row>
    <row r="30" spans="1:14" x14ac:dyDescent="0.35">
      <c r="A30" t="str">
        <f t="shared" si="4"/>
        <v xml:space="preserve">    Mexico Balance</v>
      </c>
      <c r="B30" s="56">
        <v>4.1000000000000002E-2</v>
      </c>
      <c r="C30" s="14">
        <f t="shared" si="5"/>
        <v>4.1000000000000002E-2</v>
      </c>
      <c r="D30" s="14">
        <f t="shared" si="6"/>
        <v>0</v>
      </c>
      <c r="E30" s="14">
        <f t="shared" si="6"/>
        <v>0</v>
      </c>
      <c r="F30" s="14">
        <f t="shared" si="6"/>
        <v>0</v>
      </c>
      <c r="G30" s="14">
        <f t="shared" si="6"/>
        <v>0</v>
      </c>
      <c r="H30" s="14">
        <f t="shared" si="6"/>
        <v>0</v>
      </c>
      <c r="I30" s="14">
        <f t="shared" si="6"/>
        <v>0</v>
      </c>
      <c r="J30" s="14">
        <f t="shared" si="6"/>
        <v>0</v>
      </c>
      <c r="K30" s="14">
        <f t="shared" si="6"/>
        <v>0</v>
      </c>
      <c r="L30" s="14">
        <f t="shared" si="6"/>
        <v>0</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10.051043998978212</v>
      </c>
      <c r="E35" s="14">
        <f t="shared" si="7"/>
        <v>9.5871686539785124</v>
      </c>
      <c r="F35" s="14">
        <f t="shared" si="7"/>
        <v>9.179542536728226</v>
      </c>
      <c r="G35" s="14">
        <f t="shared" si="7"/>
        <v>8.78397801697764</v>
      </c>
      <c r="H35" s="14">
        <f t="shared" si="7"/>
        <v>8.4007780947273414</v>
      </c>
      <c r="I35" s="14">
        <f t="shared" si="7"/>
        <v>8.0292520102270544</v>
      </c>
      <c r="J35" s="14">
        <f t="shared" si="7"/>
        <v>8.6695715202273558</v>
      </c>
      <c r="K35" s="14">
        <f t="shared" si="7"/>
        <v>9.2900818772273563</v>
      </c>
      <c r="L35" s="14">
        <f t="shared" si="7"/>
        <v>9.8908850782270701</v>
      </c>
    </row>
    <row r="36" spans="1:12" x14ac:dyDescent="0.35">
      <c r="A36" t="s">
        <v>116</v>
      </c>
      <c r="B36" s="35">
        <f>1-B35</f>
        <v>0.5</v>
      </c>
      <c r="C36" s="14">
        <f>IF(C$25&lt;&gt;"",C22,"")</f>
        <v>10.1</v>
      </c>
      <c r="D36" s="14">
        <f t="shared" si="7"/>
        <v>10.051043998978212</v>
      </c>
      <c r="E36" s="14">
        <f t="shared" si="7"/>
        <v>9.5871686539785124</v>
      </c>
      <c r="F36" s="14">
        <f t="shared" si="7"/>
        <v>9.179542536728226</v>
      </c>
      <c r="G36" s="14">
        <f t="shared" si="7"/>
        <v>8.78397801697764</v>
      </c>
      <c r="H36" s="14">
        <f t="shared" si="7"/>
        <v>8.4007780947273414</v>
      </c>
      <c r="I36" s="14">
        <f t="shared" si="7"/>
        <v>8.0292520102270544</v>
      </c>
      <c r="J36" s="14">
        <f t="shared" si="7"/>
        <v>8.6695715202273558</v>
      </c>
      <c r="K36" s="14">
        <f t="shared" si="7"/>
        <v>9.2900818772273563</v>
      </c>
      <c r="L36" s="14">
        <f t="shared" si="7"/>
        <v>9.8908850782270701</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0.99075068999940008</v>
      </c>
      <c r="E37" s="14">
        <f>IF(E$25&lt;&gt;"",VLOOKUP(E35*1000000,'Powell-Elevation-Area'!$B$5:$D$689,3)*$B$21/1000000 + VLOOKUP(E36*1000000,'Mead-Elevation-Area'!$B$5:$D$676,3)*$C$21/1000000,"")</f>
        <v>0.96425223450057307</v>
      </c>
      <c r="F37" s="14">
        <f>IF(F$25&lt;&gt;"",VLOOKUP(F35*1000000,'Powell-Elevation-Area'!$B$5:$D$689,3)*$B$21/1000000 + VLOOKUP(F36*1000000,'Mead-Elevation-Area'!$B$5:$D$676,3)*$C$21/1000000,"")</f>
        <v>0.94012903950117299</v>
      </c>
      <c r="G37" s="14">
        <f>IF(G$25&lt;&gt;"",VLOOKUP(G35*1000000,'Powell-Elevation-Area'!$B$5:$D$689,3)*$B$21/1000000 + VLOOKUP(G36*1000000,'Mead-Elevation-Area'!$B$5:$D$676,3)*$C$21/1000000,"")</f>
        <v>0.91539984450059997</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0.907979286</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0.98213087099942697</v>
      </c>
    </row>
    <row r="38" spans="1:12" x14ac:dyDescent="0.35">
      <c r="A38" t="str">
        <f>IF(A6="","","    "&amp;A6&amp;" Share")</f>
        <v xml:space="preserve">    Upper Basin Share</v>
      </c>
      <c r="B38" s="1"/>
      <c r="C38" s="14">
        <f>IF(OR(C$25="",$A38=""),"",C$37*C28/C$27)</f>
        <v>0.5327428663506969</v>
      </c>
      <c r="D38" s="14">
        <f t="shared" ref="D38:L38" si="8">IF(OR(D$25="",$A38=""),"",D$37*D28/D$27)</f>
        <v>0.5141638000224128</v>
      </c>
      <c r="E38" s="14">
        <f t="shared" si="8"/>
        <v>0.49700778064297146</v>
      </c>
      <c r="F38" s="14">
        <f t="shared" si="8"/>
        <v>0.47884886659904519</v>
      </c>
      <c r="G38" s="14">
        <f t="shared" si="8"/>
        <v>0.46047503038464777</v>
      </c>
      <c r="H38" s="14">
        <f t="shared" si="8"/>
        <v>0.44289269961738792</v>
      </c>
      <c r="I38" s="14">
        <f t="shared" si="8"/>
        <v>0.42523742839641926</v>
      </c>
      <c r="J38" s="14">
        <f t="shared" si="8"/>
        <v>0.46624639860957012</v>
      </c>
      <c r="K38" s="14">
        <f t="shared" si="8"/>
        <v>0.50491784682244478</v>
      </c>
      <c r="L38" s="14">
        <f t="shared" si="8"/>
        <v>0.53930282118545414</v>
      </c>
    </row>
    <row r="39" spans="1:12" x14ac:dyDescent="0.35">
      <c r="A39" t="str">
        <f t="shared" ref="A39:A43" si="9">IF(A7="","","    "&amp;A7&amp;" Share")</f>
        <v xml:space="preserve">    Lower Basin Share</v>
      </c>
      <c r="B39" s="1"/>
      <c r="C39" s="14">
        <f t="shared" ref="C39:L43" si="10">IF(OR(C$25="",$A39=""),"",C$37*C29/C$27)</f>
        <v>0.48716913569287823</v>
      </c>
      <c r="D39" s="14">
        <f t="shared" si="10"/>
        <v>0.47658688997698723</v>
      </c>
      <c r="E39" s="14">
        <f t="shared" si="10"/>
        <v>0.46724445385760166</v>
      </c>
      <c r="F39" s="14">
        <f t="shared" si="10"/>
        <v>0.46128017290212786</v>
      </c>
      <c r="G39" s="14">
        <f t="shared" si="10"/>
        <v>0.4549248141159522</v>
      </c>
      <c r="H39" s="14">
        <f t="shared" si="10"/>
        <v>0.44915946938318513</v>
      </c>
      <c r="I39" s="14">
        <f t="shared" si="10"/>
        <v>0.44312355160298089</v>
      </c>
      <c r="J39" s="14">
        <f t="shared" si="10"/>
        <v>0.44173288739042982</v>
      </c>
      <c r="K39" s="14">
        <f t="shared" si="10"/>
        <v>0.4424757511781281</v>
      </c>
      <c r="L39" s="14">
        <f t="shared" si="10"/>
        <v>0.44282804981397283</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1.466</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-0.53299999999999992</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0.73299999999999998</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43">
        <v>0.5</v>
      </c>
      <c r="J60" s="43">
        <f>I60</f>
        <v>0.5</v>
      </c>
      <c r="K60" s="43">
        <f t="shared" ref="K60:L60" si="23">J60</f>
        <v>0.5</v>
      </c>
      <c r="L60" s="43">
        <f t="shared" si="23"/>
        <v>0.5</v>
      </c>
      <c r="M60" s="33">
        <f>SUMPRODUCT(C60:L60,C$67:L$67)</f>
        <v>700</v>
      </c>
    </row>
    <row r="61" spans="1:13" x14ac:dyDescent="0.35">
      <c r="A61" t="str">
        <f t="shared" ref="A61:A65" si="24">IF(A7="","","    "&amp;A7)</f>
        <v xml:space="preserve">    Lower Basin</v>
      </c>
      <c r="B61" s="1"/>
      <c r="C61" s="62"/>
      <c r="D61" s="62"/>
      <c r="E61" s="67"/>
      <c r="F61" s="62"/>
      <c r="G61" s="62"/>
      <c r="H61" s="62"/>
      <c r="I61" s="70">
        <f>-I60</f>
        <v>-0.5</v>
      </c>
      <c r="J61" s="70">
        <f t="shared" ref="J61:L61" si="25">-J60</f>
        <v>-0.5</v>
      </c>
      <c r="K61" s="70">
        <f t="shared" si="25"/>
        <v>-0.5</v>
      </c>
      <c r="L61" s="70">
        <f t="shared" si="25"/>
        <v>-0.5</v>
      </c>
      <c r="M61" s="33">
        <f t="shared" ref="M61:M65" si="26">SUMPRODUCT(C61:L61,C$67:L$67)</f>
        <v>-700</v>
      </c>
    </row>
    <row r="62" spans="1:13" x14ac:dyDescent="0.35">
      <c r="A62" t="str">
        <f t="shared" si="24"/>
        <v xml:space="preserve">    Mexico</v>
      </c>
      <c r="B62" s="1"/>
      <c r="C62" s="50"/>
      <c r="D62" s="50"/>
      <c r="E62" s="68"/>
      <c r="F62" s="50"/>
      <c r="G62" s="50"/>
      <c r="H62" s="68"/>
      <c r="I62" s="43"/>
      <c r="J62" s="43"/>
      <c r="K62" s="43"/>
      <c r="L62" s="43"/>
      <c r="M62" s="33">
        <f t="shared" si="26"/>
        <v>0</v>
      </c>
    </row>
    <row r="63" spans="1:13" x14ac:dyDescent="0.35">
      <c r="A63" t="str">
        <f t="shared" si="24"/>
        <v xml:space="preserve">    Mohave &amp; Havasu Evap &amp; ET</v>
      </c>
      <c r="B63" s="1"/>
      <c r="C63" s="50"/>
      <c r="D63" s="50"/>
      <c r="E63" s="68"/>
      <c r="F63" s="50"/>
      <c r="G63" s="50"/>
      <c r="H63" s="68"/>
      <c r="I63" s="43"/>
      <c r="J63" s="43"/>
      <c r="K63" s="43"/>
      <c r="L63" s="43"/>
      <c r="M63" s="33">
        <f t="shared" si="26"/>
        <v>0</v>
      </c>
    </row>
    <row r="64" spans="1:13" x14ac:dyDescent="0.35">
      <c r="A64" t="str">
        <f t="shared" si="24"/>
        <v/>
      </c>
      <c r="B64" s="1"/>
      <c r="C64" s="50"/>
      <c r="D64" s="50"/>
      <c r="E64" s="68"/>
      <c r="F64" s="50"/>
      <c r="G64" s="50"/>
      <c r="H64" s="68"/>
      <c r="I64" s="43"/>
      <c r="J64" s="43"/>
      <c r="K64" s="43"/>
      <c r="L64" s="43"/>
      <c r="M64" s="33">
        <f t="shared" si="26"/>
        <v>0</v>
      </c>
    </row>
    <row r="65" spans="1:21" x14ac:dyDescent="0.35">
      <c r="A65" t="str">
        <f t="shared" si="24"/>
        <v/>
      </c>
      <c r="B65" s="1"/>
      <c r="C65" s="50"/>
      <c r="D65" s="50"/>
      <c r="E65" s="50"/>
      <c r="F65" s="50"/>
      <c r="G65" s="50"/>
      <c r="H65" s="50"/>
      <c r="I65" s="43"/>
      <c r="J65" s="43"/>
      <c r="K65" s="43"/>
      <c r="L65" s="43"/>
      <c r="M65" s="33">
        <f t="shared" si="26"/>
        <v>0</v>
      </c>
    </row>
    <row r="66" spans="1:21" x14ac:dyDescent="0.35">
      <c r="A66" t="s">
        <v>159</v>
      </c>
      <c r="B66" s="1"/>
      <c r="C66" s="53">
        <f>IF(C$25&lt;&gt;"",SUM(C60:C65),"")</f>
        <v>0</v>
      </c>
      <c r="D66" s="53">
        <f t="shared" ref="D66:L66" si="27">IF(D$25&lt;&gt;"",SUM(D60:D65),"")</f>
        <v>0</v>
      </c>
      <c r="E66" s="53">
        <f t="shared" si="27"/>
        <v>0</v>
      </c>
      <c r="F66" s="53">
        <f t="shared" si="27"/>
        <v>0</v>
      </c>
      <c r="G66" s="53">
        <f t="shared" si="27"/>
        <v>0</v>
      </c>
      <c r="H66" s="53">
        <f t="shared" si="27"/>
        <v>0</v>
      </c>
      <c r="I66" s="53">
        <f t="shared" si="27"/>
        <v>0</v>
      </c>
      <c r="J66" s="53">
        <f t="shared" si="27"/>
        <v>0</v>
      </c>
      <c r="K66" s="53">
        <f t="shared" si="27"/>
        <v>0</v>
      </c>
      <c r="L66" s="53">
        <f t="shared" si="27"/>
        <v>0</v>
      </c>
      <c r="M66" s="34"/>
    </row>
    <row r="67" spans="1:21" x14ac:dyDescent="0.35">
      <c r="A67" t="s">
        <v>160</v>
      </c>
      <c r="B67" s="1"/>
      <c r="C67" s="31"/>
      <c r="D67" s="31"/>
      <c r="E67" s="31"/>
      <c r="F67" s="31"/>
      <c r="G67" s="31"/>
      <c r="H67" s="31"/>
      <c r="I67" s="31">
        <v>350</v>
      </c>
      <c r="J67" s="31">
        <v>350</v>
      </c>
      <c r="K67" s="31">
        <v>350</v>
      </c>
      <c r="L67" s="31">
        <v>350</v>
      </c>
    </row>
    <row r="68" spans="1:21" x14ac:dyDescent="0.35">
      <c r="A68" s="1" t="s">
        <v>186</v>
      </c>
      <c r="B68" s="1"/>
      <c r="C68"/>
    </row>
    <row r="69" spans="1:21" x14ac:dyDescent="0.35">
      <c r="A69" t="str">
        <f>IF(A6="","","    "&amp;A6)</f>
        <v xml:space="preserve">    Upper Basin</v>
      </c>
      <c r="C69" s="14">
        <f>IF(OR(C$25="",$A69=""),"",C28+C46+C53-C38-C60)</f>
        <v>14.632257133649304</v>
      </c>
      <c r="D69" s="14">
        <f t="shared" ref="D69:L69" si="28">IF(OR(D$25="",$A69=""),"",D28+D46+D53-D38-D60)</f>
        <v>14.083093333626893</v>
      </c>
      <c r="E69" s="14">
        <f t="shared" si="28"/>
        <v>13.551085552983922</v>
      </c>
      <c r="F69" s="14">
        <f t="shared" si="28"/>
        <v>13.037236686384876</v>
      </c>
      <c r="G69" s="14">
        <f t="shared" si="28"/>
        <v>12.541761656000229</v>
      </c>
      <c r="H69" s="14">
        <f t="shared" si="28"/>
        <v>12.063868956382843</v>
      </c>
      <c r="I69" s="14">
        <f t="shared" si="28"/>
        <v>13.103631527986424</v>
      </c>
      <c r="J69" s="14">
        <f t="shared" si="28"/>
        <v>14.102385129376854</v>
      </c>
      <c r="K69" s="14">
        <f t="shared" si="28"/>
        <v>15.062467282554408</v>
      </c>
      <c r="L69" s="14">
        <f t="shared" si="28"/>
        <v>15.988164461368957</v>
      </c>
    </row>
    <row r="70" spans="1:21" x14ac:dyDescent="0.35">
      <c r="A70" t="str">
        <f t="shared" ref="A70:A74" si="29">IF(A7="","","    "&amp;A7)</f>
        <v xml:space="preserve">    Lower Basin</v>
      </c>
      <c r="C70" s="14">
        <f t="shared" ref="C70:L74" si="30">IF(OR(C$25="",$A70=""),"",C29+C47+C54-C39-C61)</f>
        <v>16.53683086430712</v>
      </c>
      <c r="D70" s="14">
        <f t="shared" si="30"/>
        <v>16.158243974330134</v>
      </c>
      <c r="E70" s="14">
        <f t="shared" si="30"/>
        <v>15.79099952047253</v>
      </c>
      <c r="F70" s="14">
        <f t="shared" si="30"/>
        <v>15.513719347570403</v>
      </c>
      <c r="G70" s="14">
        <f t="shared" si="30"/>
        <v>15.242794533454452</v>
      </c>
      <c r="H70" s="14">
        <f t="shared" si="30"/>
        <v>14.977635064071269</v>
      </c>
      <c r="I70" s="14">
        <f t="shared" si="30"/>
        <v>15.218511512468288</v>
      </c>
      <c r="J70" s="14">
        <f t="shared" si="30"/>
        <v>15.460778625077859</v>
      </c>
      <c r="K70" s="14">
        <f t="shared" si="30"/>
        <v>15.702302873899733</v>
      </c>
      <c r="L70" s="14">
        <f t="shared" si="30"/>
        <v>15.94347482408576</v>
      </c>
    </row>
    <row r="71" spans="1:21" x14ac:dyDescent="0.35">
      <c r="A71" t="str">
        <f t="shared" si="29"/>
        <v xml:space="preserve">    Mexico</v>
      </c>
      <c r="C71" s="60">
        <f t="shared" si="30"/>
        <v>1.5090143220436021</v>
      </c>
      <c r="D71" s="14">
        <f t="shared" si="30"/>
        <v>1.47</v>
      </c>
      <c r="E71" s="14">
        <f t="shared" si="30"/>
        <v>1.468</v>
      </c>
      <c r="F71" s="14">
        <f t="shared" si="30"/>
        <v>1.468</v>
      </c>
      <c r="G71" s="14">
        <f t="shared" si="30"/>
        <v>1.468</v>
      </c>
      <c r="H71" s="14">
        <f t="shared" si="30"/>
        <v>1.468</v>
      </c>
      <c r="I71" s="14">
        <f t="shared" si="30"/>
        <v>1.468</v>
      </c>
      <c r="J71" s="14">
        <f t="shared" si="30"/>
        <v>1.468</v>
      </c>
      <c r="K71" s="14">
        <f t="shared" si="30"/>
        <v>1.468</v>
      </c>
      <c r="L71" s="14">
        <f t="shared" si="30"/>
        <v>1.468</v>
      </c>
    </row>
    <row r="72" spans="1:21" x14ac:dyDescent="0.35">
      <c r="A72" t="str">
        <f t="shared" si="29"/>
        <v xml:space="preserve">    Mohave &amp; Havasu Evap &amp; ET</v>
      </c>
      <c r="C72" s="14">
        <f t="shared" si="30"/>
        <v>0.6</v>
      </c>
      <c r="D72" s="14">
        <f t="shared" si="30"/>
        <v>0.6</v>
      </c>
      <c r="E72" s="14">
        <f t="shared" si="30"/>
        <v>0.6</v>
      </c>
      <c r="F72" s="14">
        <f t="shared" si="30"/>
        <v>0.6</v>
      </c>
      <c r="G72" s="14">
        <f t="shared" si="30"/>
        <v>0.6</v>
      </c>
      <c r="H72" s="14">
        <f t="shared" si="30"/>
        <v>0.6</v>
      </c>
      <c r="I72" s="14">
        <f t="shared" si="30"/>
        <v>0.6</v>
      </c>
      <c r="J72" s="14">
        <f t="shared" si="30"/>
        <v>0.6</v>
      </c>
      <c r="K72" s="14">
        <f t="shared" si="30"/>
        <v>0.6</v>
      </c>
      <c r="L72" s="14">
        <f t="shared" si="30"/>
        <v>0.6</v>
      </c>
    </row>
    <row r="73" spans="1:21" x14ac:dyDescent="0.35">
      <c r="A73" t="str">
        <f t="shared" si="29"/>
        <v/>
      </c>
      <c r="C73" s="60" t="str">
        <f t="shared" si="30"/>
        <v/>
      </c>
      <c r="D73" s="60" t="str">
        <f t="shared" si="30"/>
        <v/>
      </c>
      <c r="E73" s="60" t="str">
        <f t="shared" si="30"/>
        <v/>
      </c>
      <c r="F73" s="60" t="str">
        <f t="shared" si="30"/>
        <v/>
      </c>
      <c r="G73" s="60" t="str">
        <f t="shared" si="30"/>
        <v/>
      </c>
      <c r="H73" s="60" t="str">
        <f t="shared" si="30"/>
        <v/>
      </c>
      <c r="I73" s="60" t="str">
        <f t="shared" si="30"/>
        <v/>
      </c>
      <c r="J73" s="60" t="str">
        <f t="shared" si="30"/>
        <v/>
      </c>
      <c r="K73" s="60" t="str">
        <f t="shared" si="30"/>
        <v/>
      </c>
      <c r="L73" s="60" t="str">
        <f t="shared" si="30"/>
        <v/>
      </c>
    </row>
    <row r="74" spans="1:21" x14ac:dyDescent="0.35">
      <c r="A74" t="str">
        <f t="shared" si="29"/>
        <v/>
      </c>
      <c r="C74" s="14" t="str">
        <f t="shared" si="30"/>
        <v/>
      </c>
      <c r="D74" s="14" t="str">
        <f t="shared" si="30"/>
        <v/>
      </c>
      <c r="E74" s="14" t="str">
        <f t="shared" si="30"/>
        <v/>
      </c>
      <c r="F74" s="14" t="str">
        <f t="shared" si="30"/>
        <v/>
      </c>
      <c r="G74" s="14" t="str">
        <f t="shared" si="30"/>
        <v/>
      </c>
      <c r="H74" s="14" t="str">
        <f t="shared" si="30"/>
        <v/>
      </c>
      <c r="I74" s="14" t="str">
        <f t="shared" si="30"/>
        <v/>
      </c>
      <c r="J74" s="14" t="str">
        <f t="shared" si="30"/>
        <v/>
      </c>
      <c r="K74" s="14" t="str">
        <f t="shared" si="30"/>
        <v/>
      </c>
      <c r="L74" s="14" t="str">
        <f t="shared" si="30"/>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31">IF(D69&gt;6.1+4.2,4.2,MAX(D69-6.1,0))</f>
        <v>4.2</v>
      </c>
      <c r="E76" s="43">
        <f t="shared" si="31"/>
        <v>4.2</v>
      </c>
      <c r="F76" s="43">
        <f t="shared" si="31"/>
        <v>4.2</v>
      </c>
      <c r="G76" s="43">
        <f t="shared" si="31"/>
        <v>4.2</v>
      </c>
      <c r="H76" s="43">
        <f t="shared" si="31"/>
        <v>4.2</v>
      </c>
      <c r="I76" s="43">
        <f t="shared" si="31"/>
        <v>4.2</v>
      </c>
      <c r="J76" s="43">
        <f t="shared" si="31"/>
        <v>4.2</v>
      </c>
      <c r="K76" s="43">
        <f t="shared" si="31"/>
        <v>4.2</v>
      </c>
      <c r="L76" s="43">
        <f t="shared" si="31"/>
        <v>4.2</v>
      </c>
      <c r="N76" s="1" t="s">
        <v>129</v>
      </c>
    </row>
    <row r="77" spans="1:21" x14ac:dyDescent="0.35">
      <c r="A77" t="str">
        <f>IF(A7="","","    "&amp;A7&amp;" - Release from Mead")</f>
        <v xml:space="preserve">    Lower Basin - Release from Mead</v>
      </c>
      <c r="C77" s="43">
        <f>7.5-IF(C$29&lt;$O$78,$P$78,IF(C$29&lt;=$O$85,VLOOKUP(C$29,$O$78:$P$85,2),0))</f>
        <v>6.867</v>
      </c>
      <c r="D77" s="43">
        <f t="shared" ref="D77:L77" si="32">7.5-IF(D$29&lt;$O$78,$P$78,IF(D$29&lt;=$O$85,VLOOKUP(D$29,$O$78:$P$85,2),0))</f>
        <v>6.867</v>
      </c>
      <c r="E77" s="43">
        <f t="shared" si="32"/>
        <v>6.7830000000000004</v>
      </c>
      <c r="F77" s="43">
        <f t="shared" si="32"/>
        <v>6.7830000000000004</v>
      </c>
      <c r="G77" s="43">
        <f t="shared" si="32"/>
        <v>6.7830000000000004</v>
      </c>
      <c r="H77" s="43">
        <f t="shared" si="32"/>
        <v>6.7830000000000004</v>
      </c>
      <c r="I77" s="43">
        <f t="shared" si="32"/>
        <v>6.7830000000000004</v>
      </c>
      <c r="J77" s="43">
        <f t="shared" si="32"/>
        <v>6.7830000000000004</v>
      </c>
      <c r="K77" s="43">
        <f t="shared" si="32"/>
        <v>6.7830000000000004</v>
      </c>
      <c r="L77" s="43">
        <f t="shared" si="32"/>
        <v>6.7830000000000004</v>
      </c>
      <c r="N77" s="37" t="s">
        <v>130</v>
      </c>
      <c r="O77" s="37" t="s">
        <v>131</v>
      </c>
      <c r="P77" s="38" t="s">
        <v>132</v>
      </c>
      <c r="Q77" s="38" t="s">
        <v>133</v>
      </c>
      <c r="R77" s="37" t="s">
        <v>134</v>
      </c>
      <c r="S77" s="37" t="s">
        <v>134</v>
      </c>
      <c r="T77" s="51" t="s">
        <v>157</v>
      </c>
      <c r="U77" s="51" t="s">
        <v>158</v>
      </c>
    </row>
    <row r="78" spans="1:21" x14ac:dyDescent="0.35">
      <c r="A78" t="str">
        <f t="shared" ref="A78:A81" si="33">IF(A8="","","    "&amp;A8&amp;" - Release from Mead")</f>
        <v xml:space="preserve">    Mexico - Release from Mead</v>
      </c>
      <c r="C78" s="50">
        <f t="shared" ref="C78:L78" si="34">C71</f>
        <v>1.5090143220436021</v>
      </c>
      <c r="D78" s="50">
        <f t="shared" si="34"/>
        <v>1.47</v>
      </c>
      <c r="E78" s="50">
        <f t="shared" si="34"/>
        <v>1.468</v>
      </c>
      <c r="F78" s="50">
        <f t="shared" si="34"/>
        <v>1.468</v>
      </c>
      <c r="G78" s="50">
        <f t="shared" si="34"/>
        <v>1.468</v>
      </c>
      <c r="H78" s="50">
        <f t="shared" si="34"/>
        <v>1.468</v>
      </c>
      <c r="I78" s="50">
        <f t="shared" si="34"/>
        <v>1.468</v>
      </c>
      <c r="J78" s="50">
        <f t="shared" si="34"/>
        <v>1.468</v>
      </c>
      <c r="K78" s="50">
        <f t="shared" si="34"/>
        <v>1.468</v>
      </c>
      <c r="L78" s="50">
        <f t="shared" si="34"/>
        <v>1.468</v>
      </c>
      <c r="N78" s="39">
        <v>1025</v>
      </c>
      <c r="O78" s="40">
        <v>5.981122</v>
      </c>
      <c r="P78" s="41">
        <f>S78-Q78</f>
        <v>1.2000000000000002</v>
      </c>
      <c r="Q78" s="49">
        <v>0.15</v>
      </c>
      <c r="R78" s="41">
        <v>1.325</v>
      </c>
      <c r="S78" s="41">
        <f t="shared" ref="S78:S85" si="35">U78/1000000</f>
        <v>1.35</v>
      </c>
      <c r="T78" s="42">
        <v>0.125</v>
      </c>
      <c r="U78" s="52">
        <v>1350000</v>
      </c>
    </row>
    <row r="79" spans="1:21" x14ac:dyDescent="0.35">
      <c r="A79" t="str">
        <f t="shared" si="33"/>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6">S79-Q79</f>
        <v>1.117</v>
      </c>
      <c r="Q79" s="49">
        <v>0.10100000000000001</v>
      </c>
      <c r="R79" s="41">
        <v>1.1870000000000001</v>
      </c>
      <c r="S79" s="41">
        <f t="shared" si="35"/>
        <v>1.218</v>
      </c>
      <c r="T79" s="42">
        <v>7.0000000000000007E-2</v>
      </c>
      <c r="U79" s="52">
        <v>1218000</v>
      </c>
    </row>
    <row r="80" spans="1:21" x14ac:dyDescent="0.35">
      <c r="A80" t="str">
        <f t="shared" si="33"/>
        <v/>
      </c>
      <c r="C80" s="68"/>
      <c r="D80" s="68"/>
      <c r="E80" s="50" t="str">
        <f>E73</f>
        <v/>
      </c>
      <c r="F80" s="50"/>
      <c r="G80" s="50"/>
      <c r="H80" s="50" t="str">
        <f>H73</f>
        <v/>
      </c>
      <c r="I80" s="50"/>
      <c r="J80" s="50"/>
      <c r="K80" s="50" t="str">
        <f>K73</f>
        <v/>
      </c>
      <c r="L80" s="50"/>
      <c r="N80" s="39">
        <v>1035</v>
      </c>
      <c r="O80" s="40">
        <v>6.6375080000000004</v>
      </c>
      <c r="P80" s="41">
        <f t="shared" si="36"/>
        <v>1.0669999999999999</v>
      </c>
      <c r="Q80" s="49">
        <v>9.1999999999999998E-2</v>
      </c>
      <c r="R80" s="41">
        <v>1.137</v>
      </c>
      <c r="S80" s="41">
        <f t="shared" si="35"/>
        <v>1.159</v>
      </c>
      <c r="T80" s="42">
        <v>7.0000000000000007E-2</v>
      </c>
      <c r="U80" s="52">
        <v>1159000</v>
      </c>
    </row>
    <row r="81" spans="1:21" x14ac:dyDescent="0.35">
      <c r="A81" t="str">
        <f t="shared" si="33"/>
        <v/>
      </c>
      <c r="C81" s="43"/>
      <c r="D81" s="43"/>
      <c r="E81" s="43"/>
      <c r="F81" s="43"/>
      <c r="G81" s="43"/>
      <c r="H81" s="43"/>
      <c r="I81" s="43"/>
      <c r="J81" s="43"/>
      <c r="K81" s="43"/>
      <c r="L81" s="43"/>
      <c r="N81" s="39">
        <v>1040</v>
      </c>
      <c r="O81" s="40">
        <v>6.977665</v>
      </c>
      <c r="P81" s="41">
        <f t="shared" si="36"/>
        <v>1.0169999999999999</v>
      </c>
      <c r="Q81" s="49">
        <v>8.4000000000000005E-2</v>
      </c>
      <c r="R81" s="41">
        <v>1.087</v>
      </c>
      <c r="S81" s="41">
        <f t="shared" si="35"/>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6"/>
        <v>0.96699999999999997</v>
      </c>
      <c r="Q82" s="49">
        <v>7.5999999999999998E-2</v>
      </c>
      <c r="R82" s="41">
        <v>1.0369999999999999</v>
      </c>
      <c r="S82" s="41">
        <f t="shared" si="35"/>
        <v>1.0429999999999999</v>
      </c>
      <c r="T82" s="42">
        <v>7.0000000000000007E-2</v>
      </c>
      <c r="U82" s="52">
        <v>1043000</v>
      </c>
    </row>
    <row r="83" spans="1:21" x14ac:dyDescent="0.35">
      <c r="A83" t="str">
        <f>IF(A6="","","    "&amp;A6)</f>
        <v xml:space="preserve">    Upper Basin</v>
      </c>
      <c r="C83" s="14">
        <f>IF(OR(C$25="",$A83=""),"",C69-C76)</f>
        <v>10.432257133649305</v>
      </c>
      <c r="D83" s="14">
        <f t="shared" ref="D83:L83" si="37">IF(OR(D$25="",$A83=""),"",D69-D76)</f>
        <v>9.883093333626892</v>
      </c>
      <c r="E83" s="14">
        <f t="shared" si="37"/>
        <v>9.3510855529839212</v>
      </c>
      <c r="F83" s="14">
        <f t="shared" si="37"/>
        <v>8.8372366863848768</v>
      </c>
      <c r="G83" s="14">
        <f t="shared" si="37"/>
        <v>8.3417616560002301</v>
      </c>
      <c r="H83" s="14">
        <f t="shared" si="37"/>
        <v>7.8638689563828423</v>
      </c>
      <c r="I83" s="14">
        <f t="shared" si="37"/>
        <v>8.9036315279864233</v>
      </c>
      <c r="J83" s="14">
        <f t="shared" si="37"/>
        <v>9.902385129376853</v>
      </c>
      <c r="K83" s="14">
        <f t="shared" si="37"/>
        <v>10.862467282554409</v>
      </c>
      <c r="L83" s="14">
        <f t="shared" si="37"/>
        <v>11.788164461368957</v>
      </c>
      <c r="N83" s="39">
        <v>1050</v>
      </c>
      <c r="O83" s="40">
        <v>7.6828779999999997</v>
      </c>
      <c r="P83" s="41">
        <f t="shared" si="36"/>
        <v>0.71699999999999997</v>
      </c>
      <c r="Q83" s="49">
        <v>3.4000000000000002E-2</v>
      </c>
      <c r="R83" s="41">
        <v>0.78700000000000003</v>
      </c>
      <c r="S83" s="41">
        <f t="shared" si="35"/>
        <v>0.751</v>
      </c>
      <c r="T83" s="42">
        <v>7.0000000000000007E-2</v>
      </c>
      <c r="U83" s="52">
        <v>751000</v>
      </c>
    </row>
    <row r="84" spans="1:21" x14ac:dyDescent="0.35">
      <c r="A84" t="str">
        <f t="shared" ref="A84:A88" si="38">IF(A7="","","    "&amp;A7)</f>
        <v xml:space="preserve">    Lower Basin</v>
      </c>
      <c r="C84" s="14">
        <f t="shared" ref="C84:L88" si="39">IF(OR(C$25="",$A84=""),"",C70-C77)</f>
        <v>9.6698308643071194</v>
      </c>
      <c r="D84" s="14">
        <f t="shared" si="39"/>
        <v>9.2912439743301327</v>
      </c>
      <c r="E84" s="14">
        <f t="shared" si="39"/>
        <v>9.0079995204725307</v>
      </c>
      <c r="F84" s="14">
        <f t="shared" si="39"/>
        <v>8.7307193475704032</v>
      </c>
      <c r="G84" s="14">
        <f t="shared" si="39"/>
        <v>8.4597945334544526</v>
      </c>
      <c r="H84" s="14">
        <f t="shared" si="39"/>
        <v>8.1946350640712673</v>
      </c>
      <c r="I84" s="14">
        <f t="shared" si="39"/>
        <v>8.4355115124682882</v>
      </c>
      <c r="J84" s="14">
        <f t="shared" si="39"/>
        <v>8.6777786250778597</v>
      </c>
      <c r="K84" s="14">
        <f t="shared" si="39"/>
        <v>8.9193028738997313</v>
      </c>
      <c r="L84" s="14">
        <f t="shared" si="39"/>
        <v>9.1604748240857603</v>
      </c>
      <c r="N84" s="39">
        <v>1075</v>
      </c>
      <c r="O84" s="40">
        <v>9.6009879999900001</v>
      </c>
      <c r="P84" s="41">
        <f t="shared" si="36"/>
        <v>0.63300000000000001</v>
      </c>
      <c r="Q84" s="49">
        <v>0.03</v>
      </c>
      <c r="R84" s="41">
        <v>0.68300000000000005</v>
      </c>
      <c r="S84" s="41">
        <f t="shared" si="35"/>
        <v>0.66300000000000003</v>
      </c>
      <c r="T84" s="42">
        <v>0.05</v>
      </c>
      <c r="U84" s="52">
        <v>663000</v>
      </c>
    </row>
    <row r="85" spans="1:21" x14ac:dyDescent="0.35">
      <c r="A85" t="str">
        <f t="shared" si="38"/>
        <v xml:space="preserve">    Mexico</v>
      </c>
      <c r="C85" s="14">
        <f t="shared" si="39"/>
        <v>0</v>
      </c>
      <c r="D85" s="14">
        <f t="shared" si="39"/>
        <v>0</v>
      </c>
      <c r="E85" s="14">
        <f t="shared" si="39"/>
        <v>0</v>
      </c>
      <c r="F85" s="14">
        <f t="shared" si="39"/>
        <v>0</v>
      </c>
      <c r="G85" s="14">
        <f t="shared" si="39"/>
        <v>0</v>
      </c>
      <c r="H85" s="14">
        <f t="shared" si="39"/>
        <v>0</v>
      </c>
      <c r="I85" s="14">
        <f t="shared" si="39"/>
        <v>0</v>
      </c>
      <c r="J85" s="14">
        <f t="shared" si="39"/>
        <v>0</v>
      </c>
      <c r="K85" s="14">
        <f t="shared" si="39"/>
        <v>0</v>
      </c>
      <c r="L85" s="14">
        <f t="shared" si="39"/>
        <v>0</v>
      </c>
      <c r="N85" s="39">
        <v>1090</v>
      </c>
      <c r="O85" s="40">
        <v>10.857008</v>
      </c>
      <c r="P85" s="41">
        <f t="shared" si="36"/>
        <v>0.30000000000000004</v>
      </c>
      <c r="Q85" s="49">
        <v>4.1000000000000002E-2</v>
      </c>
      <c r="R85" s="41">
        <v>0.3</v>
      </c>
      <c r="S85" s="41">
        <f t="shared" si="35"/>
        <v>0.34100000000000003</v>
      </c>
      <c r="T85" s="38"/>
      <c r="U85" s="52">
        <v>341000</v>
      </c>
    </row>
    <row r="86" spans="1:21" x14ac:dyDescent="0.35">
      <c r="A86" t="str">
        <f t="shared" si="38"/>
        <v xml:space="preserve">    Mohave &amp; Havasu Evap &amp; ET</v>
      </c>
      <c r="C86" s="14">
        <f t="shared" si="39"/>
        <v>0</v>
      </c>
      <c r="D86" s="14">
        <f t="shared" si="39"/>
        <v>0</v>
      </c>
      <c r="E86" s="14">
        <f t="shared" si="39"/>
        <v>0</v>
      </c>
      <c r="F86" s="14">
        <f t="shared" si="39"/>
        <v>0</v>
      </c>
      <c r="G86" s="14">
        <f t="shared" si="39"/>
        <v>0</v>
      </c>
      <c r="H86" s="14">
        <f t="shared" si="39"/>
        <v>0</v>
      </c>
      <c r="I86" s="14">
        <f t="shared" si="39"/>
        <v>0</v>
      </c>
      <c r="J86" s="14">
        <f t="shared" si="39"/>
        <v>0</v>
      </c>
      <c r="K86" s="14">
        <f t="shared" si="39"/>
        <v>0</v>
      </c>
      <c r="L86" s="14">
        <f t="shared" si="39"/>
        <v>0</v>
      </c>
    </row>
    <row r="87" spans="1:21" x14ac:dyDescent="0.35">
      <c r="A87" t="str">
        <f t="shared" si="38"/>
        <v/>
      </c>
      <c r="C87" s="59" t="str">
        <f>IF(OR(C$25="",$A87=""),"",C73-C80)</f>
        <v/>
      </c>
      <c r="D87" s="59" t="str">
        <f t="shared" si="39"/>
        <v/>
      </c>
      <c r="E87" s="59" t="str">
        <f t="shared" si="39"/>
        <v/>
      </c>
      <c r="F87" s="59" t="str">
        <f t="shared" si="39"/>
        <v/>
      </c>
      <c r="G87" s="59" t="str">
        <f t="shared" si="39"/>
        <v/>
      </c>
      <c r="H87" s="59" t="str">
        <f t="shared" si="39"/>
        <v/>
      </c>
      <c r="I87" s="59" t="str">
        <f t="shared" si="39"/>
        <v/>
      </c>
      <c r="J87" s="59" t="str">
        <f t="shared" si="39"/>
        <v/>
      </c>
      <c r="K87" s="59" t="str">
        <f t="shared" si="39"/>
        <v/>
      </c>
      <c r="L87" s="59" t="str">
        <f t="shared" si="39"/>
        <v/>
      </c>
    </row>
    <row r="88" spans="1:21" x14ac:dyDescent="0.35">
      <c r="A88" t="str">
        <f t="shared" si="38"/>
        <v/>
      </c>
      <c r="C88" s="14" t="str">
        <f t="shared" si="39"/>
        <v/>
      </c>
      <c r="D88" s="14" t="str">
        <f t="shared" si="39"/>
        <v/>
      </c>
      <c r="E88" s="14" t="str">
        <f t="shared" si="39"/>
        <v/>
      </c>
      <c r="F88" s="14" t="str">
        <f t="shared" si="39"/>
        <v/>
      </c>
      <c r="G88" s="14" t="str">
        <f t="shared" si="39"/>
        <v/>
      </c>
      <c r="H88" s="14" t="str">
        <f t="shared" si="39"/>
        <v/>
      </c>
      <c r="I88" s="14" t="str">
        <f t="shared" si="39"/>
        <v/>
      </c>
      <c r="J88" s="14" t="str">
        <f t="shared" si="39"/>
        <v/>
      </c>
      <c r="K88" s="14" t="str">
        <f t="shared" si="39"/>
        <v/>
      </c>
      <c r="L88" s="14" t="str">
        <f t="shared" si="39"/>
        <v/>
      </c>
    </row>
    <row r="89" spans="1:21" x14ac:dyDescent="0.35">
      <c r="A89" s="1" t="s">
        <v>125</v>
      </c>
      <c r="B89" s="1"/>
      <c r="C89" s="14">
        <f>IF(C$25&lt;&gt;"",SUM(C83:C88),"")</f>
        <v>20.102087997956424</v>
      </c>
      <c r="D89" s="14">
        <f t="shared" ref="D89:L89" si="40">IF(D$25&lt;&gt;"",SUM(D83:D88),"")</f>
        <v>19.174337307957025</v>
      </c>
      <c r="E89" s="14">
        <f t="shared" si="40"/>
        <v>18.359085073456452</v>
      </c>
      <c r="F89" s="14">
        <f t="shared" si="40"/>
        <v>17.56795603395528</v>
      </c>
      <c r="G89" s="14">
        <f t="shared" si="40"/>
        <v>16.801556189454683</v>
      </c>
      <c r="H89" s="14">
        <f t="shared" si="40"/>
        <v>16.058504020454109</v>
      </c>
      <c r="I89" s="14">
        <f t="shared" si="40"/>
        <v>17.339143040454712</v>
      </c>
      <c r="J89" s="14">
        <f t="shared" si="40"/>
        <v>18.580163754454713</v>
      </c>
      <c r="K89" s="14">
        <f t="shared" si="40"/>
        <v>19.78177015645414</v>
      </c>
      <c r="L89" s="14">
        <f t="shared" si="40"/>
        <v>20.948639285454718</v>
      </c>
    </row>
    <row r="90" spans="1:21" x14ac:dyDescent="0.35">
      <c r="A90" s="1" t="s">
        <v>147</v>
      </c>
      <c r="B90" s="1"/>
      <c r="C90" s="14">
        <f>IF(C25&lt;&gt;"",C35+C25-C38-C76-C89*$B$35,"")</f>
        <v>8.6162131346710886</v>
      </c>
      <c r="D90" s="14">
        <f t="shared" ref="D90:L90" si="41">IF(D25&lt;&gt;"",D35+D25-D38-D76-D89*$B$35,"")</f>
        <v>8.1497115449772899</v>
      </c>
      <c r="E90" s="14">
        <f t="shared" si="41"/>
        <v>8.1106183366073186</v>
      </c>
      <c r="F90" s="14">
        <f t="shared" si="41"/>
        <v>8.1167156531515428</v>
      </c>
      <c r="G90" s="14">
        <f t="shared" si="41"/>
        <v>8.1227248918656532</v>
      </c>
      <c r="H90" s="14">
        <f t="shared" si="41"/>
        <v>8.1286333848828995</v>
      </c>
      <c r="I90" s="14">
        <f t="shared" si="41"/>
        <v>9.1344430616032799</v>
      </c>
      <c r="J90" s="14">
        <f t="shared" si="41"/>
        <v>9.1132432443904303</v>
      </c>
      <c r="K90" s="14">
        <f t="shared" si="41"/>
        <v>9.0942789521778433</v>
      </c>
      <c r="L90" s="14">
        <f t="shared" si="41"/>
        <v>9.0772626143142574</v>
      </c>
    </row>
    <row r="92" spans="1:21" x14ac:dyDescent="0.35">
      <c r="A92" s="1" t="s">
        <v>127</v>
      </c>
      <c r="C92" s="12">
        <f>IF(C$25&lt;&gt;"",0.2,"")</f>
        <v>0.2</v>
      </c>
      <c r="D92" s="12">
        <f t="shared" ref="D92:L92" si="42">IF(D$25&lt;&gt;"",0.2,"")</f>
        <v>0.2</v>
      </c>
      <c r="E92" s="12">
        <f t="shared" si="42"/>
        <v>0.2</v>
      </c>
      <c r="F92" s="12">
        <f t="shared" si="42"/>
        <v>0.2</v>
      </c>
      <c r="G92" s="12">
        <f t="shared" si="42"/>
        <v>0.2</v>
      </c>
      <c r="H92" s="12">
        <f t="shared" si="42"/>
        <v>0.2</v>
      </c>
      <c r="I92" s="12">
        <f t="shared" si="42"/>
        <v>0.2</v>
      </c>
      <c r="J92" s="12">
        <f t="shared" si="42"/>
        <v>0.2</v>
      </c>
      <c r="K92" s="12">
        <f t="shared" si="42"/>
        <v>0.2</v>
      </c>
      <c r="L92" s="12">
        <f t="shared" si="42"/>
        <v>0.2</v>
      </c>
    </row>
    <row r="93" spans="1:21" x14ac:dyDescent="0.35">
      <c r="A93" t="s">
        <v>128</v>
      </c>
      <c r="C93" s="14">
        <f t="shared" ref="C93:L93" si="43">IF(C$25&lt;&gt;"",C77+C92,"")</f>
        <v>7.0670000000000002</v>
      </c>
      <c r="D93" s="14">
        <f t="shared" si="43"/>
        <v>7.0670000000000002</v>
      </c>
      <c r="E93" s="14">
        <f t="shared" si="43"/>
        <v>6.9830000000000005</v>
      </c>
      <c r="F93" s="14">
        <f t="shared" si="43"/>
        <v>6.9830000000000005</v>
      </c>
      <c r="G93" s="14">
        <f t="shared" si="43"/>
        <v>6.9830000000000005</v>
      </c>
      <c r="H93" s="14">
        <f t="shared" si="43"/>
        <v>6.9830000000000005</v>
      </c>
      <c r="I93" s="14">
        <f t="shared" si="43"/>
        <v>6.9830000000000005</v>
      </c>
      <c r="J93" s="14">
        <f t="shared" si="43"/>
        <v>6.9830000000000005</v>
      </c>
      <c r="K93" s="14">
        <f t="shared" si="43"/>
        <v>6.9830000000000005</v>
      </c>
      <c r="L93" s="14">
        <f t="shared" si="43"/>
        <v>6.9830000000000005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202" priority="60" operator="greaterThan">
      <formula>$C$69</formula>
    </cfRule>
  </conditionalFormatting>
  <conditionalFormatting sqref="C77">
    <cfRule type="cellIs" dxfId="201" priority="59" operator="greaterThan">
      <formula>$C$70</formula>
    </cfRule>
  </conditionalFormatting>
  <conditionalFormatting sqref="C78">
    <cfRule type="cellIs" dxfId="200" priority="58" operator="greaterThan">
      <formula>$C$71</formula>
    </cfRule>
  </conditionalFormatting>
  <conditionalFormatting sqref="C79">
    <cfRule type="cellIs" dxfId="199" priority="57" operator="greaterThan">
      <formula>$C$72</formula>
    </cfRule>
  </conditionalFormatting>
  <conditionalFormatting sqref="C80">
    <cfRule type="cellIs" dxfId="198" priority="56" operator="greaterThan">
      <formula>$C$73</formula>
    </cfRule>
  </conditionalFormatting>
  <conditionalFormatting sqref="C81">
    <cfRule type="cellIs" dxfId="197" priority="55" operator="greaterThan">
      <formula>$C$74</formula>
    </cfRule>
  </conditionalFormatting>
  <conditionalFormatting sqref="D76">
    <cfRule type="cellIs" dxfId="196" priority="54" operator="greaterThan">
      <formula>$D$69</formula>
    </cfRule>
  </conditionalFormatting>
  <conditionalFormatting sqref="D77">
    <cfRule type="cellIs" dxfId="195" priority="53" operator="greaterThan">
      <formula>$D$70</formula>
    </cfRule>
  </conditionalFormatting>
  <conditionalFormatting sqref="D78">
    <cfRule type="cellIs" dxfId="194" priority="52" operator="greaterThan">
      <formula>$D$71</formula>
    </cfRule>
  </conditionalFormatting>
  <conditionalFormatting sqref="D79">
    <cfRule type="cellIs" dxfId="193" priority="51" operator="greaterThan">
      <formula>$D$72</formula>
    </cfRule>
  </conditionalFormatting>
  <conditionalFormatting sqref="D80">
    <cfRule type="cellIs" dxfId="192" priority="50" operator="greaterThan">
      <formula>$D$73</formula>
    </cfRule>
  </conditionalFormatting>
  <conditionalFormatting sqref="D81">
    <cfRule type="cellIs" dxfId="191" priority="49" operator="greaterThan">
      <formula>$D$74</formula>
    </cfRule>
  </conditionalFormatting>
  <conditionalFormatting sqref="E76">
    <cfRule type="cellIs" dxfId="190" priority="48" operator="greaterThan">
      <formula>$E$69</formula>
    </cfRule>
  </conditionalFormatting>
  <conditionalFormatting sqref="E77">
    <cfRule type="cellIs" dxfId="189" priority="47" operator="greaterThan">
      <formula>$E$70</formula>
    </cfRule>
  </conditionalFormatting>
  <conditionalFormatting sqref="E78">
    <cfRule type="cellIs" dxfId="188" priority="46" operator="greaterThan">
      <formula>$E$71</formula>
    </cfRule>
  </conditionalFormatting>
  <conditionalFormatting sqref="E79">
    <cfRule type="cellIs" dxfId="187" priority="45" operator="greaterThan">
      <formula>$E$72</formula>
    </cfRule>
  </conditionalFormatting>
  <conditionalFormatting sqref="E80">
    <cfRule type="cellIs" dxfId="186" priority="44" operator="greaterThan">
      <formula>$E$73</formula>
    </cfRule>
  </conditionalFormatting>
  <conditionalFormatting sqref="E81">
    <cfRule type="cellIs" dxfId="185" priority="43" operator="greaterThan">
      <formula>$E$74</formula>
    </cfRule>
  </conditionalFormatting>
  <conditionalFormatting sqref="F76">
    <cfRule type="cellIs" dxfId="184" priority="42" operator="greaterThan">
      <formula>$F$69</formula>
    </cfRule>
  </conditionalFormatting>
  <conditionalFormatting sqref="F77">
    <cfRule type="cellIs" dxfId="183" priority="41" operator="greaterThan">
      <formula>$F$70</formula>
    </cfRule>
  </conditionalFormatting>
  <conditionalFormatting sqref="F78">
    <cfRule type="cellIs" dxfId="182" priority="40" operator="greaterThan">
      <formula>$F$71</formula>
    </cfRule>
  </conditionalFormatting>
  <conditionalFormatting sqref="F79">
    <cfRule type="cellIs" dxfId="181" priority="39" operator="greaterThan">
      <formula>$F$72</formula>
    </cfRule>
  </conditionalFormatting>
  <conditionalFormatting sqref="F80">
    <cfRule type="cellIs" dxfId="180" priority="38" operator="greaterThan">
      <formula>$F$73</formula>
    </cfRule>
  </conditionalFormatting>
  <conditionalFormatting sqref="F81">
    <cfRule type="cellIs" dxfId="179" priority="37" operator="greaterThan">
      <formula>$F$74</formula>
    </cfRule>
  </conditionalFormatting>
  <conditionalFormatting sqref="G76">
    <cfRule type="cellIs" dxfId="178" priority="36" operator="greaterThan">
      <formula>$G$69</formula>
    </cfRule>
  </conditionalFormatting>
  <conditionalFormatting sqref="G77">
    <cfRule type="cellIs" dxfId="177" priority="35" operator="greaterThan">
      <formula>$G$70</formula>
    </cfRule>
  </conditionalFormatting>
  <conditionalFormatting sqref="G78">
    <cfRule type="cellIs" dxfId="176" priority="34" operator="greaterThan">
      <formula>$G$71</formula>
    </cfRule>
  </conditionalFormatting>
  <conditionalFormatting sqref="G79">
    <cfRule type="cellIs" dxfId="175" priority="33" operator="greaterThan">
      <formula>$G$72</formula>
    </cfRule>
  </conditionalFormatting>
  <conditionalFormatting sqref="G80">
    <cfRule type="cellIs" dxfId="174" priority="32" operator="greaterThan">
      <formula>$G$73</formula>
    </cfRule>
  </conditionalFormatting>
  <conditionalFormatting sqref="G81">
    <cfRule type="cellIs" dxfId="173" priority="31" operator="greaterThan">
      <formula>$G$74</formula>
    </cfRule>
  </conditionalFormatting>
  <conditionalFormatting sqref="H76">
    <cfRule type="cellIs" dxfId="172" priority="30" operator="greaterThan">
      <formula>$H$69</formula>
    </cfRule>
  </conditionalFormatting>
  <conditionalFormatting sqref="H77">
    <cfRule type="cellIs" dxfId="171" priority="29" operator="greaterThan">
      <formula>$H$70</formula>
    </cfRule>
  </conditionalFormatting>
  <conditionalFormatting sqref="H78">
    <cfRule type="cellIs" dxfId="170" priority="28" operator="greaterThan">
      <formula>$H$71</formula>
    </cfRule>
  </conditionalFormatting>
  <conditionalFormatting sqref="H79">
    <cfRule type="cellIs" dxfId="169" priority="27" operator="greaterThan">
      <formula>$H$72</formula>
    </cfRule>
  </conditionalFormatting>
  <conditionalFormatting sqref="H80">
    <cfRule type="cellIs" dxfId="168" priority="26" operator="greaterThan">
      <formula>$H$73</formula>
    </cfRule>
  </conditionalFormatting>
  <conditionalFormatting sqref="H81">
    <cfRule type="cellIs" dxfId="167" priority="25" operator="greaterThan">
      <formula>$H$74</formula>
    </cfRule>
  </conditionalFormatting>
  <conditionalFormatting sqref="I76">
    <cfRule type="cellIs" dxfId="166" priority="24" operator="greaterThan">
      <formula>$I$69</formula>
    </cfRule>
  </conditionalFormatting>
  <conditionalFormatting sqref="I77">
    <cfRule type="cellIs" dxfId="165" priority="23" operator="greaterThan">
      <formula>$I$70</formula>
    </cfRule>
  </conditionalFormatting>
  <conditionalFormatting sqref="I78">
    <cfRule type="cellIs" dxfId="164" priority="22" operator="greaterThan">
      <formula>$I$71</formula>
    </cfRule>
  </conditionalFormatting>
  <conditionalFormatting sqref="I79">
    <cfRule type="cellIs" dxfId="163" priority="21" operator="greaterThan">
      <formula>$I$72</formula>
    </cfRule>
  </conditionalFormatting>
  <conditionalFormatting sqref="I80">
    <cfRule type="cellIs" dxfId="162" priority="20" operator="greaterThan">
      <formula>$I$73</formula>
    </cfRule>
  </conditionalFormatting>
  <conditionalFormatting sqref="I81">
    <cfRule type="cellIs" dxfId="161" priority="19" operator="greaterThan">
      <formula>$I$74</formula>
    </cfRule>
  </conditionalFormatting>
  <conditionalFormatting sqref="J76">
    <cfRule type="cellIs" dxfId="160" priority="18" operator="greaterThan">
      <formula>$J$69</formula>
    </cfRule>
  </conditionalFormatting>
  <conditionalFormatting sqref="J77">
    <cfRule type="cellIs" dxfId="159" priority="17" operator="greaterThan">
      <formula>$J$70</formula>
    </cfRule>
  </conditionalFormatting>
  <conditionalFormatting sqref="J78">
    <cfRule type="cellIs" dxfId="158" priority="16" operator="greaterThan">
      <formula>$J$71</formula>
    </cfRule>
  </conditionalFormatting>
  <conditionalFormatting sqref="J79">
    <cfRule type="cellIs" dxfId="157" priority="15" operator="greaterThan">
      <formula>$J$72</formula>
    </cfRule>
  </conditionalFormatting>
  <conditionalFormatting sqref="J80">
    <cfRule type="cellIs" dxfId="156" priority="14" operator="greaterThan">
      <formula>$J$73</formula>
    </cfRule>
  </conditionalFormatting>
  <conditionalFormatting sqref="J81">
    <cfRule type="cellIs" dxfId="155" priority="13" operator="greaterThan">
      <formula>$J$74</formula>
    </cfRule>
  </conditionalFormatting>
  <conditionalFormatting sqref="K76">
    <cfRule type="cellIs" dxfId="154" priority="12" operator="greaterThan">
      <formula>$K$69</formula>
    </cfRule>
  </conditionalFormatting>
  <conditionalFormatting sqref="K77">
    <cfRule type="cellIs" dxfId="153" priority="11" operator="greaterThan">
      <formula>$K$70</formula>
    </cfRule>
  </conditionalFormatting>
  <conditionalFormatting sqref="K78">
    <cfRule type="cellIs" dxfId="152" priority="10" operator="greaterThan">
      <formula>$K$71</formula>
    </cfRule>
  </conditionalFormatting>
  <conditionalFormatting sqref="K79">
    <cfRule type="cellIs" dxfId="151" priority="9" operator="greaterThan">
      <formula>$K$72</formula>
    </cfRule>
  </conditionalFormatting>
  <conditionalFormatting sqref="K80">
    <cfRule type="cellIs" dxfId="150" priority="8" operator="greaterThan">
      <formula>$K$73</formula>
    </cfRule>
  </conditionalFormatting>
  <conditionalFormatting sqref="K81">
    <cfRule type="cellIs" dxfId="149" priority="7" operator="greaterThan">
      <formula>$K$74</formula>
    </cfRule>
  </conditionalFormatting>
  <conditionalFormatting sqref="L76">
    <cfRule type="cellIs" dxfId="148" priority="6" operator="greaterThan">
      <formula>$L$69</formula>
    </cfRule>
  </conditionalFormatting>
  <conditionalFormatting sqref="L77">
    <cfRule type="cellIs" dxfId="147" priority="5" operator="greaterThan">
      <formula>$L$70</formula>
    </cfRule>
  </conditionalFormatting>
  <conditionalFormatting sqref="L78">
    <cfRule type="cellIs" dxfId="146" priority="4" operator="greaterThan">
      <formula>$L$71</formula>
    </cfRule>
  </conditionalFormatting>
  <conditionalFormatting sqref="L79">
    <cfRule type="cellIs" dxfId="145" priority="3" operator="greaterThan">
      <formula>$L$72</formula>
    </cfRule>
  </conditionalFormatting>
  <conditionalFormatting sqref="L80">
    <cfRule type="cellIs" dxfId="144" priority="2" operator="greaterThan">
      <formula>$L$73</formula>
    </cfRule>
  </conditionalFormatting>
  <conditionalFormatting sqref="L81">
    <cfRule type="cellIs" dxfId="143" priority="1" operator="greaterThan">
      <formula>$L$74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ReadMe-Directions</vt:lpstr>
      <vt:lpstr>Versions</vt:lpstr>
      <vt:lpstr>11.0-TradeReserveUser</vt:lpstr>
      <vt:lpstr>Master</vt:lpstr>
      <vt:lpstr>11.0-Trade</vt:lpstr>
      <vt:lpstr>11.0-TradeReserve</vt:lpstr>
      <vt:lpstr>11.0-LawOfRiver</vt:lpstr>
      <vt:lpstr>11.0-Plots</vt:lpstr>
      <vt:lpstr>MillenniumRecover-Trade</vt:lpstr>
      <vt:lpstr>MillenniumRecover-LawOfRiver</vt:lpstr>
      <vt:lpstr>Millennium-Plots</vt:lpstr>
      <vt:lpstr>MillenniumRecover-Delta</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2021-07-01T17:20:38Z</dcterms:modified>
</cp:coreProperties>
</file>