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3.xml" ContentType="application/vnd.openxmlformats-officedocument.drawing+xml"/>
  <Override PartName="/xl/charts/chart9.xml" ContentType="application/vnd.openxmlformats-officedocument.drawingml.chart+xml"/>
  <Override PartName="/xl/charts/chart10.xml" ContentType="application/vnd.openxmlformats-officedocument.drawingml.chart+xml"/>
  <Override PartName="/xl/drawings/drawing4.xml" ContentType="application/vnd.openxmlformats-officedocument.drawing+xml"/>
  <Override PartName="/xl/charts/chart11.xml" ContentType="application/vnd.openxmlformats-officedocument.drawingml.chart+xml"/>
  <Override PartName="/xl/charts/chart1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75"/>
  <workbookPr defaultThemeVersion="166925"/>
  <mc:AlternateContent xmlns:mc="http://schemas.openxmlformats.org/markup-compatibility/2006">
    <mc:Choice Requires="x15">
      <x15ac:absPath xmlns:x15ac="http://schemas.microsoft.com/office/spreadsheetml/2010/11/ac" url="C:\Rosenberg\Work\USU\Research\ColoradoRiver\RCode\ColoradoRiverFutures\InteractiveWaterBudget\OldVersions\"/>
    </mc:Choice>
  </mc:AlternateContent>
  <xr:revisionPtr revIDLastSave="0" documentId="8_{AEF7811A-50EC-4AD5-B669-D3B58243D0F8}" xr6:coauthVersionLast="36" xr6:coauthVersionMax="36" xr10:uidLastSave="{00000000-0000-0000-0000-000000000000}"/>
  <bookViews>
    <workbookView xWindow="0" yWindow="0" windowWidth="19200" windowHeight="6640" activeTab="1" xr2:uid="{5373AB19-D84C-490D-97DC-C516D358024A}"/>
  </bookViews>
  <sheets>
    <sheet name="ReadMe-Directions" sheetId="6" r:id="rId1"/>
    <sheet name="Versions" sheetId="31" r:id="rId2"/>
    <sheet name="Master" sheetId="24" r:id="rId3"/>
    <sheet name="11.0-Trade" sheetId="27" r:id="rId4"/>
    <sheet name="11.0-TradeReserve" sheetId="30" r:id="rId5"/>
    <sheet name="11.0-LawOfRiver" sheetId="26" r:id="rId6"/>
    <sheet name="11.0-Plots" sheetId="19" r:id="rId7"/>
    <sheet name="MillenniumRecover-Trade" sheetId="29" r:id="rId8"/>
    <sheet name="MillenniumRecover-LawOfRiver" sheetId="25" r:id="rId9"/>
    <sheet name="Millennium-Plots" sheetId="28" r:id="rId10"/>
    <sheet name="MillenniumRecover-Delta" sheetId="21" r:id="rId11"/>
    <sheet name="HydrologicScenarios" sheetId="7" r:id="rId12"/>
    <sheet name="Powell-Elevation-Area" sheetId="2" r:id="rId13"/>
    <sheet name="Mead-Elevation-Area" sheetId="10" r:id="rId14"/>
    <sheet name="11.0-LawOfRiverShort" sheetId="16" r:id="rId15"/>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29" i="21" l="1"/>
  <c r="B29" i="25"/>
  <c r="B29" i="29"/>
  <c r="B29" i="26"/>
  <c r="B31" i="30"/>
  <c r="B30" i="30"/>
  <c r="C24" i="30"/>
  <c r="B34" i="30" s="1"/>
  <c r="B24" i="30"/>
  <c r="B29" i="27"/>
  <c r="B30" i="24"/>
  <c r="B29" i="24" s="1"/>
  <c r="G79" i="30" l="1"/>
  <c r="B49" i="30"/>
  <c r="L95" i="30"/>
  <c r="K95" i="30"/>
  <c r="J95" i="30"/>
  <c r="I95" i="30"/>
  <c r="H95" i="30"/>
  <c r="L94" i="30"/>
  <c r="K94" i="30"/>
  <c r="J94" i="30"/>
  <c r="I94" i="30"/>
  <c r="H94" i="30"/>
  <c r="C94" i="30"/>
  <c r="L92" i="30"/>
  <c r="K92" i="30"/>
  <c r="J92" i="30"/>
  <c r="I92" i="30"/>
  <c r="H92" i="30"/>
  <c r="L91" i="30"/>
  <c r="K91" i="30"/>
  <c r="J91" i="30"/>
  <c r="I91" i="30"/>
  <c r="H91" i="30"/>
  <c r="A90" i="30"/>
  <c r="K90" i="30" s="1"/>
  <c r="H89" i="30"/>
  <c r="A89" i="30"/>
  <c r="L89" i="30" s="1"/>
  <c r="K88" i="30"/>
  <c r="A88" i="30"/>
  <c r="J88" i="30" s="1"/>
  <c r="S87" i="30"/>
  <c r="P87" i="30" s="1"/>
  <c r="H87" i="30"/>
  <c r="A87" i="30"/>
  <c r="L87" i="30" s="1"/>
  <c r="S86" i="30"/>
  <c r="P86" i="30"/>
  <c r="L86" i="30"/>
  <c r="H86" i="30"/>
  <c r="A86" i="30"/>
  <c r="K86" i="30" s="1"/>
  <c r="S85" i="30"/>
  <c r="P85" i="30"/>
  <c r="A85" i="30"/>
  <c r="I85" i="30" s="1"/>
  <c r="S84" i="30"/>
  <c r="P84" i="30" s="1"/>
  <c r="S83" i="30"/>
  <c r="P83" i="30" s="1"/>
  <c r="A83" i="30"/>
  <c r="S82" i="30"/>
  <c r="P82" i="30" s="1"/>
  <c r="A82" i="30"/>
  <c r="S81" i="30"/>
  <c r="P81" i="30"/>
  <c r="A81" i="30"/>
  <c r="S80" i="30"/>
  <c r="P80" i="30"/>
  <c r="A80" i="30"/>
  <c r="A79" i="30"/>
  <c r="A78" i="30"/>
  <c r="A76" i="30"/>
  <c r="I76" i="30" s="1"/>
  <c r="A75" i="30"/>
  <c r="K75" i="30" s="1"/>
  <c r="K82" i="30" s="1"/>
  <c r="K74" i="30"/>
  <c r="H74" i="30"/>
  <c r="A74" i="30"/>
  <c r="L74" i="30" s="1"/>
  <c r="K73" i="30"/>
  <c r="A73" i="30"/>
  <c r="J73" i="30" s="1"/>
  <c r="A72" i="30"/>
  <c r="J72" i="30" s="1"/>
  <c r="L71" i="30"/>
  <c r="K71" i="30"/>
  <c r="I71" i="30"/>
  <c r="H71" i="30"/>
  <c r="A71" i="30"/>
  <c r="J71" i="30" s="1"/>
  <c r="L68" i="30"/>
  <c r="K68" i="30"/>
  <c r="J68" i="30"/>
  <c r="I68" i="30"/>
  <c r="H68" i="30"/>
  <c r="M67" i="30"/>
  <c r="A67" i="30"/>
  <c r="M66" i="30"/>
  <c r="A66" i="30"/>
  <c r="M65" i="30"/>
  <c r="A65" i="30"/>
  <c r="M64" i="30"/>
  <c r="A64" i="30"/>
  <c r="E63" i="30"/>
  <c r="D63" i="30"/>
  <c r="M63" i="30" s="1"/>
  <c r="C63" i="30"/>
  <c r="C68" i="30" s="1"/>
  <c r="A63" i="30"/>
  <c r="M62" i="30"/>
  <c r="A62" i="30"/>
  <c r="K60" i="30"/>
  <c r="A60" i="30"/>
  <c r="J60" i="30" s="1"/>
  <c r="A59" i="30"/>
  <c r="L59" i="30" s="1"/>
  <c r="L58" i="30"/>
  <c r="I58" i="30"/>
  <c r="A58" i="30"/>
  <c r="J58" i="30" s="1"/>
  <c r="A57" i="30"/>
  <c r="K57" i="30" s="1"/>
  <c r="A56" i="30"/>
  <c r="L55" i="30"/>
  <c r="K55" i="30"/>
  <c r="I55" i="30"/>
  <c r="H55" i="30"/>
  <c r="C55" i="30"/>
  <c r="A55" i="30"/>
  <c r="J55" i="30" s="1"/>
  <c r="L53" i="30"/>
  <c r="H53" i="30"/>
  <c r="A53" i="30"/>
  <c r="K53" i="30" s="1"/>
  <c r="A52" i="30"/>
  <c r="J52" i="30" s="1"/>
  <c r="A51" i="30"/>
  <c r="L51" i="30" s="1"/>
  <c r="A50" i="30"/>
  <c r="A49" i="30"/>
  <c r="K49" i="30" s="1"/>
  <c r="L48" i="30"/>
  <c r="K48" i="30"/>
  <c r="J48" i="30"/>
  <c r="I48" i="30"/>
  <c r="H48" i="30"/>
  <c r="A48" i="30"/>
  <c r="L46" i="30"/>
  <c r="K46" i="30"/>
  <c r="J46" i="30"/>
  <c r="I46" i="30"/>
  <c r="H46" i="30"/>
  <c r="A45" i="30"/>
  <c r="L45" i="30" s="1"/>
  <c r="A44" i="30"/>
  <c r="J44" i="30" s="1"/>
  <c r="L43" i="30"/>
  <c r="H43" i="30"/>
  <c r="A43" i="30"/>
  <c r="K42" i="30"/>
  <c r="H42" i="30"/>
  <c r="A42" i="30"/>
  <c r="J42" i="30" s="1"/>
  <c r="K41" i="30"/>
  <c r="A41" i="30"/>
  <c r="K40" i="30"/>
  <c r="J40" i="30"/>
  <c r="A40" i="30"/>
  <c r="L39" i="30"/>
  <c r="K39" i="30"/>
  <c r="J39" i="30"/>
  <c r="I39" i="30"/>
  <c r="H39" i="30"/>
  <c r="H38" i="30"/>
  <c r="C38" i="30"/>
  <c r="B38" i="30"/>
  <c r="L37" i="30"/>
  <c r="K37" i="30"/>
  <c r="J37" i="30"/>
  <c r="I37" i="30"/>
  <c r="H37" i="30"/>
  <c r="C37" i="30"/>
  <c r="A35" i="30"/>
  <c r="J35" i="30" s="1"/>
  <c r="A34" i="30"/>
  <c r="K34" i="30" s="1"/>
  <c r="A33" i="30"/>
  <c r="K33" i="30" s="1"/>
  <c r="H32" i="30"/>
  <c r="A32" i="30"/>
  <c r="K32" i="30" s="1"/>
  <c r="K31" i="30"/>
  <c r="A31" i="30"/>
  <c r="J31" i="30" s="1"/>
  <c r="L30" i="30"/>
  <c r="K30" i="30"/>
  <c r="H30" i="30"/>
  <c r="C30" i="30"/>
  <c r="B29" i="30"/>
  <c r="A30" i="30"/>
  <c r="J30" i="30" s="1"/>
  <c r="L29" i="30"/>
  <c r="K29" i="30"/>
  <c r="J29" i="30"/>
  <c r="I29" i="30"/>
  <c r="H29" i="30"/>
  <c r="C29" i="30"/>
  <c r="L28" i="30"/>
  <c r="L38" i="30" s="1"/>
  <c r="K28" i="30"/>
  <c r="K38" i="30" s="1"/>
  <c r="J28" i="30"/>
  <c r="J38" i="30" s="1"/>
  <c r="I28" i="30"/>
  <c r="I38" i="30" s="1"/>
  <c r="H28" i="30"/>
  <c r="D28" i="30"/>
  <c r="C28" i="30"/>
  <c r="D27" i="30"/>
  <c r="C35" i="30" l="1"/>
  <c r="I53" i="30"/>
  <c r="K58" i="30"/>
  <c r="L60" i="30"/>
  <c r="I32" i="30"/>
  <c r="I35" i="30"/>
  <c r="I42" i="30"/>
  <c r="C45" i="30"/>
  <c r="H57" i="30"/>
  <c r="H72" i="30"/>
  <c r="K89" i="30"/>
  <c r="H35" i="30"/>
  <c r="L32" i="30"/>
  <c r="K35" i="30"/>
  <c r="J45" i="30"/>
  <c r="J57" i="30"/>
  <c r="I72" i="30"/>
  <c r="L35" i="30"/>
  <c r="L42" i="30"/>
  <c r="I52" i="30"/>
  <c r="L57" i="30"/>
  <c r="C60" i="30"/>
  <c r="K72" i="30"/>
  <c r="K87" i="30"/>
  <c r="H90" i="30"/>
  <c r="I33" i="30"/>
  <c r="K52" i="30"/>
  <c r="H60" i="30"/>
  <c r="L72" i="30"/>
  <c r="L90" i="30"/>
  <c r="C58" i="30"/>
  <c r="I60" i="30"/>
  <c r="L75" i="30"/>
  <c r="H34" i="30"/>
  <c r="H59" i="30"/>
  <c r="I59" i="30"/>
  <c r="L52" i="30"/>
  <c r="H75" i="30"/>
  <c r="H82" i="30" s="1"/>
  <c r="I56" i="30"/>
  <c r="L56" i="30"/>
  <c r="K56" i="30"/>
  <c r="D90" i="30"/>
  <c r="D60" i="30"/>
  <c r="D55" i="30"/>
  <c r="D94" i="30"/>
  <c r="E27" i="30"/>
  <c r="D58" i="30"/>
  <c r="D76" i="30"/>
  <c r="D68" i="30"/>
  <c r="J34" i="30"/>
  <c r="D45" i="30"/>
  <c r="D51" i="30"/>
  <c r="H31" i="30"/>
  <c r="J33" i="30"/>
  <c r="I41" i="30"/>
  <c r="L41" i="30"/>
  <c r="K43" i="30"/>
  <c r="I49" i="30"/>
  <c r="D59" i="30"/>
  <c r="I31" i="30"/>
  <c r="L40" i="30"/>
  <c r="H40" i="30"/>
  <c r="J51" i="30"/>
  <c r="J56" i="30"/>
  <c r="C39" i="30"/>
  <c r="L31" i="30"/>
  <c r="I34" i="30"/>
  <c r="L34" i="30"/>
  <c r="H50" i="30"/>
  <c r="L50" i="30"/>
  <c r="K50" i="30"/>
  <c r="J50" i="30"/>
  <c r="D53" i="30"/>
  <c r="L33" i="30"/>
  <c r="H33" i="30"/>
  <c r="C34" i="30"/>
  <c r="D35" i="30"/>
  <c r="I44" i="30"/>
  <c r="L49" i="30"/>
  <c r="J49" i="30"/>
  <c r="H49" i="30"/>
  <c r="C33" i="30"/>
  <c r="H41" i="30"/>
  <c r="I43" i="30"/>
  <c r="C31" i="30"/>
  <c r="I40" i="30"/>
  <c r="J41" i="30"/>
  <c r="J43" i="30"/>
  <c r="K45" i="30"/>
  <c r="I45" i="30"/>
  <c r="H45" i="30"/>
  <c r="I50" i="30"/>
  <c r="K51" i="30"/>
  <c r="C51" i="30"/>
  <c r="I51" i="30"/>
  <c r="H51" i="30"/>
  <c r="H44" i="30"/>
  <c r="L44" i="30"/>
  <c r="K44" i="30"/>
  <c r="H56" i="30"/>
  <c r="J76" i="30"/>
  <c r="J85" i="30"/>
  <c r="L73" i="30"/>
  <c r="I74" i="30"/>
  <c r="C76" i="30"/>
  <c r="K76" i="30"/>
  <c r="K85" i="30"/>
  <c r="I87" i="30"/>
  <c r="L88" i="30"/>
  <c r="I89" i="30"/>
  <c r="J74" i="30"/>
  <c r="L76" i="30"/>
  <c r="L85" i="30"/>
  <c r="J87" i="30"/>
  <c r="J89" i="30"/>
  <c r="I30" i="30"/>
  <c r="J32" i="30"/>
  <c r="J53" i="30"/>
  <c r="J59" i="30"/>
  <c r="C32" i="30"/>
  <c r="C53" i="30"/>
  <c r="I57" i="30"/>
  <c r="C59" i="30"/>
  <c r="K59" i="30"/>
  <c r="I75" i="30"/>
  <c r="I86" i="30"/>
  <c r="I90" i="30"/>
  <c r="H52" i="30"/>
  <c r="H58" i="30"/>
  <c r="E59" i="30"/>
  <c r="H73" i="30"/>
  <c r="J75" i="30"/>
  <c r="J86" i="30"/>
  <c r="H88" i="30"/>
  <c r="J90" i="30"/>
  <c r="I73" i="30"/>
  <c r="H76" i="30"/>
  <c r="H85" i="30"/>
  <c r="I88" i="30"/>
  <c r="C90" i="30"/>
  <c r="P78" i="24"/>
  <c r="C44" i="30" l="1"/>
  <c r="C52" i="30" s="1"/>
  <c r="C75" i="30" s="1"/>
  <c r="C89" i="30" s="1"/>
  <c r="D34" i="30" s="1"/>
  <c r="C40" i="30"/>
  <c r="C42" i="30"/>
  <c r="C46" i="30"/>
  <c r="B50" i="30" s="1"/>
  <c r="C95" i="30"/>
  <c r="C43" i="30"/>
  <c r="C74" i="30" s="1"/>
  <c r="C88" i="30" s="1"/>
  <c r="D33" i="30" s="1"/>
  <c r="C41" i="30"/>
  <c r="E51" i="30"/>
  <c r="E45" i="30"/>
  <c r="E28" i="30"/>
  <c r="E94" i="30"/>
  <c r="E53" i="30"/>
  <c r="E76" i="30"/>
  <c r="F27" i="30"/>
  <c r="E68" i="30"/>
  <c r="E90" i="30"/>
  <c r="E60" i="30"/>
  <c r="E35" i="30"/>
  <c r="B55" i="24"/>
  <c r="C50" i="30" l="1"/>
  <c r="C49" i="30" s="1"/>
  <c r="C48" i="30" s="1"/>
  <c r="B57" i="30"/>
  <c r="C57" i="30"/>
  <c r="C56" i="30" s="1"/>
  <c r="E58" i="30"/>
  <c r="E55" i="30"/>
  <c r="F94" i="30"/>
  <c r="F35" i="30"/>
  <c r="F76" i="30"/>
  <c r="F60" i="30"/>
  <c r="F68" i="30"/>
  <c r="F90" i="30"/>
  <c r="F28" i="30"/>
  <c r="F55" i="30" s="1"/>
  <c r="F53" i="30"/>
  <c r="F59" i="30"/>
  <c r="F51" i="30"/>
  <c r="F45" i="30"/>
  <c r="G27" i="30"/>
  <c r="K60" i="29"/>
  <c r="K61" i="29" s="1"/>
  <c r="L60" i="29"/>
  <c r="L61" i="29" s="1"/>
  <c r="J60" i="29"/>
  <c r="J61" i="29" s="1"/>
  <c r="I61" i="29"/>
  <c r="I66" i="29"/>
  <c r="I92" i="29"/>
  <c r="C92" i="29"/>
  <c r="A88" i="29"/>
  <c r="C88" i="29" s="1"/>
  <c r="A87" i="29"/>
  <c r="C87" i="29" s="1"/>
  <c r="A86" i="29"/>
  <c r="S85" i="29"/>
  <c r="P85" i="29"/>
  <c r="A85" i="29"/>
  <c r="S84" i="29"/>
  <c r="P84" i="29"/>
  <c r="A84" i="29"/>
  <c r="S83" i="29"/>
  <c r="P83" i="29" s="1"/>
  <c r="A83" i="29"/>
  <c r="S82" i="29"/>
  <c r="P82" i="29" s="1"/>
  <c r="S81" i="29"/>
  <c r="P81" i="29" s="1"/>
  <c r="A81" i="29"/>
  <c r="S80" i="29"/>
  <c r="P80" i="29" s="1"/>
  <c r="A80" i="29"/>
  <c r="S79" i="29"/>
  <c r="P79" i="29"/>
  <c r="A79" i="29"/>
  <c r="S78" i="29"/>
  <c r="P78" i="29"/>
  <c r="A78" i="29"/>
  <c r="A77" i="29"/>
  <c r="A76" i="29"/>
  <c r="I74" i="29"/>
  <c r="C74" i="29"/>
  <c r="A74" i="29"/>
  <c r="I73" i="29"/>
  <c r="C73" i="29"/>
  <c r="A73" i="29"/>
  <c r="A72" i="29"/>
  <c r="A71" i="29"/>
  <c r="A70" i="29"/>
  <c r="A69" i="29"/>
  <c r="C66" i="29"/>
  <c r="M65" i="29"/>
  <c r="A65" i="29"/>
  <c r="M64" i="29"/>
  <c r="A64" i="29"/>
  <c r="M63" i="29"/>
  <c r="A63" i="29"/>
  <c r="M62" i="29"/>
  <c r="A62" i="29"/>
  <c r="A61" i="29"/>
  <c r="A60" i="29"/>
  <c r="A58" i="29"/>
  <c r="K57" i="29"/>
  <c r="I57" i="29"/>
  <c r="C57" i="29"/>
  <c r="A57" i="29"/>
  <c r="A56" i="29"/>
  <c r="A55" i="29"/>
  <c r="A54" i="29"/>
  <c r="A53" i="29"/>
  <c r="I51" i="29"/>
  <c r="C51" i="29"/>
  <c r="A51" i="29"/>
  <c r="D50" i="29"/>
  <c r="A50" i="29"/>
  <c r="C50" i="29" s="1"/>
  <c r="I49" i="29"/>
  <c r="C49" i="29"/>
  <c r="A49" i="29"/>
  <c r="A48" i="29"/>
  <c r="B47" i="29"/>
  <c r="A47" i="29"/>
  <c r="A46" i="29"/>
  <c r="I43" i="29"/>
  <c r="C43" i="29"/>
  <c r="A43" i="29"/>
  <c r="J42" i="29"/>
  <c r="A42" i="29"/>
  <c r="I42" i="29" s="1"/>
  <c r="A41" i="29"/>
  <c r="A40" i="29"/>
  <c r="A39" i="29"/>
  <c r="A38" i="29"/>
  <c r="C37" i="29"/>
  <c r="C36" i="29"/>
  <c r="B36" i="29"/>
  <c r="C35" i="29"/>
  <c r="I33" i="29"/>
  <c r="A33" i="29"/>
  <c r="C33" i="29" s="1"/>
  <c r="I32" i="29"/>
  <c r="C32" i="29"/>
  <c r="A32" i="29"/>
  <c r="A31" i="29"/>
  <c r="C30" i="29"/>
  <c r="A30" i="29"/>
  <c r="C29" i="29"/>
  <c r="A29" i="29"/>
  <c r="B28" i="29"/>
  <c r="B27" i="29" s="1"/>
  <c r="A28" i="29"/>
  <c r="C27" i="29"/>
  <c r="K26" i="29"/>
  <c r="I26" i="29"/>
  <c r="C26" i="29"/>
  <c r="K25" i="29"/>
  <c r="J25" i="29"/>
  <c r="D25" i="29"/>
  <c r="C39" i="29" l="1"/>
  <c r="F58" i="30"/>
  <c r="G53" i="30"/>
  <c r="G76" i="30"/>
  <c r="G68" i="30"/>
  <c r="G60" i="30"/>
  <c r="G55" i="30"/>
  <c r="G51" i="30"/>
  <c r="G90" i="30"/>
  <c r="G94" i="30"/>
  <c r="G35" i="30"/>
  <c r="G28" i="30"/>
  <c r="G58" i="30"/>
  <c r="G45" i="30"/>
  <c r="G59" i="30"/>
  <c r="C73" i="30"/>
  <c r="M60" i="29"/>
  <c r="M61" i="29"/>
  <c r="K50" i="29"/>
  <c r="K88" i="29"/>
  <c r="K74" i="29"/>
  <c r="K49" i="29"/>
  <c r="K43" i="29"/>
  <c r="K92" i="29"/>
  <c r="K87" i="29"/>
  <c r="K66" i="29"/>
  <c r="K33" i="29"/>
  <c r="L25" i="29"/>
  <c r="K73" i="29"/>
  <c r="K80" i="29" s="1"/>
  <c r="C44" i="29"/>
  <c r="C55" i="29" s="1"/>
  <c r="C54" i="29" s="1"/>
  <c r="C77" i="29"/>
  <c r="C93" i="29" s="1"/>
  <c r="C40" i="29"/>
  <c r="K51" i="29"/>
  <c r="J33" i="29"/>
  <c r="C42" i="29"/>
  <c r="K56" i="29"/>
  <c r="K32" i="29"/>
  <c r="D88" i="29"/>
  <c r="D58" i="29"/>
  <c r="D74" i="29"/>
  <c r="D92" i="29"/>
  <c r="D49" i="29"/>
  <c r="D43" i="29"/>
  <c r="D26" i="29"/>
  <c r="E25" i="29"/>
  <c r="D87" i="29"/>
  <c r="D66" i="29"/>
  <c r="D73" i="29"/>
  <c r="D57" i="29"/>
  <c r="D51" i="29"/>
  <c r="D42" i="29"/>
  <c r="D56" i="29"/>
  <c r="C38" i="29"/>
  <c r="C31" i="29"/>
  <c r="D33" i="29"/>
  <c r="K42" i="29"/>
  <c r="J32" i="29"/>
  <c r="J50" i="29"/>
  <c r="J88" i="29"/>
  <c r="J74" i="29"/>
  <c r="J92" i="29"/>
  <c r="J49" i="29"/>
  <c r="J43" i="29"/>
  <c r="J26" i="29"/>
  <c r="J66" i="29"/>
  <c r="J87" i="29"/>
  <c r="J73" i="29"/>
  <c r="J51" i="29"/>
  <c r="C28" i="29"/>
  <c r="D32" i="29"/>
  <c r="J57" i="29"/>
  <c r="I87" i="29"/>
  <c r="I53" i="29"/>
  <c r="I58" i="29"/>
  <c r="I88" i="29"/>
  <c r="J53" i="29"/>
  <c r="J58" i="29"/>
  <c r="I50" i="29"/>
  <c r="C53" i="29"/>
  <c r="K53" i="29"/>
  <c r="I56" i="29"/>
  <c r="C58" i="29"/>
  <c r="K58" i="29"/>
  <c r="J56" i="29"/>
  <c r="C56" i="29"/>
  <c r="D61" i="27"/>
  <c r="E61" i="27"/>
  <c r="C61" i="27"/>
  <c r="C66" i="27" s="1"/>
  <c r="L93" i="27"/>
  <c r="K93" i="27"/>
  <c r="J93" i="27"/>
  <c r="I93" i="27"/>
  <c r="H93" i="27"/>
  <c r="L92" i="27"/>
  <c r="K92" i="27"/>
  <c r="J92" i="27"/>
  <c r="I92" i="27"/>
  <c r="H92" i="27"/>
  <c r="C92" i="27"/>
  <c r="L90" i="27"/>
  <c r="K90" i="27"/>
  <c r="J90" i="27"/>
  <c r="I90" i="27"/>
  <c r="H90" i="27"/>
  <c r="L89" i="27"/>
  <c r="K89" i="27"/>
  <c r="J89" i="27"/>
  <c r="I89" i="27"/>
  <c r="H89" i="27"/>
  <c r="A88" i="27"/>
  <c r="L88" i="27" s="1"/>
  <c r="H87" i="27"/>
  <c r="A87" i="27"/>
  <c r="L87" i="27" s="1"/>
  <c r="K86" i="27"/>
  <c r="I86" i="27"/>
  <c r="H86" i="27"/>
  <c r="A86" i="27"/>
  <c r="J86" i="27" s="1"/>
  <c r="S85" i="27"/>
  <c r="P85" i="27" s="1"/>
  <c r="H85" i="27"/>
  <c r="A85" i="27"/>
  <c r="L85" i="27" s="1"/>
  <c r="S84" i="27"/>
  <c r="P84" i="27"/>
  <c r="A84" i="27"/>
  <c r="L84" i="27" s="1"/>
  <c r="S83" i="27"/>
  <c r="P83" i="27"/>
  <c r="A83" i="27"/>
  <c r="I83" i="27" s="1"/>
  <c r="S82" i="27"/>
  <c r="P82" i="27"/>
  <c r="S81" i="27"/>
  <c r="P81" i="27" s="1"/>
  <c r="A81" i="27"/>
  <c r="S80" i="27"/>
  <c r="P80" i="27" s="1"/>
  <c r="A80" i="27"/>
  <c r="S79" i="27"/>
  <c r="P79" i="27"/>
  <c r="A79" i="27"/>
  <c r="S78" i="27"/>
  <c r="P78" i="27"/>
  <c r="A78" i="27"/>
  <c r="A77" i="27"/>
  <c r="A76" i="27"/>
  <c r="L74" i="27"/>
  <c r="K74" i="27"/>
  <c r="I74" i="27"/>
  <c r="C74" i="27"/>
  <c r="A74" i="27"/>
  <c r="J74" i="27" s="1"/>
  <c r="A73" i="27"/>
  <c r="I73" i="27" s="1"/>
  <c r="A72" i="27"/>
  <c r="L72" i="27" s="1"/>
  <c r="H71" i="27"/>
  <c r="A71" i="27"/>
  <c r="L71" i="27" s="1"/>
  <c r="K70" i="27"/>
  <c r="I70" i="27"/>
  <c r="H70" i="27"/>
  <c r="A70" i="27"/>
  <c r="J70" i="27" s="1"/>
  <c r="L69" i="27"/>
  <c r="K69" i="27"/>
  <c r="H69" i="27"/>
  <c r="A69" i="27"/>
  <c r="J69" i="27" s="1"/>
  <c r="L66" i="27"/>
  <c r="K66" i="27"/>
  <c r="J66" i="27"/>
  <c r="I66" i="27"/>
  <c r="H66" i="27"/>
  <c r="M65" i="27"/>
  <c r="A65" i="27"/>
  <c r="M64" i="27"/>
  <c r="A64" i="27"/>
  <c r="M63" i="27"/>
  <c r="A63" i="27"/>
  <c r="M62" i="27"/>
  <c r="A62" i="27"/>
  <c r="A61" i="27"/>
  <c r="M60" i="27"/>
  <c r="A60" i="27"/>
  <c r="L58" i="27"/>
  <c r="I58" i="27"/>
  <c r="D58" i="27"/>
  <c r="A58" i="27"/>
  <c r="K58" i="27" s="1"/>
  <c r="A57" i="27"/>
  <c r="I57" i="27" s="1"/>
  <c r="A56" i="27"/>
  <c r="L56" i="27" s="1"/>
  <c r="J55" i="27"/>
  <c r="H55" i="27"/>
  <c r="A55" i="27"/>
  <c r="L55" i="27" s="1"/>
  <c r="L54" i="27"/>
  <c r="I54" i="27"/>
  <c r="A54" i="27"/>
  <c r="K54" i="27" s="1"/>
  <c r="L53" i="27"/>
  <c r="I53" i="27"/>
  <c r="A53" i="27"/>
  <c r="K53" i="27" s="1"/>
  <c r="A51" i="27"/>
  <c r="I51" i="27" s="1"/>
  <c r="A50" i="27"/>
  <c r="L50" i="27" s="1"/>
  <c r="H49" i="27"/>
  <c r="A49" i="27"/>
  <c r="L49" i="27" s="1"/>
  <c r="K48" i="27"/>
  <c r="H48" i="27"/>
  <c r="A48" i="27"/>
  <c r="J48" i="27" s="1"/>
  <c r="L47" i="27"/>
  <c r="B47" i="27"/>
  <c r="A47" i="27"/>
  <c r="K47" i="27" s="1"/>
  <c r="L46" i="27"/>
  <c r="K46" i="27"/>
  <c r="J46" i="27"/>
  <c r="I46" i="27"/>
  <c r="H46" i="27"/>
  <c r="A46" i="27"/>
  <c r="L44" i="27"/>
  <c r="K44" i="27"/>
  <c r="J44" i="27"/>
  <c r="I44" i="27"/>
  <c r="H44" i="27"/>
  <c r="H43" i="27"/>
  <c r="E43" i="27"/>
  <c r="A43" i="27"/>
  <c r="L43" i="27" s="1"/>
  <c r="K42" i="27"/>
  <c r="I42" i="27"/>
  <c r="H42" i="27"/>
  <c r="C42" i="27"/>
  <c r="A42" i="27"/>
  <c r="J42" i="27" s="1"/>
  <c r="L41" i="27"/>
  <c r="K41" i="27"/>
  <c r="I41" i="27"/>
  <c r="H41" i="27"/>
  <c r="A41" i="27"/>
  <c r="J41" i="27" s="1"/>
  <c r="L40" i="27"/>
  <c r="K40" i="27"/>
  <c r="I40" i="27"/>
  <c r="H40" i="27"/>
  <c r="A40" i="27"/>
  <c r="J40" i="27" s="1"/>
  <c r="I39" i="27"/>
  <c r="A39" i="27"/>
  <c r="K39" i="27" s="1"/>
  <c r="L38" i="27"/>
  <c r="I38" i="27"/>
  <c r="A38" i="27"/>
  <c r="K38" i="27" s="1"/>
  <c r="L37" i="27"/>
  <c r="K37" i="27"/>
  <c r="J37" i="27"/>
  <c r="I37" i="27"/>
  <c r="H37" i="27"/>
  <c r="L36" i="27"/>
  <c r="K36" i="27"/>
  <c r="J36" i="27"/>
  <c r="I36" i="27"/>
  <c r="C36" i="27"/>
  <c r="B36" i="27"/>
  <c r="L35" i="27"/>
  <c r="K35" i="27"/>
  <c r="J35" i="27"/>
  <c r="I35" i="27"/>
  <c r="H35" i="27"/>
  <c r="C35" i="27"/>
  <c r="L33" i="27"/>
  <c r="K33" i="27"/>
  <c r="I33" i="27"/>
  <c r="H33" i="27"/>
  <c r="C33" i="27"/>
  <c r="A33" i="27"/>
  <c r="J33" i="27" s="1"/>
  <c r="I32" i="27"/>
  <c r="A32" i="27"/>
  <c r="K32" i="27" s="1"/>
  <c r="L31" i="27"/>
  <c r="I31" i="27"/>
  <c r="A31" i="27"/>
  <c r="K31" i="27" s="1"/>
  <c r="A30" i="27"/>
  <c r="I30" i="27" s="1"/>
  <c r="L29" i="27"/>
  <c r="K29" i="27"/>
  <c r="J29" i="27"/>
  <c r="H29" i="27"/>
  <c r="C29" i="27"/>
  <c r="A29" i="27"/>
  <c r="I29" i="27" s="1"/>
  <c r="B28" i="27"/>
  <c r="A28" i="27"/>
  <c r="H28" i="27" s="1"/>
  <c r="L27" i="27"/>
  <c r="K27" i="27"/>
  <c r="J27" i="27"/>
  <c r="I27" i="27"/>
  <c r="H27" i="27"/>
  <c r="C27" i="27"/>
  <c r="B27" i="27"/>
  <c r="L26" i="27"/>
  <c r="K26" i="27"/>
  <c r="J26" i="27"/>
  <c r="I26" i="27"/>
  <c r="H26" i="27"/>
  <c r="H36" i="27" s="1"/>
  <c r="E26" i="27"/>
  <c r="C26" i="27"/>
  <c r="E25" i="27"/>
  <c r="D25" i="27"/>
  <c r="I92" i="26"/>
  <c r="C92" i="26"/>
  <c r="A88" i="26"/>
  <c r="C88" i="26" s="1"/>
  <c r="I87" i="26"/>
  <c r="A87" i="26"/>
  <c r="C87" i="26" s="1"/>
  <c r="A86" i="26"/>
  <c r="S85" i="26"/>
  <c r="P85" i="26"/>
  <c r="A85" i="26"/>
  <c r="S84" i="26"/>
  <c r="P84" i="26"/>
  <c r="A84" i="26"/>
  <c r="S83" i="26"/>
  <c r="P83" i="26" s="1"/>
  <c r="A83" i="26"/>
  <c r="S82" i="26"/>
  <c r="P82" i="26" s="1"/>
  <c r="S81" i="26"/>
  <c r="P81" i="26" s="1"/>
  <c r="A81" i="26"/>
  <c r="S80" i="26"/>
  <c r="P80" i="26"/>
  <c r="A80" i="26"/>
  <c r="S79" i="26"/>
  <c r="P79" i="26" s="1"/>
  <c r="A79" i="26"/>
  <c r="S78" i="26"/>
  <c r="P78" i="26"/>
  <c r="A78" i="26"/>
  <c r="A77" i="26"/>
  <c r="A76" i="26"/>
  <c r="C74" i="26"/>
  <c r="A74" i="26"/>
  <c r="I74" i="26" s="1"/>
  <c r="I73" i="26"/>
  <c r="A73" i="26"/>
  <c r="C73" i="26" s="1"/>
  <c r="A72" i="26"/>
  <c r="A71" i="26"/>
  <c r="A70" i="26"/>
  <c r="A69" i="26"/>
  <c r="I66" i="26"/>
  <c r="C66" i="26"/>
  <c r="M65" i="26"/>
  <c r="A65" i="26"/>
  <c r="M64" i="26"/>
  <c r="A64" i="26"/>
  <c r="M63" i="26"/>
  <c r="A63" i="26"/>
  <c r="M62" i="26"/>
  <c r="A62" i="26"/>
  <c r="M61" i="26"/>
  <c r="A61" i="26"/>
  <c r="M60" i="26"/>
  <c r="A60" i="26"/>
  <c r="C58" i="26"/>
  <c r="A58" i="26"/>
  <c r="I57" i="26"/>
  <c r="A57" i="26"/>
  <c r="I56" i="26"/>
  <c r="D56" i="26"/>
  <c r="A56" i="26"/>
  <c r="A55" i="26"/>
  <c r="A54" i="26"/>
  <c r="C53" i="26"/>
  <c r="A53" i="26"/>
  <c r="I51" i="26"/>
  <c r="A51" i="26"/>
  <c r="C51" i="26" s="1"/>
  <c r="I50" i="26"/>
  <c r="C50" i="26"/>
  <c r="A50" i="26"/>
  <c r="I49" i="26"/>
  <c r="D49" i="26"/>
  <c r="C49" i="26"/>
  <c r="A49" i="26"/>
  <c r="A48" i="26"/>
  <c r="B47" i="26"/>
  <c r="A47" i="26"/>
  <c r="A46" i="26"/>
  <c r="D43" i="26"/>
  <c r="C43" i="26"/>
  <c r="A43" i="26"/>
  <c r="I43" i="26" s="1"/>
  <c r="A42" i="26"/>
  <c r="I42" i="26" s="1"/>
  <c r="A41" i="26"/>
  <c r="A40" i="26"/>
  <c r="A39" i="26"/>
  <c r="A38" i="26"/>
  <c r="C36" i="26"/>
  <c r="B36" i="26"/>
  <c r="C35" i="26"/>
  <c r="I33" i="26"/>
  <c r="C33" i="26"/>
  <c r="A33" i="26"/>
  <c r="C32" i="26"/>
  <c r="A32" i="26"/>
  <c r="J32" i="26" s="1"/>
  <c r="C31" i="26"/>
  <c r="A31" i="26"/>
  <c r="A30" i="26"/>
  <c r="C30" i="26" s="1"/>
  <c r="A29" i="26"/>
  <c r="C29" i="26" s="1"/>
  <c r="B28" i="26"/>
  <c r="A28" i="26"/>
  <c r="C28" i="26" s="1"/>
  <c r="C27" i="26"/>
  <c r="B27" i="26"/>
  <c r="I26" i="26"/>
  <c r="D26" i="26"/>
  <c r="C26" i="26"/>
  <c r="C56" i="26" s="1"/>
  <c r="E25" i="26"/>
  <c r="E74" i="26" s="1"/>
  <c r="D25" i="26"/>
  <c r="D50" i="26" s="1"/>
  <c r="I92" i="25"/>
  <c r="E92" i="25"/>
  <c r="C92" i="25"/>
  <c r="E88" i="25"/>
  <c r="C88" i="25"/>
  <c r="A88" i="25"/>
  <c r="I88" i="25" s="1"/>
  <c r="A87" i="25"/>
  <c r="A86" i="25"/>
  <c r="S85" i="25"/>
  <c r="P85" i="25" s="1"/>
  <c r="A85" i="25"/>
  <c r="S84" i="25"/>
  <c r="P84" i="25"/>
  <c r="A84" i="25"/>
  <c r="S83" i="25"/>
  <c r="P83" i="25" s="1"/>
  <c r="A83" i="25"/>
  <c r="S82" i="25"/>
  <c r="P82" i="25"/>
  <c r="S81" i="25"/>
  <c r="P81" i="25" s="1"/>
  <c r="A81" i="25"/>
  <c r="S80" i="25"/>
  <c r="P80" i="25" s="1"/>
  <c r="A80" i="25"/>
  <c r="S79" i="25"/>
  <c r="P79" i="25"/>
  <c r="A79" i="25"/>
  <c r="S78" i="25"/>
  <c r="P78" i="25"/>
  <c r="A78" i="25"/>
  <c r="A77" i="25"/>
  <c r="A76" i="25"/>
  <c r="D74" i="25"/>
  <c r="C74" i="25"/>
  <c r="A74" i="25"/>
  <c r="I74" i="25" s="1"/>
  <c r="A73" i="25"/>
  <c r="A72" i="25"/>
  <c r="A71" i="25"/>
  <c r="A70" i="25"/>
  <c r="A69" i="25"/>
  <c r="I66" i="25"/>
  <c r="F66" i="25"/>
  <c r="E66" i="25"/>
  <c r="C66" i="25"/>
  <c r="M65" i="25"/>
  <c r="A65" i="25"/>
  <c r="M64" i="25"/>
  <c r="A64" i="25"/>
  <c r="M63" i="25"/>
  <c r="A63" i="25"/>
  <c r="M62" i="25"/>
  <c r="A62" i="25"/>
  <c r="M61" i="25"/>
  <c r="A61" i="25"/>
  <c r="M60" i="25"/>
  <c r="A60" i="25"/>
  <c r="D58" i="25"/>
  <c r="C58" i="25"/>
  <c r="A58" i="25"/>
  <c r="A57" i="25"/>
  <c r="C56" i="25"/>
  <c r="A56" i="25"/>
  <c r="A55" i="25"/>
  <c r="A54" i="25"/>
  <c r="I53" i="25"/>
  <c r="D53" i="25"/>
  <c r="A53" i="25"/>
  <c r="A51" i="25"/>
  <c r="I51" i="25" s="1"/>
  <c r="A50" i="25"/>
  <c r="D50" i="25" s="1"/>
  <c r="F49" i="25"/>
  <c r="E49" i="25"/>
  <c r="A49" i="25"/>
  <c r="C49" i="25" s="1"/>
  <c r="A48" i="25"/>
  <c r="B47" i="25"/>
  <c r="A47" i="25"/>
  <c r="A46" i="25"/>
  <c r="E43" i="25"/>
  <c r="A43" i="25"/>
  <c r="C43" i="25" s="1"/>
  <c r="A42" i="25"/>
  <c r="A41" i="25"/>
  <c r="A40" i="25"/>
  <c r="A39" i="25"/>
  <c r="A38" i="25"/>
  <c r="C36" i="25"/>
  <c r="B36" i="25"/>
  <c r="C35" i="25"/>
  <c r="I33" i="25"/>
  <c r="C33" i="25"/>
  <c r="A33" i="25"/>
  <c r="A32" i="25"/>
  <c r="C31" i="25"/>
  <c r="A31" i="25"/>
  <c r="A30" i="25"/>
  <c r="B27" i="25"/>
  <c r="A29" i="25"/>
  <c r="B28" i="25"/>
  <c r="A28" i="25"/>
  <c r="C28" i="25" s="1"/>
  <c r="C27" i="25"/>
  <c r="I26" i="25"/>
  <c r="F26" i="25"/>
  <c r="E26" i="25"/>
  <c r="E53" i="25" s="1"/>
  <c r="D26" i="25"/>
  <c r="C26" i="25"/>
  <c r="C53" i="25" s="1"/>
  <c r="J25" i="25"/>
  <c r="F25" i="25"/>
  <c r="F43" i="25" s="1"/>
  <c r="E25" i="25"/>
  <c r="E74" i="25" s="1"/>
  <c r="D25" i="25"/>
  <c r="I92" i="24"/>
  <c r="C92" i="24"/>
  <c r="A88" i="24"/>
  <c r="C88" i="24" s="1"/>
  <c r="A87" i="24"/>
  <c r="A86" i="24"/>
  <c r="S85" i="24"/>
  <c r="P85" i="24"/>
  <c r="A85" i="24"/>
  <c r="S84" i="24"/>
  <c r="P84" i="24"/>
  <c r="A84" i="24"/>
  <c r="S83" i="24"/>
  <c r="P83" i="24" s="1"/>
  <c r="A83" i="24"/>
  <c r="S82" i="24"/>
  <c r="P82" i="24" s="1"/>
  <c r="S81" i="24"/>
  <c r="P81" i="24" s="1"/>
  <c r="A81" i="24"/>
  <c r="S80" i="24"/>
  <c r="P80" i="24"/>
  <c r="A80" i="24"/>
  <c r="S79" i="24"/>
  <c r="P79" i="24"/>
  <c r="A79" i="24"/>
  <c r="S78" i="24"/>
  <c r="A78" i="24"/>
  <c r="A77" i="24"/>
  <c r="A76" i="24"/>
  <c r="I74" i="24"/>
  <c r="C74" i="24"/>
  <c r="A74" i="24"/>
  <c r="A73" i="24"/>
  <c r="A72" i="24"/>
  <c r="A71" i="24"/>
  <c r="A70" i="24"/>
  <c r="A69" i="24"/>
  <c r="I66" i="24"/>
  <c r="C66" i="24"/>
  <c r="M65" i="24"/>
  <c r="A65" i="24"/>
  <c r="M64" i="24"/>
  <c r="A64" i="24"/>
  <c r="M63" i="24"/>
  <c r="A63" i="24"/>
  <c r="M62" i="24"/>
  <c r="A62" i="24"/>
  <c r="M61" i="24"/>
  <c r="A61" i="24"/>
  <c r="M60" i="24"/>
  <c r="A60" i="24"/>
  <c r="I58" i="24"/>
  <c r="A58" i="24"/>
  <c r="A57" i="24"/>
  <c r="A56" i="24"/>
  <c r="A55" i="24"/>
  <c r="A54" i="24"/>
  <c r="A53" i="24"/>
  <c r="I51" i="24"/>
  <c r="A51" i="24"/>
  <c r="C51" i="24" s="1"/>
  <c r="A50" i="24"/>
  <c r="C50" i="24" s="1"/>
  <c r="A49" i="24"/>
  <c r="C49" i="24" s="1"/>
  <c r="A48" i="24"/>
  <c r="B47" i="24"/>
  <c r="A47" i="24"/>
  <c r="A46" i="24"/>
  <c r="I43" i="24"/>
  <c r="C43" i="24"/>
  <c r="A43" i="24"/>
  <c r="A42" i="24"/>
  <c r="A41" i="24"/>
  <c r="A40" i="24"/>
  <c r="A39" i="24"/>
  <c r="A38" i="24"/>
  <c r="C36" i="24"/>
  <c r="C37" i="24" s="1"/>
  <c r="C39" i="24" s="1"/>
  <c r="B36" i="24"/>
  <c r="C35" i="24"/>
  <c r="I33" i="24"/>
  <c r="A33" i="24"/>
  <c r="C33" i="24" s="1"/>
  <c r="A32" i="24"/>
  <c r="C32" i="24" s="1"/>
  <c r="A31" i="24"/>
  <c r="C31" i="24" s="1"/>
  <c r="A30" i="24"/>
  <c r="C30" i="24" s="1"/>
  <c r="A29" i="24"/>
  <c r="C29" i="24" s="1"/>
  <c r="B28" i="24"/>
  <c r="B27" i="24" s="1"/>
  <c r="A28" i="24"/>
  <c r="C27" i="24"/>
  <c r="I26" i="24"/>
  <c r="C26" i="24"/>
  <c r="M61" i="21"/>
  <c r="E25" i="21"/>
  <c r="E26" i="21" s="1"/>
  <c r="E56" i="21" s="1"/>
  <c r="F25" i="21"/>
  <c r="G25" i="21"/>
  <c r="D25" i="21"/>
  <c r="D92" i="21"/>
  <c r="C92" i="21"/>
  <c r="E88" i="21"/>
  <c r="A88" i="21"/>
  <c r="A87" i="21"/>
  <c r="A86" i="21"/>
  <c r="S85" i="21"/>
  <c r="P85" i="21" s="1"/>
  <c r="A85" i="21"/>
  <c r="S84" i="21"/>
  <c r="P84" i="21"/>
  <c r="A84" i="21"/>
  <c r="S83" i="21"/>
  <c r="P83" i="21"/>
  <c r="A83" i="21"/>
  <c r="S82" i="21"/>
  <c r="P82" i="21"/>
  <c r="S81" i="21"/>
  <c r="P81" i="21" s="1"/>
  <c r="A81" i="21"/>
  <c r="S80" i="21"/>
  <c r="P80" i="21" s="1"/>
  <c r="A80" i="21"/>
  <c r="S79" i="21"/>
  <c r="P79" i="21"/>
  <c r="A79" i="21"/>
  <c r="S78" i="21"/>
  <c r="P78" i="21"/>
  <c r="A78" i="21"/>
  <c r="A77" i="21"/>
  <c r="A76" i="21"/>
  <c r="E74" i="21"/>
  <c r="C74" i="21"/>
  <c r="A74" i="21"/>
  <c r="A73" i="21"/>
  <c r="A72" i="21"/>
  <c r="A71" i="21"/>
  <c r="A70" i="21"/>
  <c r="A69" i="21"/>
  <c r="E66" i="21"/>
  <c r="D66" i="21"/>
  <c r="C66" i="21"/>
  <c r="M65" i="21"/>
  <c r="A65" i="21"/>
  <c r="M64" i="21"/>
  <c r="A64" i="21"/>
  <c r="M63" i="21"/>
  <c r="A63" i="21"/>
  <c r="M62" i="21"/>
  <c r="A62" i="21"/>
  <c r="A61" i="21"/>
  <c r="M60" i="21"/>
  <c r="A60" i="21"/>
  <c r="A58" i="21"/>
  <c r="B57" i="21"/>
  <c r="A57" i="21"/>
  <c r="A56" i="21"/>
  <c r="A55" i="21"/>
  <c r="A54" i="21"/>
  <c r="C53" i="21"/>
  <c r="A53" i="21"/>
  <c r="A51" i="21"/>
  <c r="E50" i="21"/>
  <c r="A50" i="21"/>
  <c r="A49" i="21"/>
  <c r="D49" i="21" s="1"/>
  <c r="A48" i="21"/>
  <c r="B47" i="21"/>
  <c r="A47" i="21"/>
  <c r="A46" i="21"/>
  <c r="D43" i="21"/>
  <c r="A43" i="21"/>
  <c r="A42" i="21"/>
  <c r="A41" i="21"/>
  <c r="A40" i="21"/>
  <c r="A39" i="21"/>
  <c r="A38" i="21"/>
  <c r="C36" i="21"/>
  <c r="B36" i="21"/>
  <c r="C35" i="21"/>
  <c r="E33" i="21"/>
  <c r="D33" i="21"/>
  <c r="C33" i="21"/>
  <c r="A33" i="21"/>
  <c r="A32" i="21"/>
  <c r="C31" i="21"/>
  <c r="A31" i="21"/>
  <c r="A30" i="21"/>
  <c r="A29" i="21"/>
  <c r="B28" i="21"/>
  <c r="A28" i="21"/>
  <c r="C27" i="21"/>
  <c r="B27" i="21"/>
  <c r="D26" i="21"/>
  <c r="D53" i="21" s="1"/>
  <c r="C26" i="21"/>
  <c r="C80" i="30" l="1"/>
  <c r="C87" i="30" s="1"/>
  <c r="D32" i="30" s="1"/>
  <c r="C71" i="30"/>
  <c r="C85" i="30" s="1"/>
  <c r="C72" i="30"/>
  <c r="C86" i="30" s="1"/>
  <c r="D31" i="30" s="1"/>
  <c r="E74" i="29"/>
  <c r="E49" i="29"/>
  <c r="E43" i="29"/>
  <c r="E92" i="29"/>
  <c r="E87" i="29"/>
  <c r="E66" i="29"/>
  <c r="E33" i="29"/>
  <c r="E57" i="29"/>
  <c r="E51" i="29"/>
  <c r="E73" i="29"/>
  <c r="E80" i="29" s="1"/>
  <c r="E48" i="29"/>
  <c r="E42" i="29"/>
  <c r="E50" i="29"/>
  <c r="E88" i="29"/>
  <c r="F25" i="29"/>
  <c r="E26" i="29"/>
  <c r="E32" i="29"/>
  <c r="D53" i="29"/>
  <c r="C41" i="29"/>
  <c r="C72" i="29" s="1"/>
  <c r="C86" i="29" s="1"/>
  <c r="D31" i="29" s="1"/>
  <c r="E58" i="29"/>
  <c r="L88" i="29"/>
  <c r="L58" i="29"/>
  <c r="L74" i="29"/>
  <c r="L92" i="29"/>
  <c r="L49" i="29"/>
  <c r="L43" i="29"/>
  <c r="L26" i="29"/>
  <c r="L87" i="29"/>
  <c r="L66" i="29"/>
  <c r="L73" i="29"/>
  <c r="L57" i="29"/>
  <c r="L51" i="29"/>
  <c r="L42" i="29"/>
  <c r="L56" i="29"/>
  <c r="L50" i="29"/>
  <c r="L48" i="29"/>
  <c r="L32" i="29"/>
  <c r="L33" i="29"/>
  <c r="B55" i="29"/>
  <c r="B48" i="29"/>
  <c r="E47" i="29" s="1"/>
  <c r="M61" i="27"/>
  <c r="C44" i="27"/>
  <c r="C77" i="27"/>
  <c r="C93" i="27" s="1"/>
  <c r="I28" i="27"/>
  <c r="L39" i="27"/>
  <c r="J73" i="27"/>
  <c r="J83" i="27"/>
  <c r="E88" i="27"/>
  <c r="F25" i="27"/>
  <c r="J28" i="27"/>
  <c r="C30" i="27"/>
  <c r="K30" i="27"/>
  <c r="H31" i="27"/>
  <c r="E32" i="27"/>
  <c r="C37" i="27"/>
  <c r="H38" i="27"/>
  <c r="D42" i="27"/>
  <c r="L42" i="27"/>
  <c r="I43" i="27"/>
  <c r="H47" i="27"/>
  <c r="L48" i="27"/>
  <c r="I49" i="27"/>
  <c r="C51" i="27"/>
  <c r="K51" i="27"/>
  <c r="H53" i="27"/>
  <c r="I55" i="27"/>
  <c r="C57" i="27"/>
  <c r="K57" i="27"/>
  <c r="H58" i="27"/>
  <c r="L70" i="27"/>
  <c r="I71" i="27"/>
  <c r="C73" i="27"/>
  <c r="K73" i="27"/>
  <c r="K80" i="27" s="1"/>
  <c r="H74" i="27"/>
  <c r="K83" i="27"/>
  <c r="I85" i="27"/>
  <c r="L86" i="27"/>
  <c r="I87" i="27"/>
  <c r="K28" i="27"/>
  <c r="E42" i="27"/>
  <c r="J43" i="27"/>
  <c r="I47" i="27"/>
  <c r="J49" i="27"/>
  <c r="D51" i="27"/>
  <c r="L51" i="27"/>
  <c r="D57" i="27"/>
  <c r="L57" i="27"/>
  <c r="J71" i="27"/>
  <c r="D73" i="27"/>
  <c r="L73" i="27"/>
  <c r="L83" i="27"/>
  <c r="J85" i="27"/>
  <c r="J87" i="27"/>
  <c r="L32" i="27"/>
  <c r="E56" i="27"/>
  <c r="C28" i="27"/>
  <c r="L30" i="27"/>
  <c r="L28" i="27"/>
  <c r="J31" i="27"/>
  <c r="D33" i="27"/>
  <c r="J38" i="27"/>
  <c r="C43" i="27"/>
  <c r="K43" i="27"/>
  <c r="J47" i="27"/>
  <c r="C49" i="27"/>
  <c r="K49" i="27"/>
  <c r="H50" i="27"/>
  <c r="E51" i="27"/>
  <c r="J53" i="27"/>
  <c r="K55" i="27"/>
  <c r="H56" i="27"/>
  <c r="E57" i="27"/>
  <c r="J58" i="27"/>
  <c r="D66" i="27"/>
  <c r="I69" i="27"/>
  <c r="K71" i="27"/>
  <c r="H72" i="27"/>
  <c r="E73" i="27"/>
  <c r="E80" i="27" s="1"/>
  <c r="H84" i="27"/>
  <c r="K85" i="27"/>
  <c r="C87" i="27"/>
  <c r="K87" i="27"/>
  <c r="H88" i="27"/>
  <c r="J30" i="27"/>
  <c r="D32" i="27"/>
  <c r="E50" i="27"/>
  <c r="J51" i="27"/>
  <c r="J57" i="27"/>
  <c r="D26" i="27"/>
  <c r="C31" i="27"/>
  <c r="H32" i="27"/>
  <c r="E33" i="27"/>
  <c r="H39" i="27"/>
  <c r="D43" i="27"/>
  <c r="D49" i="27"/>
  <c r="I50" i="27"/>
  <c r="C53" i="27"/>
  <c r="H54" i="27"/>
  <c r="I56" i="27"/>
  <c r="F57" i="27"/>
  <c r="C58" i="27"/>
  <c r="E66" i="27"/>
  <c r="I72" i="27"/>
  <c r="I84" i="27"/>
  <c r="D87" i="27"/>
  <c r="I88" i="27"/>
  <c r="E49" i="27"/>
  <c r="J50" i="27"/>
  <c r="J56" i="27"/>
  <c r="J72" i="27"/>
  <c r="D74" i="27"/>
  <c r="J84" i="27"/>
  <c r="E87" i="27"/>
  <c r="J88" i="27"/>
  <c r="D92" i="27"/>
  <c r="H30" i="27"/>
  <c r="I48" i="27"/>
  <c r="C50" i="27"/>
  <c r="K50" i="27"/>
  <c r="H51" i="27"/>
  <c r="E53" i="27"/>
  <c r="J54" i="27"/>
  <c r="C56" i="27"/>
  <c r="K56" i="27"/>
  <c r="H57" i="27"/>
  <c r="E58" i="27"/>
  <c r="K72" i="27"/>
  <c r="H73" i="27"/>
  <c r="H80" i="27" s="1"/>
  <c r="E74" i="27"/>
  <c r="H83" i="27"/>
  <c r="K84" i="27"/>
  <c r="C88" i="27"/>
  <c r="K88" i="27"/>
  <c r="E92" i="27"/>
  <c r="J32" i="27"/>
  <c r="J39" i="27"/>
  <c r="C32" i="27"/>
  <c r="C39" i="27"/>
  <c r="D50" i="27"/>
  <c r="D56" i="27"/>
  <c r="D88" i="27"/>
  <c r="C44" i="26"/>
  <c r="C77" i="26"/>
  <c r="C93" i="26" s="1"/>
  <c r="E88" i="26"/>
  <c r="D32" i="26"/>
  <c r="C42" i="26"/>
  <c r="E50" i="26"/>
  <c r="J51" i="26"/>
  <c r="J57" i="26"/>
  <c r="J73" i="26"/>
  <c r="E32" i="26"/>
  <c r="J33" i="26"/>
  <c r="C37" i="26"/>
  <c r="C40" i="26" s="1"/>
  <c r="D42" i="26"/>
  <c r="C57" i="26"/>
  <c r="J66" i="26"/>
  <c r="J87" i="26"/>
  <c r="J26" i="26"/>
  <c r="E42" i="26"/>
  <c r="J43" i="26"/>
  <c r="J49" i="26"/>
  <c r="D51" i="26"/>
  <c r="I53" i="26"/>
  <c r="D57" i="26"/>
  <c r="I58" i="26"/>
  <c r="D73" i="26"/>
  <c r="J92" i="26"/>
  <c r="D33" i="26"/>
  <c r="E51" i="26"/>
  <c r="J53" i="26"/>
  <c r="E57" i="26"/>
  <c r="J58" i="26"/>
  <c r="D66" i="26"/>
  <c r="E73" i="26"/>
  <c r="E80" i="26" s="1"/>
  <c r="J74" i="26"/>
  <c r="D87" i="26"/>
  <c r="I88" i="26"/>
  <c r="E33" i="26"/>
  <c r="E66" i="26"/>
  <c r="E87" i="26"/>
  <c r="J88" i="26"/>
  <c r="D92" i="26"/>
  <c r="J42" i="26"/>
  <c r="F25" i="26"/>
  <c r="E26" i="26"/>
  <c r="I32" i="26"/>
  <c r="E43" i="26"/>
  <c r="E49" i="26"/>
  <c r="J50" i="26"/>
  <c r="D53" i="26"/>
  <c r="D58" i="26"/>
  <c r="D74" i="26"/>
  <c r="E92" i="26"/>
  <c r="E53" i="26"/>
  <c r="E58" i="26"/>
  <c r="D88" i="26"/>
  <c r="C50" i="25"/>
  <c r="E50" i="25"/>
  <c r="C29" i="25"/>
  <c r="G25" i="25"/>
  <c r="G58" i="25" s="1"/>
  <c r="C30" i="25"/>
  <c r="E56" i="25"/>
  <c r="C39" i="25"/>
  <c r="J88" i="25"/>
  <c r="J50" i="25"/>
  <c r="J74" i="25"/>
  <c r="J92" i="25"/>
  <c r="J66" i="25"/>
  <c r="J49" i="25"/>
  <c r="J43" i="25"/>
  <c r="J26" i="25"/>
  <c r="J33" i="25"/>
  <c r="K25" i="25"/>
  <c r="J51" i="25"/>
  <c r="J58" i="25"/>
  <c r="F92" i="25"/>
  <c r="F53" i="25"/>
  <c r="F33" i="25"/>
  <c r="F51" i="25"/>
  <c r="F58" i="25"/>
  <c r="F88" i="25"/>
  <c r="F50" i="25"/>
  <c r="F74" i="25"/>
  <c r="C32" i="25"/>
  <c r="C37" i="25"/>
  <c r="I43" i="25"/>
  <c r="I49" i="25"/>
  <c r="C51" i="25"/>
  <c r="F56" i="25"/>
  <c r="D51" i="25"/>
  <c r="C57" i="25"/>
  <c r="D33" i="25"/>
  <c r="E51" i="25"/>
  <c r="D57" i="25"/>
  <c r="I58" i="25"/>
  <c r="I57" i="25"/>
  <c r="E33" i="25"/>
  <c r="D43" i="25"/>
  <c r="D49" i="25"/>
  <c r="I50" i="25"/>
  <c r="I56" i="25"/>
  <c r="E57" i="25"/>
  <c r="D66" i="25"/>
  <c r="F57" i="25"/>
  <c r="D92" i="25"/>
  <c r="D56" i="25"/>
  <c r="E58" i="25"/>
  <c r="D88" i="25"/>
  <c r="I49" i="24"/>
  <c r="D50" i="24"/>
  <c r="C73" i="24"/>
  <c r="C87" i="24" s="1"/>
  <c r="D32" i="24" s="1"/>
  <c r="C40" i="24"/>
  <c r="C42" i="24"/>
  <c r="C44" i="24"/>
  <c r="B48" i="24" s="1"/>
  <c r="C93" i="24"/>
  <c r="C41" i="24"/>
  <c r="J33" i="24"/>
  <c r="J51" i="24"/>
  <c r="I57" i="24"/>
  <c r="J26" i="24"/>
  <c r="C28" i="24"/>
  <c r="C38" i="24" s="1"/>
  <c r="J43" i="24"/>
  <c r="J49" i="24"/>
  <c r="D51" i="24"/>
  <c r="I53" i="24"/>
  <c r="C57" i="24"/>
  <c r="J66" i="24"/>
  <c r="D33" i="24"/>
  <c r="J53" i="24"/>
  <c r="J92" i="24"/>
  <c r="E58" i="24"/>
  <c r="D26" i="24"/>
  <c r="D43" i="24"/>
  <c r="D49" i="24"/>
  <c r="I50" i="24"/>
  <c r="C53" i="24"/>
  <c r="I56" i="24"/>
  <c r="J58" i="24"/>
  <c r="D66" i="24"/>
  <c r="J74" i="24"/>
  <c r="I88" i="24"/>
  <c r="J50" i="24"/>
  <c r="J56" i="24"/>
  <c r="C58" i="24"/>
  <c r="K58" i="24"/>
  <c r="J88" i="24"/>
  <c r="D92" i="24"/>
  <c r="C56" i="24"/>
  <c r="C72" i="24" s="1"/>
  <c r="C86" i="24" s="1"/>
  <c r="D31" i="24" s="1"/>
  <c r="D58" i="24"/>
  <c r="D74" i="24"/>
  <c r="D88" i="24"/>
  <c r="E92" i="21"/>
  <c r="G33" i="21"/>
  <c r="G50" i="21"/>
  <c r="G66" i="21"/>
  <c r="F92" i="21"/>
  <c r="F33" i="21"/>
  <c r="F66" i="21"/>
  <c r="F26" i="21"/>
  <c r="F53" i="21" s="1"/>
  <c r="G56" i="21"/>
  <c r="G92" i="21"/>
  <c r="G26" i="21"/>
  <c r="G53" i="21" s="1"/>
  <c r="F51" i="21"/>
  <c r="H25" i="21"/>
  <c r="F58" i="21"/>
  <c r="F74" i="21"/>
  <c r="E51" i="21"/>
  <c r="C51" i="21"/>
  <c r="G51" i="21"/>
  <c r="C29" i="21"/>
  <c r="C49" i="21"/>
  <c r="C72" i="21" s="1"/>
  <c r="C86" i="21" s="1"/>
  <c r="D31" i="21" s="1"/>
  <c r="G49" i="21"/>
  <c r="F49" i="21"/>
  <c r="E49" i="21"/>
  <c r="D57" i="21"/>
  <c r="G57" i="21"/>
  <c r="C28" i="21"/>
  <c r="H49" i="21"/>
  <c r="D51" i="21"/>
  <c r="C57" i="21"/>
  <c r="C30" i="21"/>
  <c r="E57" i="21"/>
  <c r="C43" i="21"/>
  <c r="G43" i="21"/>
  <c r="F43" i="21"/>
  <c r="E43" i="21"/>
  <c r="G58" i="21"/>
  <c r="E58" i="21"/>
  <c r="D58" i="21"/>
  <c r="C58" i="21"/>
  <c r="E53" i="21"/>
  <c r="C37" i="21"/>
  <c r="C41" i="21" s="1"/>
  <c r="D74" i="21"/>
  <c r="F88" i="21"/>
  <c r="C50" i="21"/>
  <c r="C56" i="21"/>
  <c r="C32" i="21"/>
  <c r="D50" i="21"/>
  <c r="D56" i="21"/>
  <c r="G88" i="21"/>
  <c r="F50" i="21"/>
  <c r="F56" i="21"/>
  <c r="G74" i="21"/>
  <c r="C88" i="21"/>
  <c r="D88" i="21"/>
  <c r="E46" i="29" l="1"/>
  <c r="D95" i="30"/>
  <c r="D46" i="30"/>
  <c r="D57" i="30" s="1"/>
  <c r="D56" i="30" s="1"/>
  <c r="C91" i="30"/>
  <c r="D30" i="30"/>
  <c r="F92" i="29"/>
  <c r="F49" i="29"/>
  <c r="F43" i="29"/>
  <c r="F26" i="29"/>
  <c r="F53" i="29" s="1"/>
  <c r="G25" i="29"/>
  <c r="F87" i="29"/>
  <c r="F66" i="29"/>
  <c r="F73" i="29"/>
  <c r="F57" i="29"/>
  <c r="F51" i="29"/>
  <c r="F48" i="29"/>
  <c r="F42" i="29"/>
  <c r="F32" i="29"/>
  <c r="F88" i="29"/>
  <c r="F74" i="29"/>
  <c r="F33" i="29"/>
  <c r="F58" i="29"/>
  <c r="F50" i="29"/>
  <c r="F47" i="29"/>
  <c r="F46" i="29" s="1"/>
  <c r="E56" i="29"/>
  <c r="L47" i="29"/>
  <c r="L46" i="29" s="1"/>
  <c r="C47" i="29"/>
  <c r="D48" i="29"/>
  <c r="J47" i="29"/>
  <c r="J46" i="29" s="1"/>
  <c r="C48" i="29"/>
  <c r="C71" i="29" s="1"/>
  <c r="K47" i="29"/>
  <c r="K48" i="29"/>
  <c r="D47" i="29"/>
  <c r="D46" i="29" s="1"/>
  <c r="I48" i="29"/>
  <c r="J48" i="29"/>
  <c r="I47" i="29"/>
  <c r="I46" i="29" s="1"/>
  <c r="L53" i="29"/>
  <c r="E53" i="29"/>
  <c r="C72" i="27"/>
  <c r="C86" i="27" s="1"/>
  <c r="D31" i="27" s="1"/>
  <c r="B48" i="27"/>
  <c r="F48" i="27" s="1"/>
  <c r="B55" i="27"/>
  <c r="F92" i="27"/>
  <c r="F74" i="27"/>
  <c r="F58" i="27"/>
  <c r="F87" i="27"/>
  <c r="F49" i="27"/>
  <c r="F43" i="27"/>
  <c r="F26" i="27"/>
  <c r="F53" i="27" s="1"/>
  <c r="F66" i="27"/>
  <c r="F73" i="27"/>
  <c r="F51" i="27"/>
  <c r="F32" i="27"/>
  <c r="F42" i="27"/>
  <c r="G25" i="27"/>
  <c r="F33" i="27"/>
  <c r="F88" i="27"/>
  <c r="F50" i="27"/>
  <c r="D53" i="27"/>
  <c r="C55" i="27"/>
  <c r="C54" i="27" s="1"/>
  <c r="C41" i="27"/>
  <c r="C40" i="27"/>
  <c r="C38" i="27"/>
  <c r="C55" i="26"/>
  <c r="C54" i="26" s="1"/>
  <c r="B55" i="26"/>
  <c r="B48" i="26"/>
  <c r="F47" i="26" s="1"/>
  <c r="K50" i="26"/>
  <c r="K32" i="26"/>
  <c r="K88" i="26"/>
  <c r="K74" i="26"/>
  <c r="K58" i="26"/>
  <c r="K47" i="26"/>
  <c r="K92" i="26"/>
  <c r="K49" i="26"/>
  <c r="K43" i="26"/>
  <c r="K26" i="26"/>
  <c r="K87" i="26"/>
  <c r="K66" i="26"/>
  <c r="K33" i="26"/>
  <c r="K73" i="26"/>
  <c r="K80" i="26" s="1"/>
  <c r="K51" i="26"/>
  <c r="K48" i="26"/>
  <c r="K46" i="26"/>
  <c r="K42" i="26"/>
  <c r="C41" i="26"/>
  <c r="C72" i="26" s="1"/>
  <c r="C86" i="26" s="1"/>
  <c r="D31" i="26" s="1"/>
  <c r="J56" i="26"/>
  <c r="K57" i="26"/>
  <c r="E56" i="26"/>
  <c r="C38" i="26"/>
  <c r="C39" i="26"/>
  <c r="F92" i="26"/>
  <c r="F49" i="26"/>
  <c r="F43" i="26"/>
  <c r="F26" i="26"/>
  <c r="G25" i="26"/>
  <c r="F87" i="26"/>
  <c r="F66" i="26"/>
  <c r="F33" i="26"/>
  <c r="F73" i="26"/>
  <c r="F57" i="26"/>
  <c r="F51" i="26"/>
  <c r="F42" i="26"/>
  <c r="F32" i="26"/>
  <c r="F50" i="26"/>
  <c r="F74" i="26"/>
  <c r="F58" i="26"/>
  <c r="F53" i="26"/>
  <c r="F88" i="26"/>
  <c r="C41" i="25"/>
  <c r="C72" i="25" s="1"/>
  <c r="C86" i="25" s="1"/>
  <c r="D31" i="25" s="1"/>
  <c r="C38" i="25"/>
  <c r="C40" i="25"/>
  <c r="C42" i="25"/>
  <c r="C73" i="25"/>
  <c r="C87" i="25" s="1"/>
  <c r="D32" i="25" s="1"/>
  <c r="J56" i="25"/>
  <c r="J53" i="25"/>
  <c r="C44" i="25"/>
  <c r="C77" i="25"/>
  <c r="C93" i="25" s="1"/>
  <c r="J57" i="25"/>
  <c r="K88" i="25"/>
  <c r="K74" i="25"/>
  <c r="K58" i="25"/>
  <c r="K92" i="25"/>
  <c r="K53" i="25"/>
  <c r="L25" i="25"/>
  <c r="K66" i="25"/>
  <c r="K49" i="25"/>
  <c r="K43" i="25"/>
  <c r="K26" i="25"/>
  <c r="K33" i="25"/>
  <c r="K51" i="25"/>
  <c r="K50" i="25"/>
  <c r="K56" i="25"/>
  <c r="G66" i="25"/>
  <c r="G49" i="25"/>
  <c r="G43" i="25"/>
  <c r="G26" i="25"/>
  <c r="G53" i="25" s="1"/>
  <c r="H25" i="25"/>
  <c r="G51" i="25"/>
  <c r="G88" i="25"/>
  <c r="G50" i="25"/>
  <c r="G74" i="25"/>
  <c r="G92" i="25"/>
  <c r="G57" i="25"/>
  <c r="G33" i="25"/>
  <c r="E74" i="24"/>
  <c r="E92" i="24"/>
  <c r="E47" i="24"/>
  <c r="E88" i="24"/>
  <c r="E66" i="24"/>
  <c r="E49" i="24"/>
  <c r="E43" i="24"/>
  <c r="E26" i="24"/>
  <c r="E57" i="24" s="1"/>
  <c r="E33" i="24"/>
  <c r="E51" i="24"/>
  <c r="E56" i="24"/>
  <c r="E50" i="24"/>
  <c r="D56" i="24"/>
  <c r="D53" i="24"/>
  <c r="J57" i="24"/>
  <c r="K88" i="24"/>
  <c r="K50" i="24"/>
  <c r="K74" i="24"/>
  <c r="K92" i="24"/>
  <c r="K66" i="24"/>
  <c r="K49" i="24"/>
  <c r="K43" i="24"/>
  <c r="K26" i="24"/>
  <c r="K33" i="24"/>
  <c r="K51" i="24"/>
  <c r="D57" i="24"/>
  <c r="E48" i="24"/>
  <c r="C55" i="24"/>
  <c r="C54" i="24" s="1"/>
  <c r="H56" i="21"/>
  <c r="H57" i="21"/>
  <c r="H50" i="21"/>
  <c r="F57" i="21"/>
  <c r="H88" i="21"/>
  <c r="H26" i="21"/>
  <c r="H92" i="21"/>
  <c r="H66" i="21"/>
  <c r="H33" i="21"/>
  <c r="H74" i="21"/>
  <c r="H58" i="21"/>
  <c r="H43" i="21"/>
  <c r="H51" i="21"/>
  <c r="C39" i="21"/>
  <c r="C38" i="21"/>
  <c r="C40" i="21"/>
  <c r="C42" i="21"/>
  <c r="C73" i="21"/>
  <c r="C87" i="21" s="1"/>
  <c r="D32" i="21" s="1"/>
  <c r="C77" i="21"/>
  <c r="C93" i="21" s="1"/>
  <c r="C44" i="21"/>
  <c r="D29" i="30" l="1"/>
  <c r="C92" i="30"/>
  <c r="C78" i="29"/>
  <c r="C85" i="29"/>
  <c r="D30" i="29" s="1"/>
  <c r="F56" i="29"/>
  <c r="G87" i="29"/>
  <c r="G66" i="29"/>
  <c r="G33" i="29"/>
  <c r="G57" i="29"/>
  <c r="G51" i="29"/>
  <c r="G73" i="29"/>
  <c r="G48" i="29"/>
  <c r="G42" i="29"/>
  <c r="G50" i="29"/>
  <c r="G88" i="29"/>
  <c r="G74" i="29"/>
  <c r="G47" i="29"/>
  <c r="G92" i="29"/>
  <c r="G49" i="29"/>
  <c r="G26" i="29"/>
  <c r="G43" i="29"/>
  <c r="G32" i="29"/>
  <c r="H25" i="29"/>
  <c r="G53" i="29"/>
  <c r="G58" i="29"/>
  <c r="C46" i="29"/>
  <c r="C69" i="29" s="1"/>
  <c r="C70" i="29"/>
  <c r="C84" i="29" s="1"/>
  <c r="D29" i="29" s="1"/>
  <c r="K46" i="29"/>
  <c r="G87" i="27"/>
  <c r="G49" i="27"/>
  <c r="G43" i="27"/>
  <c r="G26" i="27"/>
  <c r="G33" i="27"/>
  <c r="G66" i="27"/>
  <c r="G73" i="27"/>
  <c r="G51" i="27"/>
  <c r="G48" i="27"/>
  <c r="G42" i="27"/>
  <c r="G53" i="27"/>
  <c r="G32" i="27"/>
  <c r="G58" i="27"/>
  <c r="G88" i="27"/>
  <c r="G50" i="27"/>
  <c r="G92" i="27"/>
  <c r="G74" i="27"/>
  <c r="G47" i="27"/>
  <c r="G46" i="27" s="1"/>
  <c r="G57" i="27"/>
  <c r="F56" i="27"/>
  <c r="D47" i="27"/>
  <c r="D46" i="27" s="1"/>
  <c r="C48" i="27"/>
  <c r="C71" i="27" s="1"/>
  <c r="E48" i="27"/>
  <c r="D48" i="27"/>
  <c r="C47" i="27"/>
  <c r="E47" i="27"/>
  <c r="E46" i="27" s="1"/>
  <c r="F47" i="27"/>
  <c r="F46" i="27" s="1"/>
  <c r="F48" i="26"/>
  <c r="F46" i="26" s="1"/>
  <c r="F56" i="26"/>
  <c r="L88" i="26"/>
  <c r="L74" i="26"/>
  <c r="L47" i="26"/>
  <c r="L46" i="26" s="1"/>
  <c r="L26" i="26"/>
  <c r="L92" i="26"/>
  <c r="L49" i="26"/>
  <c r="L43" i="26"/>
  <c r="L87" i="26"/>
  <c r="L66" i="26"/>
  <c r="L33" i="26"/>
  <c r="L50" i="26"/>
  <c r="L73" i="26"/>
  <c r="L51" i="26"/>
  <c r="L56" i="26"/>
  <c r="L48" i="26"/>
  <c r="L42" i="26"/>
  <c r="L32" i="26"/>
  <c r="L57" i="26"/>
  <c r="L58" i="26"/>
  <c r="L53" i="26"/>
  <c r="K53" i="26"/>
  <c r="G87" i="26"/>
  <c r="G66" i="26"/>
  <c r="G33" i="26"/>
  <c r="G73" i="26"/>
  <c r="G51" i="26"/>
  <c r="G43" i="26"/>
  <c r="G48" i="26"/>
  <c r="G42" i="26"/>
  <c r="G32" i="26"/>
  <c r="G50" i="26"/>
  <c r="G92" i="26"/>
  <c r="G88" i="26"/>
  <c r="G49" i="26"/>
  <c r="G26" i="26"/>
  <c r="G56" i="26" s="1"/>
  <c r="G74" i="26"/>
  <c r="G58" i="26"/>
  <c r="G47" i="26"/>
  <c r="G46" i="26" s="1"/>
  <c r="G57" i="26"/>
  <c r="K56" i="26"/>
  <c r="C47" i="26"/>
  <c r="J48" i="26"/>
  <c r="E47" i="26"/>
  <c r="I48" i="26"/>
  <c r="D47" i="26"/>
  <c r="I47" i="26"/>
  <c r="I46" i="26" s="1"/>
  <c r="E48" i="26"/>
  <c r="C48" i="26"/>
  <c r="C71" i="26" s="1"/>
  <c r="D48" i="26"/>
  <c r="J47" i="26"/>
  <c r="J46" i="26" s="1"/>
  <c r="H33" i="25"/>
  <c r="H88" i="25"/>
  <c r="H50" i="25"/>
  <c r="H74" i="25"/>
  <c r="H58" i="25"/>
  <c r="H92" i="25"/>
  <c r="H66" i="25"/>
  <c r="H51" i="25"/>
  <c r="H43" i="25"/>
  <c r="H49" i="25"/>
  <c r="H26" i="25"/>
  <c r="L88" i="25"/>
  <c r="L50" i="25"/>
  <c r="L74" i="25"/>
  <c r="L92" i="25"/>
  <c r="L53" i="25"/>
  <c r="L66" i="25"/>
  <c r="L49" i="25"/>
  <c r="L43" i="25"/>
  <c r="L26" i="25"/>
  <c r="L33" i="25"/>
  <c r="L51" i="25"/>
  <c r="L58" i="25"/>
  <c r="L56" i="25"/>
  <c r="L57" i="25"/>
  <c r="B48" i="25"/>
  <c r="H47" i="25" s="1"/>
  <c r="B55" i="25"/>
  <c r="C55" i="25"/>
  <c r="C54" i="25" s="1"/>
  <c r="K57" i="25"/>
  <c r="G56" i="25"/>
  <c r="K47" i="24"/>
  <c r="K48" i="24"/>
  <c r="E46" i="24"/>
  <c r="F92" i="24"/>
  <c r="F66" i="24"/>
  <c r="F49" i="24"/>
  <c r="F43" i="24"/>
  <c r="F26" i="24"/>
  <c r="F53" i="24"/>
  <c r="F47" i="24"/>
  <c r="F46" i="24" s="1"/>
  <c r="F33" i="24"/>
  <c r="F51" i="24"/>
  <c r="F48" i="24"/>
  <c r="F74" i="24"/>
  <c r="F88" i="24"/>
  <c r="F56" i="24"/>
  <c r="F50" i="24"/>
  <c r="F58" i="24"/>
  <c r="F57" i="24"/>
  <c r="L88" i="24"/>
  <c r="L74" i="24"/>
  <c r="L92" i="24"/>
  <c r="L47" i="24"/>
  <c r="L66" i="24"/>
  <c r="L49" i="24"/>
  <c r="L43" i="24"/>
  <c r="L26" i="24"/>
  <c r="L33" i="24"/>
  <c r="L51" i="24"/>
  <c r="L48" i="24"/>
  <c r="L46" i="24"/>
  <c r="L50" i="24"/>
  <c r="L57" i="24"/>
  <c r="L53" i="24"/>
  <c r="L58" i="24"/>
  <c r="L56" i="24"/>
  <c r="C48" i="24"/>
  <c r="C71" i="24" s="1"/>
  <c r="J48" i="24"/>
  <c r="D48" i="24"/>
  <c r="D47" i="24"/>
  <c r="D46" i="24" s="1"/>
  <c r="I48" i="24"/>
  <c r="C47" i="24"/>
  <c r="I47" i="24"/>
  <c r="J47" i="24"/>
  <c r="J46" i="24" s="1"/>
  <c r="E53" i="24"/>
  <c r="K53" i="24"/>
  <c r="K57" i="24"/>
  <c r="K56" i="24"/>
  <c r="I92" i="21"/>
  <c r="I66" i="21"/>
  <c r="I33" i="21"/>
  <c r="I26" i="21"/>
  <c r="I56" i="21" s="1"/>
  <c r="J25" i="21"/>
  <c r="I50" i="21"/>
  <c r="I47" i="21"/>
  <c r="I74" i="21"/>
  <c r="I51" i="21"/>
  <c r="I88" i="21"/>
  <c r="I43" i="21"/>
  <c r="I49" i="21"/>
  <c r="I58" i="21"/>
  <c r="H53" i="21"/>
  <c r="C55" i="21"/>
  <c r="C54" i="21" s="1"/>
  <c r="B48" i="21"/>
  <c r="I48" i="21" s="1"/>
  <c r="B55" i="21"/>
  <c r="F48" i="21" l="1"/>
  <c r="G48" i="21"/>
  <c r="F47" i="21"/>
  <c r="F46" i="21" s="1"/>
  <c r="G47" i="21"/>
  <c r="G46" i="21" s="1"/>
  <c r="H47" i="21"/>
  <c r="H48" i="21"/>
  <c r="G46" i="29"/>
  <c r="D38" i="30"/>
  <c r="D37" i="30"/>
  <c r="D77" i="29"/>
  <c r="D93" i="29" s="1"/>
  <c r="D44" i="29"/>
  <c r="D55" i="29" s="1"/>
  <c r="D54" i="29" s="1"/>
  <c r="H73" i="29"/>
  <c r="H80" i="29" s="1"/>
  <c r="H57" i="29"/>
  <c r="H51" i="29"/>
  <c r="H48" i="29"/>
  <c r="H42" i="29"/>
  <c r="H32" i="29"/>
  <c r="H50" i="29"/>
  <c r="H88" i="29"/>
  <c r="H74" i="29"/>
  <c r="H92" i="29"/>
  <c r="H49" i="29"/>
  <c r="H87" i="29"/>
  <c r="H66" i="29"/>
  <c r="H47" i="29"/>
  <c r="H46" i="29" s="1"/>
  <c r="H26" i="29"/>
  <c r="H53" i="29"/>
  <c r="H43" i="29"/>
  <c r="H33" i="29"/>
  <c r="H58" i="29"/>
  <c r="H56" i="29"/>
  <c r="C76" i="29"/>
  <c r="C83" i="29" s="1"/>
  <c r="G56" i="29"/>
  <c r="C46" i="27"/>
  <c r="C69" i="27" s="1"/>
  <c r="C70" i="27"/>
  <c r="C84" i="27" s="1"/>
  <c r="D29" i="27" s="1"/>
  <c r="G56" i="27"/>
  <c r="C78" i="27"/>
  <c r="C85" i="27" s="1"/>
  <c r="D30" i="27" s="1"/>
  <c r="D46" i="26"/>
  <c r="E46" i="26"/>
  <c r="G53" i="26"/>
  <c r="C46" i="26"/>
  <c r="C69" i="26" s="1"/>
  <c r="C70" i="26"/>
  <c r="C84" i="26" s="1"/>
  <c r="D29" i="26" s="1"/>
  <c r="D77" i="26" s="1"/>
  <c r="C78" i="26"/>
  <c r="C85" i="26" s="1"/>
  <c r="D30" i="26" s="1"/>
  <c r="H73" i="26"/>
  <c r="H80" i="26" s="1"/>
  <c r="H57" i="26"/>
  <c r="H51" i="26"/>
  <c r="H33" i="26"/>
  <c r="H48" i="26"/>
  <c r="H46" i="26"/>
  <c r="H42" i="26"/>
  <c r="H32" i="26"/>
  <c r="H50" i="26"/>
  <c r="H66" i="26"/>
  <c r="H88" i="26"/>
  <c r="H87" i="26"/>
  <c r="H74" i="26"/>
  <c r="H47" i="26"/>
  <c r="H92" i="26"/>
  <c r="H49" i="26"/>
  <c r="H43" i="26"/>
  <c r="H26" i="26"/>
  <c r="H58" i="26"/>
  <c r="H53" i="26"/>
  <c r="L48" i="25"/>
  <c r="H48" i="25"/>
  <c r="H46" i="25" s="1"/>
  <c r="D47" i="25"/>
  <c r="E47" i="25"/>
  <c r="C48" i="25"/>
  <c r="C71" i="25" s="1"/>
  <c r="F48" i="25"/>
  <c r="I48" i="25"/>
  <c r="J47" i="25"/>
  <c r="J48" i="25"/>
  <c r="D48" i="25"/>
  <c r="I47" i="25"/>
  <c r="E48" i="25"/>
  <c r="F47" i="25"/>
  <c r="C47" i="25"/>
  <c r="G47" i="25"/>
  <c r="K48" i="25"/>
  <c r="K47" i="25"/>
  <c r="G48" i="25"/>
  <c r="H53" i="25"/>
  <c r="H56" i="25"/>
  <c r="L47" i="25"/>
  <c r="H57" i="25"/>
  <c r="K46" i="24"/>
  <c r="I46" i="24"/>
  <c r="G66" i="24"/>
  <c r="G33" i="24"/>
  <c r="G51" i="24"/>
  <c r="G49" i="24"/>
  <c r="G48" i="24"/>
  <c r="G88" i="24"/>
  <c r="G50" i="24"/>
  <c r="G92" i="24"/>
  <c r="G53" i="24"/>
  <c r="G47" i="24"/>
  <c r="G74" i="24"/>
  <c r="G58" i="24"/>
  <c r="G43" i="24"/>
  <c r="G26" i="24"/>
  <c r="G57" i="24"/>
  <c r="C46" i="24"/>
  <c r="C69" i="24" s="1"/>
  <c r="C70" i="24"/>
  <c r="C84" i="24" s="1"/>
  <c r="D29" i="24" s="1"/>
  <c r="C85" i="24"/>
  <c r="D30" i="24" s="1"/>
  <c r="I46" i="21"/>
  <c r="J26" i="21"/>
  <c r="J56" i="21" s="1"/>
  <c r="J92" i="21"/>
  <c r="J66" i="21"/>
  <c r="K25" i="21"/>
  <c r="J49" i="21"/>
  <c r="J58" i="21"/>
  <c r="J47" i="21"/>
  <c r="J51" i="21"/>
  <c r="J74" i="21"/>
  <c r="J57" i="21"/>
  <c r="J48" i="21"/>
  <c r="J88" i="21"/>
  <c r="J33" i="21"/>
  <c r="J43" i="21"/>
  <c r="J50" i="21"/>
  <c r="I57" i="21"/>
  <c r="I53" i="21"/>
  <c r="C47" i="21"/>
  <c r="E48" i="21"/>
  <c r="C48" i="21"/>
  <c r="C71" i="21" s="1"/>
  <c r="D48" i="21"/>
  <c r="E47" i="21"/>
  <c r="E46" i="21" s="1"/>
  <c r="D47" i="21"/>
  <c r="H46" i="21" l="1"/>
  <c r="D46" i="21"/>
  <c r="C85" i="21"/>
  <c r="D30" i="21" s="1"/>
  <c r="C78" i="21"/>
  <c r="I46" i="25"/>
  <c r="D39" i="30"/>
  <c r="D44" i="30" s="1"/>
  <c r="C89" i="29"/>
  <c r="D27" i="29" s="1"/>
  <c r="D28" i="29"/>
  <c r="C90" i="29"/>
  <c r="D44" i="27"/>
  <c r="D55" i="27" s="1"/>
  <c r="D54" i="27" s="1"/>
  <c r="D77" i="27"/>
  <c r="D93" i="27" s="1"/>
  <c r="C83" i="27"/>
  <c r="D44" i="26"/>
  <c r="D55" i="26" s="1"/>
  <c r="D54" i="26" s="1"/>
  <c r="D93" i="26"/>
  <c r="H56" i="26"/>
  <c r="C76" i="26"/>
  <c r="C83" i="26" s="1"/>
  <c r="J46" i="25"/>
  <c r="L46" i="25"/>
  <c r="E46" i="25"/>
  <c r="K46" i="25"/>
  <c r="G46" i="25"/>
  <c r="C46" i="25"/>
  <c r="C69" i="25" s="1"/>
  <c r="C70" i="25"/>
  <c r="C84" i="25" s="1"/>
  <c r="D29" i="25" s="1"/>
  <c r="F46" i="25"/>
  <c r="C78" i="25"/>
  <c r="C85" i="25" s="1"/>
  <c r="D30" i="25" s="1"/>
  <c r="D46" i="25"/>
  <c r="G46" i="24"/>
  <c r="H51" i="24"/>
  <c r="H49" i="24"/>
  <c r="H48" i="24"/>
  <c r="H88" i="24"/>
  <c r="H50" i="24"/>
  <c r="H74" i="24"/>
  <c r="H58" i="24"/>
  <c r="H92" i="24"/>
  <c r="H47" i="24"/>
  <c r="H46" i="24" s="1"/>
  <c r="H66" i="24"/>
  <c r="H43" i="24"/>
  <c r="H26" i="24"/>
  <c r="H33" i="24"/>
  <c r="D93" i="24"/>
  <c r="D44" i="24"/>
  <c r="D55" i="24" s="1"/>
  <c r="D54" i="24" s="1"/>
  <c r="C83" i="24"/>
  <c r="G56" i="24"/>
  <c r="J46" i="21"/>
  <c r="J53" i="21"/>
  <c r="K48" i="21"/>
  <c r="K33" i="21"/>
  <c r="K26" i="21"/>
  <c r="K53" i="21"/>
  <c r="K92" i="21"/>
  <c r="K74" i="21"/>
  <c r="L25" i="21"/>
  <c r="K66" i="21"/>
  <c r="K43" i="21"/>
  <c r="K49" i="21"/>
  <c r="K58" i="21"/>
  <c r="K50" i="21"/>
  <c r="K57" i="21"/>
  <c r="K47" i="21"/>
  <c r="K51" i="21"/>
  <c r="K56" i="21"/>
  <c r="K88" i="21"/>
  <c r="C46" i="21"/>
  <c r="C69" i="21" s="1"/>
  <c r="C70" i="21"/>
  <c r="C84" i="21" s="1"/>
  <c r="D29" i="21" s="1"/>
  <c r="K46" i="21" l="1"/>
  <c r="D52" i="30"/>
  <c r="D41" i="30"/>
  <c r="D40" i="30"/>
  <c r="D42" i="30"/>
  <c r="D43" i="30"/>
  <c r="D74" i="30" s="1"/>
  <c r="D88" i="30" s="1"/>
  <c r="E33" i="30" s="1"/>
  <c r="D35" i="29"/>
  <c r="D36" i="29"/>
  <c r="C89" i="27"/>
  <c r="D27" i="27" s="1"/>
  <c r="D28" i="27"/>
  <c r="C89" i="26"/>
  <c r="D27" i="26" s="1"/>
  <c r="D28" i="26"/>
  <c r="C90" i="26"/>
  <c r="D77" i="25"/>
  <c r="D93" i="25" s="1"/>
  <c r="D44" i="25"/>
  <c r="D55" i="25" s="1"/>
  <c r="D54" i="25" s="1"/>
  <c r="C76" i="25"/>
  <c r="C83" i="25"/>
  <c r="H53" i="24"/>
  <c r="H57" i="24"/>
  <c r="H56" i="24"/>
  <c r="C89" i="24"/>
  <c r="D27" i="24" s="1"/>
  <c r="D28" i="24"/>
  <c r="L92" i="21"/>
  <c r="L51" i="21"/>
  <c r="L26" i="21"/>
  <c r="L57" i="21" s="1"/>
  <c r="L66" i="21"/>
  <c r="L33" i="21"/>
  <c r="L58" i="21"/>
  <c r="L50" i="21"/>
  <c r="L56" i="21"/>
  <c r="L74" i="21"/>
  <c r="L48" i="21"/>
  <c r="L47" i="21"/>
  <c r="L49" i="21"/>
  <c r="L43" i="21"/>
  <c r="L88" i="21"/>
  <c r="C76" i="21"/>
  <c r="D77" i="21"/>
  <c r="D93" i="21" s="1"/>
  <c r="D44" i="21"/>
  <c r="C90" i="27" l="1"/>
  <c r="D75" i="30"/>
  <c r="D89" i="30" s="1"/>
  <c r="E34" i="30" s="1"/>
  <c r="D50" i="30"/>
  <c r="D49" i="30" s="1"/>
  <c r="D48" i="30" s="1"/>
  <c r="D71" i="30" s="1"/>
  <c r="D85" i="30" s="1"/>
  <c r="D37" i="29"/>
  <c r="D35" i="27"/>
  <c r="D36" i="27"/>
  <c r="D36" i="26"/>
  <c r="D35" i="26"/>
  <c r="C89" i="25"/>
  <c r="D27" i="25" s="1"/>
  <c r="D28" i="25"/>
  <c r="D35" i="24"/>
  <c r="D36" i="24"/>
  <c r="C90" i="24"/>
  <c r="L46" i="21"/>
  <c r="L53" i="21"/>
  <c r="D55" i="21"/>
  <c r="C83" i="21"/>
  <c r="D72" i="30" l="1"/>
  <c r="D86" i="30" s="1"/>
  <c r="E31" i="30" s="1"/>
  <c r="D73" i="30"/>
  <c r="D80" i="30" s="1"/>
  <c r="D87" i="30" s="1"/>
  <c r="E32" i="30" s="1"/>
  <c r="E30" i="30"/>
  <c r="D39" i="29"/>
  <c r="D70" i="29" s="1"/>
  <c r="D84" i="29" s="1"/>
  <c r="E29" i="29" s="1"/>
  <c r="D40" i="29"/>
  <c r="D71" i="29" s="1"/>
  <c r="D38" i="29"/>
  <c r="D41" i="29"/>
  <c r="D72" i="29" s="1"/>
  <c r="D86" i="29" s="1"/>
  <c r="E31" i="29" s="1"/>
  <c r="D37" i="27"/>
  <c r="D37" i="26"/>
  <c r="C90" i="25"/>
  <c r="D35" i="25"/>
  <c r="D36" i="25"/>
  <c r="D37" i="24"/>
  <c r="D54" i="21"/>
  <c r="C89" i="21"/>
  <c r="D28" i="21"/>
  <c r="D91" i="30" l="1"/>
  <c r="E29" i="30" s="1"/>
  <c r="E95" i="30"/>
  <c r="E46" i="30"/>
  <c r="E57" i="30" s="1"/>
  <c r="E56" i="30" s="1"/>
  <c r="D69" i="29"/>
  <c r="D78" i="29"/>
  <c r="D85" i="29"/>
  <c r="E30" i="29" s="1"/>
  <c r="E77" i="29"/>
  <c r="E93" i="29" s="1"/>
  <c r="E44" i="29"/>
  <c r="E55" i="29" s="1"/>
  <c r="E54" i="29" s="1"/>
  <c r="D41" i="27"/>
  <c r="D72" i="27" s="1"/>
  <c r="D86" i="27" s="1"/>
  <c r="E31" i="27" s="1"/>
  <c r="D38" i="27"/>
  <c r="D40" i="27"/>
  <c r="D71" i="27" s="1"/>
  <c r="D39" i="27"/>
  <c r="D70" i="27" s="1"/>
  <c r="D84" i="27" s="1"/>
  <c r="E29" i="27" s="1"/>
  <c r="D41" i="26"/>
  <c r="D72" i="26" s="1"/>
  <c r="D86" i="26" s="1"/>
  <c r="E31" i="26" s="1"/>
  <c r="D40" i="26"/>
  <c r="D71" i="26" s="1"/>
  <c r="D39" i="26"/>
  <c r="D70" i="26" s="1"/>
  <c r="D84" i="26" s="1"/>
  <c r="E29" i="26" s="1"/>
  <c r="D38" i="26"/>
  <c r="D37" i="25"/>
  <c r="D39" i="24"/>
  <c r="D70" i="24" s="1"/>
  <c r="D84" i="24" s="1"/>
  <c r="E29" i="24" s="1"/>
  <c r="D42" i="24"/>
  <c r="D73" i="24" s="1"/>
  <c r="D87" i="24" s="1"/>
  <c r="E32" i="24" s="1"/>
  <c r="D41" i="24"/>
  <c r="D72" i="24" s="1"/>
  <c r="D86" i="24" s="1"/>
  <c r="E31" i="24" s="1"/>
  <c r="D40" i="24"/>
  <c r="D71" i="24" s="1"/>
  <c r="D38" i="24"/>
  <c r="D27" i="21"/>
  <c r="C90" i="21"/>
  <c r="C46" i="16"/>
  <c r="C45" i="16"/>
  <c r="C36" i="16"/>
  <c r="C38" i="16" s="1"/>
  <c r="D59" i="16"/>
  <c r="C59" i="16"/>
  <c r="P58" i="16"/>
  <c r="P57" i="16"/>
  <c r="P56" i="16"/>
  <c r="P55" i="16"/>
  <c r="P54" i="16"/>
  <c r="P53" i="16"/>
  <c r="P52" i="16"/>
  <c r="P51" i="16"/>
  <c r="C51" i="16"/>
  <c r="C50" i="16"/>
  <c r="C60" i="16" s="1"/>
  <c r="M43" i="16"/>
  <c r="M41" i="16"/>
  <c r="C35" i="16"/>
  <c r="B30" i="16"/>
  <c r="C29" i="16"/>
  <c r="C31" i="16" s="1"/>
  <c r="C27" i="16"/>
  <c r="C26" i="16"/>
  <c r="C30" i="16" s="1"/>
  <c r="C25" i="16"/>
  <c r="C24" i="16"/>
  <c r="D23" i="16"/>
  <c r="C23" i="16"/>
  <c r="D22" i="16"/>
  <c r="D35" i="16" s="1"/>
  <c r="D36" i="16" s="1"/>
  <c r="D92" i="30" l="1"/>
  <c r="E37" i="30"/>
  <c r="E38" i="30"/>
  <c r="D76" i="29"/>
  <c r="D83" i="29" s="1"/>
  <c r="E77" i="27"/>
  <c r="E93" i="27" s="1"/>
  <c r="E44" i="27"/>
  <c r="E55" i="27" s="1"/>
  <c r="E54" i="27" s="1"/>
  <c r="D78" i="27"/>
  <c r="D85" i="27" s="1"/>
  <c r="E30" i="27" s="1"/>
  <c r="D69" i="27"/>
  <c r="D69" i="26"/>
  <c r="E77" i="26"/>
  <c r="E93" i="26" s="1"/>
  <c r="E44" i="26"/>
  <c r="E55" i="26" s="1"/>
  <c r="E54" i="26" s="1"/>
  <c r="D78" i="26"/>
  <c r="D85" i="26"/>
  <c r="E30" i="26" s="1"/>
  <c r="D38" i="25"/>
  <c r="D41" i="25"/>
  <c r="D72" i="25" s="1"/>
  <c r="D86" i="25" s="1"/>
  <c r="E31" i="25" s="1"/>
  <c r="D39" i="25"/>
  <c r="D70" i="25" s="1"/>
  <c r="D84" i="25" s="1"/>
  <c r="E29" i="25" s="1"/>
  <c r="D42" i="25"/>
  <c r="D73" i="25" s="1"/>
  <c r="D87" i="25" s="1"/>
  <c r="E32" i="25" s="1"/>
  <c r="D40" i="25"/>
  <c r="D71" i="25" s="1"/>
  <c r="D69" i="24"/>
  <c r="D85" i="24"/>
  <c r="E30" i="24" s="1"/>
  <c r="E93" i="24"/>
  <c r="E44" i="24"/>
  <c r="E55" i="24" s="1"/>
  <c r="E54" i="24" s="1"/>
  <c r="D35" i="21"/>
  <c r="D36" i="21"/>
  <c r="D38" i="16"/>
  <c r="D37" i="16" s="1"/>
  <c r="C37" i="16"/>
  <c r="C32" i="16"/>
  <c r="C33" i="16"/>
  <c r="C55" i="16" s="1"/>
  <c r="D26" i="16" s="1"/>
  <c r="C34" i="16"/>
  <c r="C47" i="16" s="1"/>
  <c r="C56" i="16" s="1"/>
  <c r="D51" i="16"/>
  <c r="E22" i="16"/>
  <c r="E39" i="30" l="1"/>
  <c r="E44" i="30" s="1"/>
  <c r="D89" i="29"/>
  <c r="E27" i="29" s="1"/>
  <c r="E28" i="29"/>
  <c r="D83" i="27"/>
  <c r="D76" i="26"/>
  <c r="D83" i="26"/>
  <c r="D78" i="25"/>
  <c r="D85" i="25" s="1"/>
  <c r="E30" i="25" s="1"/>
  <c r="E44" i="25"/>
  <c r="E55" i="25" s="1"/>
  <c r="E54" i="25" s="1"/>
  <c r="E77" i="25"/>
  <c r="E93" i="25" s="1"/>
  <c r="D69" i="25"/>
  <c r="D83" i="24"/>
  <c r="D37" i="21"/>
  <c r="D50" i="16"/>
  <c r="D60" i="16" s="1"/>
  <c r="E59" i="16"/>
  <c r="E23" i="16"/>
  <c r="E35" i="16"/>
  <c r="E36" i="16" s="1"/>
  <c r="F22" i="16"/>
  <c r="E51" i="16"/>
  <c r="E52" i="30" l="1"/>
  <c r="E50" i="30" s="1"/>
  <c r="E41" i="30"/>
  <c r="E43" i="30"/>
  <c r="E74" i="30" s="1"/>
  <c r="E88" i="30" s="1"/>
  <c r="F33" i="30" s="1"/>
  <c r="E40" i="30"/>
  <c r="E42" i="30"/>
  <c r="E35" i="29"/>
  <c r="E36" i="29"/>
  <c r="D90" i="29"/>
  <c r="D89" i="27"/>
  <c r="E27" i="27" s="1"/>
  <c r="E28" i="27"/>
  <c r="E28" i="26"/>
  <c r="D89" i="26"/>
  <c r="E27" i="26" s="1"/>
  <c r="D90" i="26"/>
  <c r="D76" i="25"/>
  <c r="D83" i="25" s="1"/>
  <c r="D89" i="24"/>
  <c r="E27" i="24" s="1"/>
  <c r="E28" i="24"/>
  <c r="D40" i="21"/>
  <c r="D71" i="21" s="1"/>
  <c r="D38" i="21"/>
  <c r="D39" i="21"/>
  <c r="D70" i="21" s="1"/>
  <c r="D84" i="21" s="1"/>
  <c r="E29" i="21" s="1"/>
  <c r="D41" i="21"/>
  <c r="D72" i="21" s="1"/>
  <c r="D86" i="21" s="1"/>
  <c r="E31" i="21" s="1"/>
  <c r="D42" i="21"/>
  <c r="D73" i="21" s="1"/>
  <c r="C49" i="16"/>
  <c r="C54" i="16" s="1"/>
  <c r="E38" i="16"/>
  <c r="E37" i="16" s="1"/>
  <c r="F35" i="16"/>
  <c r="G22" i="16"/>
  <c r="F51" i="16"/>
  <c r="F23" i="16"/>
  <c r="F36" i="16"/>
  <c r="F38" i="16" s="1"/>
  <c r="F59" i="16"/>
  <c r="E73" i="30" l="1"/>
  <c r="E80" i="30" s="1"/>
  <c r="E87" i="30" s="1"/>
  <c r="F32" i="30" s="1"/>
  <c r="E75" i="30"/>
  <c r="E89" i="30" s="1"/>
  <c r="F34" i="30" s="1"/>
  <c r="E49" i="30"/>
  <c r="E48" i="30" s="1"/>
  <c r="E71" i="30" s="1"/>
  <c r="E85" i="30" s="1"/>
  <c r="E37" i="29"/>
  <c r="D90" i="27"/>
  <c r="E35" i="27"/>
  <c r="E36" i="27"/>
  <c r="E35" i="26"/>
  <c r="E36" i="26"/>
  <c r="D89" i="25"/>
  <c r="E27" i="25" s="1"/>
  <c r="E28" i="25"/>
  <c r="D90" i="24"/>
  <c r="E35" i="24"/>
  <c r="E36" i="24"/>
  <c r="D78" i="21"/>
  <c r="D85" i="21" s="1"/>
  <c r="E30" i="21" s="1"/>
  <c r="D87" i="21"/>
  <c r="E32" i="21" s="1"/>
  <c r="E44" i="21"/>
  <c r="E77" i="21"/>
  <c r="E93" i="21" s="1"/>
  <c r="D69" i="21"/>
  <c r="D76" i="21" s="1"/>
  <c r="D25" i="16"/>
  <c r="C57" i="16"/>
  <c r="D24" i="16" s="1"/>
  <c r="D29" i="16" s="1"/>
  <c r="F37" i="16"/>
  <c r="G51" i="16"/>
  <c r="H22" i="16"/>
  <c r="G35" i="16"/>
  <c r="G23" i="16"/>
  <c r="G36" i="16"/>
  <c r="G59" i="16"/>
  <c r="E72" i="30" l="1"/>
  <c r="E86" i="30" s="1"/>
  <c r="F31" i="30" s="1"/>
  <c r="F30" i="30"/>
  <c r="E40" i="29"/>
  <c r="E71" i="29" s="1"/>
  <c r="E39" i="29"/>
  <c r="E70" i="29" s="1"/>
  <c r="E84" i="29" s="1"/>
  <c r="F29" i="29" s="1"/>
  <c r="E41" i="29"/>
  <c r="E72" i="29" s="1"/>
  <c r="E86" i="29" s="1"/>
  <c r="F31" i="29" s="1"/>
  <c r="E38" i="29"/>
  <c r="E37" i="27"/>
  <c r="E37" i="26"/>
  <c r="D90" i="25"/>
  <c r="E35" i="25"/>
  <c r="E36" i="25"/>
  <c r="E37" i="24"/>
  <c r="E55" i="21"/>
  <c r="D30" i="16"/>
  <c r="D31" i="16" s="1"/>
  <c r="D27" i="16"/>
  <c r="G38" i="16"/>
  <c r="G37" i="16" s="1"/>
  <c r="I22" i="16"/>
  <c r="H59" i="16"/>
  <c r="H23" i="16"/>
  <c r="H35" i="16"/>
  <c r="H36" i="16" s="1"/>
  <c r="H51" i="16"/>
  <c r="C676" i="10"/>
  <c r="C675" i="10"/>
  <c r="C674" i="10"/>
  <c r="C673" i="10"/>
  <c r="C672" i="10"/>
  <c r="C671" i="10"/>
  <c r="C670" i="10"/>
  <c r="C669" i="10"/>
  <c r="C668" i="10"/>
  <c r="C667" i="10"/>
  <c r="C666" i="10"/>
  <c r="C665" i="10"/>
  <c r="C664" i="10"/>
  <c r="C663" i="10"/>
  <c r="C662" i="10"/>
  <c r="C661" i="10"/>
  <c r="C660" i="10"/>
  <c r="C659" i="10"/>
  <c r="C658" i="10"/>
  <c r="C657" i="10"/>
  <c r="C656" i="10"/>
  <c r="C655" i="10"/>
  <c r="C654" i="10"/>
  <c r="C653" i="10"/>
  <c r="C652" i="10"/>
  <c r="C651" i="10"/>
  <c r="C650" i="10"/>
  <c r="C649" i="10"/>
  <c r="C648" i="10"/>
  <c r="C647" i="10"/>
  <c r="C646" i="10"/>
  <c r="C645" i="10"/>
  <c r="C644" i="10"/>
  <c r="C643" i="10"/>
  <c r="C642" i="10"/>
  <c r="C641" i="10"/>
  <c r="C640" i="10"/>
  <c r="C639" i="10"/>
  <c r="C638" i="10"/>
  <c r="C637" i="10"/>
  <c r="C636" i="10"/>
  <c r="C635" i="10"/>
  <c r="C634" i="10"/>
  <c r="C633" i="10"/>
  <c r="C632" i="10"/>
  <c r="C631" i="10"/>
  <c r="C630" i="10"/>
  <c r="C629" i="10"/>
  <c r="C628" i="10"/>
  <c r="C627" i="10"/>
  <c r="C626" i="10"/>
  <c r="C625" i="10"/>
  <c r="C624" i="10"/>
  <c r="C623" i="10"/>
  <c r="C622" i="10"/>
  <c r="C621" i="10"/>
  <c r="C620" i="10"/>
  <c r="C619" i="10"/>
  <c r="C618" i="10"/>
  <c r="C617" i="10"/>
  <c r="C616" i="10"/>
  <c r="C615" i="10"/>
  <c r="C614" i="10"/>
  <c r="C613" i="10"/>
  <c r="C612" i="10"/>
  <c r="C611" i="10"/>
  <c r="C610" i="10"/>
  <c r="C609" i="10"/>
  <c r="C608" i="10"/>
  <c r="C607" i="10"/>
  <c r="C606" i="10"/>
  <c r="C605" i="10"/>
  <c r="C604" i="10"/>
  <c r="C603" i="10"/>
  <c r="C602" i="10"/>
  <c r="C601" i="10"/>
  <c r="C600" i="10"/>
  <c r="C599" i="10"/>
  <c r="C598" i="10"/>
  <c r="C597" i="10"/>
  <c r="C596" i="10"/>
  <c r="C595" i="10"/>
  <c r="C594" i="10"/>
  <c r="C593" i="10"/>
  <c r="C592" i="10"/>
  <c r="C591" i="10"/>
  <c r="C590" i="10"/>
  <c r="C589" i="10"/>
  <c r="C588" i="10"/>
  <c r="C587" i="10"/>
  <c r="C586" i="10"/>
  <c r="C585" i="10"/>
  <c r="C584" i="10"/>
  <c r="C583" i="10"/>
  <c r="C582" i="10"/>
  <c r="C581" i="10"/>
  <c r="C580" i="10"/>
  <c r="C579" i="10"/>
  <c r="C578" i="10"/>
  <c r="C577" i="10"/>
  <c r="C576" i="10"/>
  <c r="C575" i="10"/>
  <c r="C574" i="10"/>
  <c r="C573" i="10"/>
  <c r="C572" i="10"/>
  <c r="C571" i="10"/>
  <c r="C570" i="10"/>
  <c r="C569" i="10"/>
  <c r="C568" i="10"/>
  <c r="C567" i="10"/>
  <c r="C566" i="10"/>
  <c r="C565" i="10"/>
  <c r="C564" i="10"/>
  <c r="C563" i="10"/>
  <c r="C562" i="10"/>
  <c r="C561" i="10"/>
  <c r="C560" i="10"/>
  <c r="C559" i="10"/>
  <c r="C558" i="10"/>
  <c r="C557" i="10"/>
  <c r="C556" i="10"/>
  <c r="C555" i="10"/>
  <c r="C554" i="10"/>
  <c r="C553" i="10"/>
  <c r="C552" i="10"/>
  <c r="C551" i="10"/>
  <c r="C550" i="10"/>
  <c r="C549" i="10"/>
  <c r="C548" i="10"/>
  <c r="C547" i="10"/>
  <c r="C546" i="10"/>
  <c r="C545" i="10"/>
  <c r="C544" i="10"/>
  <c r="C543" i="10"/>
  <c r="C542" i="10"/>
  <c r="C541" i="10"/>
  <c r="C540" i="10"/>
  <c r="C539" i="10"/>
  <c r="C538" i="10"/>
  <c r="C537" i="10"/>
  <c r="C536" i="10"/>
  <c r="C535" i="10"/>
  <c r="C534" i="10"/>
  <c r="C533" i="10"/>
  <c r="C532" i="10"/>
  <c r="C531" i="10"/>
  <c r="C530" i="10"/>
  <c r="C529" i="10"/>
  <c r="C528" i="10"/>
  <c r="C527" i="10"/>
  <c r="C526" i="10"/>
  <c r="C525" i="10"/>
  <c r="C524" i="10"/>
  <c r="C523" i="10"/>
  <c r="C522" i="10"/>
  <c r="C521" i="10"/>
  <c r="C520" i="10"/>
  <c r="C519" i="10"/>
  <c r="C518" i="10"/>
  <c r="C517" i="10"/>
  <c r="C516" i="10"/>
  <c r="C515" i="10"/>
  <c r="C514" i="10"/>
  <c r="C513" i="10"/>
  <c r="C512" i="10"/>
  <c r="C511" i="10"/>
  <c r="C510" i="10"/>
  <c r="C509" i="10"/>
  <c r="C508" i="10"/>
  <c r="C507" i="10"/>
  <c r="C506" i="10"/>
  <c r="C505" i="10"/>
  <c r="C504" i="10"/>
  <c r="C503" i="10"/>
  <c r="C502" i="10"/>
  <c r="C501" i="10"/>
  <c r="C500" i="10"/>
  <c r="C499" i="10"/>
  <c r="C498" i="10"/>
  <c r="C497" i="10"/>
  <c r="C496" i="10"/>
  <c r="C495" i="10"/>
  <c r="C494" i="10"/>
  <c r="C493" i="10"/>
  <c r="C492" i="10"/>
  <c r="C491" i="10"/>
  <c r="C490" i="10"/>
  <c r="C489" i="10"/>
  <c r="C488" i="10"/>
  <c r="C487" i="10"/>
  <c r="C486" i="10"/>
  <c r="C485" i="10"/>
  <c r="C484" i="10"/>
  <c r="C483" i="10"/>
  <c r="C482" i="10"/>
  <c r="C481" i="10"/>
  <c r="C480" i="10"/>
  <c r="C479" i="10"/>
  <c r="C478" i="10"/>
  <c r="C477" i="10"/>
  <c r="C476" i="10"/>
  <c r="C475" i="10"/>
  <c r="C474" i="10"/>
  <c r="C473" i="10"/>
  <c r="C472" i="10"/>
  <c r="C471" i="10"/>
  <c r="C470" i="10"/>
  <c r="C469" i="10"/>
  <c r="C468" i="10"/>
  <c r="C467" i="10"/>
  <c r="C466" i="10"/>
  <c r="C465" i="10"/>
  <c r="C464" i="10"/>
  <c r="C463" i="10"/>
  <c r="C462" i="10"/>
  <c r="C461" i="10"/>
  <c r="C460" i="10"/>
  <c r="C459" i="10"/>
  <c r="C458" i="10"/>
  <c r="C457" i="10"/>
  <c r="C456" i="10"/>
  <c r="C455" i="10"/>
  <c r="C454" i="10"/>
  <c r="C453" i="10"/>
  <c r="C452" i="10"/>
  <c r="C451" i="10"/>
  <c r="C450" i="10"/>
  <c r="C449" i="10"/>
  <c r="C448" i="10"/>
  <c r="C447" i="10"/>
  <c r="C446" i="10"/>
  <c r="C445" i="10"/>
  <c r="C444" i="10"/>
  <c r="C443" i="10"/>
  <c r="C442" i="10"/>
  <c r="C441" i="10"/>
  <c r="C440" i="10"/>
  <c r="C439" i="10"/>
  <c r="C438" i="10"/>
  <c r="C437" i="10"/>
  <c r="C436" i="10"/>
  <c r="C435" i="10"/>
  <c r="C434" i="10"/>
  <c r="C433" i="10"/>
  <c r="C432" i="10"/>
  <c r="C431" i="10"/>
  <c r="C430" i="10"/>
  <c r="C429" i="10"/>
  <c r="C428" i="10"/>
  <c r="C427" i="10"/>
  <c r="C426" i="10"/>
  <c r="C425" i="10"/>
  <c r="C424" i="10"/>
  <c r="C423" i="10"/>
  <c r="C422" i="10"/>
  <c r="C421" i="10"/>
  <c r="C420" i="10"/>
  <c r="C419" i="10"/>
  <c r="C418" i="10"/>
  <c r="C417" i="10"/>
  <c r="C416" i="10"/>
  <c r="C415" i="10"/>
  <c r="C414" i="10"/>
  <c r="C413" i="10"/>
  <c r="C412" i="10"/>
  <c r="C411" i="10"/>
  <c r="C410" i="10"/>
  <c r="C409" i="10"/>
  <c r="C408" i="10"/>
  <c r="C407" i="10"/>
  <c r="C406" i="10"/>
  <c r="C405" i="10"/>
  <c r="C404" i="10"/>
  <c r="C403" i="10"/>
  <c r="C402" i="10"/>
  <c r="C401" i="10"/>
  <c r="C400" i="10"/>
  <c r="C399" i="10"/>
  <c r="C398" i="10"/>
  <c r="C397" i="10"/>
  <c r="C396" i="10"/>
  <c r="C395" i="10"/>
  <c r="C394" i="10"/>
  <c r="C393" i="10"/>
  <c r="C392" i="10"/>
  <c r="C391" i="10"/>
  <c r="C390" i="10"/>
  <c r="C389" i="10"/>
  <c r="C388" i="10"/>
  <c r="C387" i="10"/>
  <c r="C386" i="10"/>
  <c r="C385" i="10"/>
  <c r="C384" i="10"/>
  <c r="C383" i="10"/>
  <c r="C382" i="10"/>
  <c r="C381" i="10"/>
  <c r="C380" i="10"/>
  <c r="C379" i="10"/>
  <c r="C378" i="10"/>
  <c r="C377" i="10"/>
  <c r="C376" i="10"/>
  <c r="C375" i="10"/>
  <c r="C374" i="10"/>
  <c r="C373" i="10"/>
  <c r="C372" i="10"/>
  <c r="C371" i="10"/>
  <c r="C370" i="10"/>
  <c r="C369" i="10"/>
  <c r="C368" i="10"/>
  <c r="C367" i="10"/>
  <c r="C366" i="10"/>
  <c r="C365" i="10"/>
  <c r="C364" i="10"/>
  <c r="C363" i="10"/>
  <c r="C362" i="10"/>
  <c r="C361" i="10"/>
  <c r="C360" i="10"/>
  <c r="C359" i="10"/>
  <c r="C358" i="10"/>
  <c r="C357" i="10"/>
  <c r="C356" i="10"/>
  <c r="C355" i="10"/>
  <c r="C354" i="10"/>
  <c r="C353" i="10"/>
  <c r="C352" i="10"/>
  <c r="C351" i="10"/>
  <c r="C350" i="10"/>
  <c r="C349" i="10"/>
  <c r="C348" i="10"/>
  <c r="C347" i="10"/>
  <c r="C346" i="10"/>
  <c r="C345" i="10"/>
  <c r="C344" i="10"/>
  <c r="C343" i="10"/>
  <c r="C342" i="10"/>
  <c r="C341" i="10"/>
  <c r="C340" i="10"/>
  <c r="C339" i="10"/>
  <c r="C338" i="10"/>
  <c r="C337" i="10"/>
  <c r="C336" i="10"/>
  <c r="C335" i="10"/>
  <c r="C334" i="10"/>
  <c r="C333" i="10"/>
  <c r="C332" i="10"/>
  <c r="C331" i="10"/>
  <c r="C330" i="10"/>
  <c r="C329" i="10"/>
  <c r="C328" i="10"/>
  <c r="C327" i="10"/>
  <c r="C326" i="10"/>
  <c r="C325" i="10"/>
  <c r="C324" i="10"/>
  <c r="C323" i="10"/>
  <c r="C322" i="10"/>
  <c r="C321" i="10"/>
  <c r="C320" i="10"/>
  <c r="C319" i="10"/>
  <c r="C318" i="10"/>
  <c r="C317" i="10"/>
  <c r="C316" i="10"/>
  <c r="C315" i="10"/>
  <c r="C314" i="10"/>
  <c r="C313" i="10"/>
  <c r="C312" i="10"/>
  <c r="C311" i="10"/>
  <c r="C310" i="10"/>
  <c r="C309" i="10"/>
  <c r="C308" i="10"/>
  <c r="C307" i="10"/>
  <c r="C306" i="10"/>
  <c r="C305" i="10"/>
  <c r="C304" i="10"/>
  <c r="C303" i="10"/>
  <c r="C302" i="10"/>
  <c r="C301" i="10"/>
  <c r="C300" i="10"/>
  <c r="C299" i="10"/>
  <c r="C298" i="10"/>
  <c r="C297" i="10"/>
  <c r="C296" i="10"/>
  <c r="C295" i="10"/>
  <c r="C294" i="10"/>
  <c r="C293" i="10"/>
  <c r="C292" i="10"/>
  <c r="C291" i="10"/>
  <c r="C290" i="10"/>
  <c r="C289" i="10"/>
  <c r="C288" i="10"/>
  <c r="C287" i="10"/>
  <c r="C286" i="10"/>
  <c r="C285" i="10"/>
  <c r="C284" i="10"/>
  <c r="C283" i="10"/>
  <c r="C282" i="10"/>
  <c r="C281" i="10"/>
  <c r="C280" i="10"/>
  <c r="C279" i="10"/>
  <c r="C278" i="10"/>
  <c r="C277" i="10"/>
  <c r="C276" i="10"/>
  <c r="C275" i="10"/>
  <c r="C274" i="10"/>
  <c r="C273" i="10"/>
  <c r="C272" i="10"/>
  <c r="C271" i="10"/>
  <c r="C270" i="10"/>
  <c r="C269" i="10"/>
  <c r="C268" i="10"/>
  <c r="C267" i="10"/>
  <c r="C266" i="10"/>
  <c r="C265" i="10"/>
  <c r="C264" i="10"/>
  <c r="C263" i="10"/>
  <c r="C262" i="10"/>
  <c r="C261" i="10"/>
  <c r="C260" i="10"/>
  <c r="C259" i="10"/>
  <c r="C258" i="10"/>
  <c r="C257" i="10"/>
  <c r="C256" i="10"/>
  <c r="C255" i="10"/>
  <c r="C254" i="10"/>
  <c r="C253" i="10"/>
  <c r="C252" i="10"/>
  <c r="C251" i="10"/>
  <c r="C250" i="10"/>
  <c r="C249" i="10"/>
  <c r="C248" i="10"/>
  <c r="C247" i="10"/>
  <c r="C246" i="10"/>
  <c r="C245" i="10"/>
  <c r="C244" i="10"/>
  <c r="C243" i="10"/>
  <c r="C242" i="10"/>
  <c r="C241" i="10"/>
  <c r="C240" i="10"/>
  <c r="C239" i="10"/>
  <c r="C238" i="10"/>
  <c r="C237" i="10"/>
  <c r="C236" i="10"/>
  <c r="C235" i="10"/>
  <c r="C234" i="10"/>
  <c r="C233" i="10"/>
  <c r="C232" i="10"/>
  <c r="C231" i="10"/>
  <c r="C230" i="10"/>
  <c r="C229" i="10"/>
  <c r="C228" i="10"/>
  <c r="C227" i="10"/>
  <c r="C226" i="10"/>
  <c r="C225" i="10"/>
  <c r="C224" i="10"/>
  <c r="C223" i="10"/>
  <c r="C222" i="10"/>
  <c r="C221" i="10"/>
  <c r="C220" i="10"/>
  <c r="C219" i="10"/>
  <c r="C218" i="10"/>
  <c r="C217" i="10"/>
  <c r="C216" i="10"/>
  <c r="C215" i="10"/>
  <c r="C214" i="10"/>
  <c r="C213" i="10"/>
  <c r="C212" i="10"/>
  <c r="C211" i="10"/>
  <c r="C210" i="10"/>
  <c r="C209" i="10"/>
  <c r="C208" i="10"/>
  <c r="C207" i="10"/>
  <c r="C206" i="10"/>
  <c r="C205" i="10"/>
  <c r="C204" i="10"/>
  <c r="C203" i="10"/>
  <c r="C202" i="10"/>
  <c r="C201" i="10"/>
  <c r="C200" i="10"/>
  <c r="C199" i="10"/>
  <c r="C198" i="10"/>
  <c r="C197" i="10"/>
  <c r="C196" i="10"/>
  <c r="C195" i="10"/>
  <c r="C194" i="10"/>
  <c r="C193" i="10"/>
  <c r="C192" i="10"/>
  <c r="C191" i="10"/>
  <c r="C190" i="10"/>
  <c r="C189" i="10"/>
  <c r="C188" i="10"/>
  <c r="C187" i="10"/>
  <c r="C186" i="10"/>
  <c r="C185" i="10"/>
  <c r="C184" i="10"/>
  <c r="C183" i="10"/>
  <c r="C182" i="10"/>
  <c r="C181" i="10"/>
  <c r="C180" i="10"/>
  <c r="C179" i="10"/>
  <c r="C178" i="10"/>
  <c r="C177" i="10"/>
  <c r="C176" i="10"/>
  <c r="C175" i="10"/>
  <c r="C174" i="10"/>
  <c r="C173" i="10"/>
  <c r="C172" i="10"/>
  <c r="C171" i="10"/>
  <c r="C170" i="10"/>
  <c r="C169" i="10"/>
  <c r="C168" i="10"/>
  <c r="C167" i="10"/>
  <c r="C166" i="10"/>
  <c r="C165" i="10"/>
  <c r="C164" i="10"/>
  <c r="C163" i="10"/>
  <c r="C162" i="10"/>
  <c r="C161" i="10"/>
  <c r="C160" i="10"/>
  <c r="C159" i="10"/>
  <c r="C158" i="10"/>
  <c r="C157" i="10"/>
  <c r="C156" i="10"/>
  <c r="C155" i="10"/>
  <c r="C154" i="10"/>
  <c r="C153" i="10"/>
  <c r="C152" i="10"/>
  <c r="C151" i="10"/>
  <c r="C150" i="10"/>
  <c r="C149" i="10"/>
  <c r="C148" i="10"/>
  <c r="C147" i="10"/>
  <c r="C146" i="10"/>
  <c r="C145" i="10"/>
  <c r="C144" i="10"/>
  <c r="C143" i="10"/>
  <c r="C142" i="10"/>
  <c r="C141" i="10"/>
  <c r="C140" i="10"/>
  <c r="C139" i="10"/>
  <c r="C138" i="10"/>
  <c r="C137" i="10"/>
  <c r="C136" i="10"/>
  <c r="C135" i="10"/>
  <c r="C134" i="10"/>
  <c r="C133" i="10"/>
  <c r="C132" i="10"/>
  <c r="C131" i="10"/>
  <c r="C130" i="10"/>
  <c r="C129" i="10"/>
  <c r="C128" i="10"/>
  <c r="C127" i="10"/>
  <c r="C126" i="10"/>
  <c r="C125" i="10"/>
  <c r="C124" i="10"/>
  <c r="C123" i="10"/>
  <c r="C122" i="10"/>
  <c r="C121" i="10"/>
  <c r="C120" i="10"/>
  <c r="C119" i="10"/>
  <c r="C118" i="10"/>
  <c r="C117" i="10"/>
  <c r="C116" i="10"/>
  <c r="C115" i="10"/>
  <c r="C114" i="10"/>
  <c r="C113" i="10"/>
  <c r="C112" i="10"/>
  <c r="C111" i="10"/>
  <c r="C110" i="10"/>
  <c r="C109" i="10"/>
  <c r="C108" i="10"/>
  <c r="C107" i="10"/>
  <c r="C106" i="10"/>
  <c r="C105" i="10"/>
  <c r="C104" i="10"/>
  <c r="C103" i="10"/>
  <c r="C102" i="10"/>
  <c r="C101" i="10"/>
  <c r="C100" i="10"/>
  <c r="C99" i="10"/>
  <c r="C98" i="10"/>
  <c r="C97" i="10"/>
  <c r="C96" i="10"/>
  <c r="C95" i="10"/>
  <c r="C94" i="10"/>
  <c r="C93" i="10"/>
  <c r="C92" i="10"/>
  <c r="C91" i="10"/>
  <c r="C90" i="10"/>
  <c r="C89" i="10"/>
  <c r="C88" i="10"/>
  <c r="C87" i="10"/>
  <c r="C86" i="10"/>
  <c r="C85" i="10"/>
  <c r="C84" i="10"/>
  <c r="C83" i="10"/>
  <c r="C82" i="10"/>
  <c r="C81" i="10"/>
  <c r="C80" i="10"/>
  <c r="C79" i="10"/>
  <c r="C78" i="10"/>
  <c r="C77" i="10"/>
  <c r="C76" i="10"/>
  <c r="C75" i="10"/>
  <c r="C74" i="10"/>
  <c r="C73" i="10"/>
  <c r="C72" i="10"/>
  <c r="C71" i="10"/>
  <c r="C70" i="10"/>
  <c r="C69" i="10"/>
  <c r="C68" i="10"/>
  <c r="C67" i="10"/>
  <c r="C66" i="10"/>
  <c r="C65" i="10"/>
  <c r="C64" i="10"/>
  <c r="C63" i="10"/>
  <c r="C62" i="10"/>
  <c r="C61" i="10"/>
  <c r="C60" i="10"/>
  <c r="C59" i="10"/>
  <c r="C58" i="10"/>
  <c r="C57" i="10"/>
  <c r="C56" i="10"/>
  <c r="C55" i="10"/>
  <c r="C54" i="10"/>
  <c r="C53" i="10"/>
  <c r="C52" i="10"/>
  <c r="C51" i="10"/>
  <c r="C50" i="10"/>
  <c r="C49" i="10"/>
  <c r="C48" i="10"/>
  <c r="C47" i="10"/>
  <c r="C46" i="10"/>
  <c r="C45" i="10"/>
  <c r="C44" i="10"/>
  <c r="C43" i="10"/>
  <c r="C42" i="10"/>
  <c r="C41" i="10"/>
  <c r="C40" i="10"/>
  <c r="C39" i="10"/>
  <c r="C38" i="10"/>
  <c r="C37" i="10"/>
  <c r="C36" i="10"/>
  <c r="C35" i="10"/>
  <c r="C34" i="10"/>
  <c r="C33" i="10"/>
  <c r="C32" i="10"/>
  <c r="C31" i="10"/>
  <c r="C30" i="10"/>
  <c r="C29" i="10"/>
  <c r="C28" i="10"/>
  <c r="C27" i="10"/>
  <c r="C26" i="10"/>
  <c r="C25" i="10"/>
  <c r="C24" i="10"/>
  <c r="C23" i="10"/>
  <c r="C22" i="10"/>
  <c r="C21" i="10"/>
  <c r="C20" i="10"/>
  <c r="C19" i="10"/>
  <c r="C18" i="10"/>
  <c r="C17" i="10"/>
  <c r="C16" i="10"/>
  <c r="C15" i="10"/>
  <c r="C14" i="10"/>
  <c r="C13" i="10"/>
  <c r="C12" i="10"/>
  <c r="C11" i="10"/>
  <c r="C10" i="10"/>
  <c r="C9" i="10"/>
  <c r="C8" i="10"/>
  <c r="C7" i="10"/>
  <c r="C6" i="10"/>
  <c r="C5" i="10"/>
  <c r="E91" i="30" l="1"/>
  <c r="E92" i="30" s="1"/>
  <c r="F46" i="30"/>
  <c r="F57" i="30" s="1"/>
  <c r="F56" i="30" s="1"/>
  <c r="F95" i="30"/>
  <c r="E69" i="29"/>
  <c r="F77" i="29"/>
  <c r="F93" i="29" s="1"/>
  <c r="F44" i="29"/>
  <c r="F55" i="29" s="1"/>
  <c r="F54" i="29" s="1"/>
  <c r="E78" i="29"/>
  <c r="E85" i="29" s="1"/>
  <c r="F30" i="29" s="1"/>
  <c r="E40" i="27"/>
  <c r="E71" i="27" s="1"/>
  <c r="E41" i="27"/>
  <c r="E72" i="27" s="1"/>
  <c r="E86" i="27" s="1"/>
  <c r="F31" i="27" s="1"/>
  <c r="E38" i="27"/>
  <c r="E39" i="27"/>
  <c r="E70" i="27" s="1"/>
  <c r="E84" i="27" s="1"/>
  <c r="F29" i="27" s="1"/>
  <c r="E41" i="26"/>
  <c r="E72" i="26" s="1"/>
  <c r="E86" i="26" s="1"/>
  <c r="F31" i="26" s="1"/>
  <c r="E39" i="26"/>
  <c r="E70" i="26" s="1"/>
  <c r="E84" i="26" s="1"/>
  <c r="F29" i="26" s="1"/>
  <c r="E38" i="26"/>
  <c r="E40" i="26"/>
  <c r="E71" i="26" s="1"/>
  <c r="E37" i="25"/>
  <c r="E38" i="24"/>
  <c r="E39" i="24"/>
  <c r="E70" i="24" s="1"/>
  <c r="E84" i="24" s="1"/>
  <c r="F29" i="24" s="1"/>
  <c r="E40" i="24"/>
  <c r="E71" i="24" s="1"/>
  <c r="E42" i="24"/>
  <c r="E73" i="24" s="1"/>
  <c r="E41" i="24"/>
  <c r="E72" i="24" s="1"/>
  <c r="E86" i="24" s="1"/>
  <c r="F31" i="24" s="1"/>
  <c r="E54" i="21"/>
  <c r="D83" i="21"/>
  <c r="D32" i="16"/>
  <c r="D45" i="16" s="1"/>
  <c r="D49" i="16" s="1"/>
  <c r="D54" i="16" s="1"/>
  <c r="D34" i="16"/>
  <c r="D47" i="16" s="1"/>
  <c r="D56" i="16" s="1"/>
  <c r="D33" i="16"/>
  <c r="D46" i="16" s="1"/>
  <c r="D55" i="16" s="1"/>
  <c r="E26" i="16" s="1"/>
  <c r="E50" i="16" s="1"/>
  <c r="E60" i="16" s="1"/>
  <c r="H38" i="16"/>
  <c r="H37" i="16" s="1"/>
  <c r="I23" i="16"/>
  <c r="I59" i="16"/>
  <c r="I51" i="16"/>
  <c r="I35" i="16"/>
  <c r="I36" i="16" s="1"/>
  <c r="J22" i="16"/>
  <c r="F29" i="30" l="1"/>
  <c r="F38" i="30" s="1"/>
  <c r="E76" i="29"/>
  <c r="F77" i="27"/>
  <c r="F93" i="27" s="1"/>
  <c r="F44" i="27"/>
  <c r="F55" i="27" s="1"/>
  <c r="F54" i="27" s="1"/>
  <c r="E69" i="27"/>
  <c r="E78" i="27"/>
  <c r="E85" i="27"/>
  <c r="F30" i="27" s="1"/>
  <c r="E78" i="26"/>
  <c r="E85" i="26" s="1"/>
  <c r="F30" i="26" s="1"/>
  <c r="E69" i="26"/>
  <c r="F77" i="26"/>
  <c r="F93" i="26" s="1"/>
  <c r="F44" i="26"/>
  <c r="F55" i="26" s="1"/>
  <c r="F54" i="26" s="1"/>
  <c r="E41" i="25"/>
  <c r="E72" i="25" s="1"/>
  <c r="E86" i="25" s="1"/>
  <c r="F31" i="25" s="1"/>
  <c r="E42" i="25"/>
  <c r="E73" i="25" s="1"/>
  <c r="E38" i="25"/>
  <c r="E39" i="25"/>
  <c r="E70" i="25" s="1"/>
  <c r="E84" i="25" s="1"/>
  <c r="F29" i="25" s="1"/>
  <c r="E40" i="25"/>
  <c r="E71" i="25" s="1"/>
  <c r="E69" i="24"/>
  <c r="E85" i="24"/>
  <c r="F30" i="24" s="1"/>
  <c r="E80" i="24"/>
  <c r="E87" i="24"/>
  <c r="F32" i="24" s="1"/>
  <c r="F93" i="24"/>
  <c r="F44" i="24"/>
  <c r="F55" i="24" s="1"/>
  <c r="F54" i="24" s="1"/>
  <c r="D89" i="21"/>
  <c r="E28" i="21"/>
  <c r="I38" i="16"/>
  <c r="I37" i="16" s="1"/>
  <c r="D57" i="16"/>
  <c r="E24" i="16" s="1"/>
  <c r="E25" i="16"/>
  <c r="J36" i="16"/>
  <c r="J38" i="16" s="1"/>
  <c r="J23" i="16"/>
  <c r="J35" i="16"/>
  <c r="J59" i="16"/>
  <c r="K22" i="16"/>
  <c r="J51" i="16"/>
  <c r="F37" i="30" l="1"/>
  <c r="F39" i="30" s="1"/>
  <c r="F44" i="30" s="1"/>
  <c r="E83" i="29"/>
  <c r="E83" i="27"/>
  <c r="E76" i="26"/>
  <c r="E83" i="26" s="1"/>
  <c r="E78" i="25"/>
  <c r="E85" i="25" s="1"/>
  <c r="F30" i="25" s="1"/>
  <c r="F77" i="25"/>
  <c r="F93" i="25" s="1"/>
  <c r="F44" i="25"/>
  <c r="F55" i="25" s="1"/>
  <c r="F54" i="25" s="1"/>
  <c r="E69" i="25"/>
  <c r="E80" i="25"/>
  <c r="E87" i="25" s="1"/>
  <c r="F32" i="25" s="1"/>
  <c r="E83" i="24"/>
  <c r="E27" i="21"/>
  <c r="D90" i="21"/>
  <c r="J37" i="16"/>
  <c r="K36" i="16"/>
  <c r="K59" i="16"/>
  <c r="K23" i="16"/>
  <c r="K35" i="16"/>
  <c r="L22" i="16"/>
  <c r="K51" i="16"/>
  <c r="E27" i="16"/>
  <c r="E29" i="16"/>
  <c r="E31" i="16" s="1"/>
  <c r="E30" i="16"/>
  <c r="F52" i="30" l="1"/>
  <c r="F50" i="30" s="1"/>
  <c r="F42" i="30"/>
  <c r="F43" i="30"/>
  <c r="F74" i="30" s="1"/>
  <c r="F88" i="30" s="1"/>
  <c r="G33" i="30" s="1"/>
  <c r="F41" i="30"/>
  <c r="F40" i="30"/>
  <c r="E89" i="29"/>
  <c r="F28" i="29"/>
  <c r="E89" i="27"/>
  <c r="F27" i="27" s="1"/>
  <c r="F28" i="27"/>
  <c r="E89" i="26"/>
  <c r="F27" i="26" s="1"/>
  <c r="F28" i="26"/>
  <c r="E76" i="25"/>
  <c r="E83" i="25" s="1"/>
  <c r="E89" i="24"/>
  <c r="F27" i="24" s="1"/>
  <c r="F28" i="24"/>
  <c r="E35" i="21"/>
  <c r="E36" i="21"/>
  <c r="L36" i="16"/>
  <c r="L59" i="16"/>
  <c r="L23" i="16"/>
  <c r="L35" i="16"/>
  <c r="L38" i="16"/>
  <c r="L51" i="16"/>
  <c r="L37" i="16"/>
  <c r="K38" i="16"/>
  <c r="K37" i="16" s="1"/>
  <c r="E33" i="16"/>
  <c r="E46" i="16" s="1"/>
  <c r="E55" i="16" s="1"/>
  <c r="F26" i="16" s="1"/>
  <c r="E32" i="16"/>
  <c r="E45" i="16" s="1"/>
  <c r="E34" i="16"/>
  <c r="E47" i="16" s="1"/>
  <c r="E56" i="16" s="1"/>
  <c r="E90" i="27" l="1"/>
  <c r="F73" i="30"/>
  <c r="F80" i="30" s="1"/>
  <c r="F87" i="30" s="1"/>
  <c r="G32" i="30" s="1"/>
  <c r="F75" i="30"/>
  <c r="F89" i="30" s="1"/>
  <c r="G34" i="30" s="1"/>
  <c r="F49" i="30"/>
  <c r="F48" i="30" s="1"/>
  <c r="F71" i="30" s="1"/>
  <c r="F85" i="30" s="1"/>
  <c r="F27" i="29"/>
  <c r="E90" i="29"/>
  <c r="F35" i="27"/>
  <c r="F36" i="27"/>
  <c r="E90" i="26"/>
  <c r="F35" i="26"/>
  <c r="F36" i="26"/>
  <c r="E89" i="25"/>
  <c r="F27" i="25" s="1"/>
  <c r="F28" i="25"/>
  <c r="E90" i="24"/>
  <c r="F35" i="24"/>
  <c r="F36" i="24"/>
  <c r="E37" i="21"/>
  <c r="E49" i="16"/>
  <c r="E54" i="16" s="1"/>
  <c r="F50" i="16"/>
  <c r="F60" i="16" s="1"/>
  <c r="F72" i="30" l="1"/>
  <c r="F86" i="30" s="1"/>
  <c r="G31" i="30" s="1"/>
  <c r="G95" i="30" s="1"/>
  <c r="G30" i="30"/>
  <c r="F35" i="29"/>
  <c r="F36" i="29"/>
  <c r="F37" i="27"/>
  <c r="F37" i="26"/>
  <c r="E90" i="25"/>
  <c r="F35" i="25"/>
  <c r="F36" i="25"/>
  <c r="F37" i="24"/>
  <c r="E38" i="21"/>
  <c r="E40" i="21"/>
  <c r="E71" i="21" s="1"/>
  <c r="E42" i="21"/>
  <c r="E73" i="21" s="1"/>
  <c r="E80" i="21" s="1"/>
  <c r="E41" i="21"/>
  <c r="E72" i="21" s="1"/>
  <c r="E86" i="21" s="1"/>
  <c r="F31" i="21" s="1"/>
  <c r="E39" i="21"/>
  <c r="E70" i="21" s="1"/>
  <c r="E84" i="21" s="1"/>
  <c r="F29" i="21" s="1"/>
  <c r="E57" i="16"/>
  <c r="F24" i="16" s="1"/>
  <c r="F25" i="16"/>
  <c r="F91" i="30" l="1"/>
  <c r="G29" i="30" s="1"/>
  <c r="G46" i="30"/>
  <c r="G57" i="30" s="1"/>
  <c r="G56" i="30" s="1"/>
  <c r="F37" i="29"/>
  <c r="F39" i="27"/>
  <c r="F70" i="27" s="1"/>
  <c r="F84" i="27" s="1"/>
  <c r="G29" i="27" s="1"/>
  <c r="F41" i="27"/>
  <c r="F72" i="27" s="1"/>
  <c r="F86" i="27" s="1"/>
  <c r="G31" i="27" s="1"/>
  <c r="F40" i="27"/>
  <c r="F71" i="27" s="1"/>
  <c r="F38" i="27"/>
  <c r="F40" i="26"/>
  <c r="F71" i="26" s="1"/>
  <c r="F38" i="26"/>
  <c r="F41" i="26"/>
  <c r="F72" i="26" s="1"/>
  <c r="F86" i="26" s="1"/>
  <c r="G31" i="26" s="1"/>
  <c r="F39" i="26"/>
  <c r="F70" i="26" s="1"/>
  <c r="F84" i="26" s="1"/>
  <c r="G29" i="26" s="1"/>
  <c r="F37" i="25"/>
  <c r="F40" i="24"/>
  <c r="F71" i="24" s="1"/>
  <c r="F39" i="24"/>
  <c r="F70" i="24" s="1"/>
  <c r="F84" i="24" s="1"/>
  <c r="G29" i="24" s="1"/>
  <c r="F38" i="24"/>
  <c r="F41" i="24"/>
  <c r="F72" i="24" s="1"/>
  <c r="F86" i="24" s="1"/>
  <c r="G31" i="24" s="1"/>
  <c r="F42" i="24"/>
  <c r="F73" i="24" s="1"/>
  <c r="F87" i="24" s="1"/>
  <c r="G32" i="24" s="1"/>
  <c r="E78" i="21"/>
  <c r="E85" i="21" s="1"/>
  <c r="F30" i="21" s="1"/>
  <c r="E87" i="21"/>
  <c r="F32" i="21" s="1"/>
  <c r="F77" i="21"/>
  <c r="F93" i="21" s="1"/>
  <c r="F44" i="21"/>
  <c r="E69" i="21"/>
  <c r="F27" i="16"/>
  <c r="F29" i="16"/>
  <c r="F31" i="16" s="1"/>
  <c r="F30" i="16"/>
  <c r="F92" i="30" l="1"/>
  <c r="G37" i="30"/>
  <c r="G38" i="30"/>
  <c r="F40" i="29"/>
  <c r="F71" i="29" s="1"/>
  <c r="F39" i="29"/>
  <c r="F70" i="29" s="1"/>
  <c r="F84" i="29" s="1"/>
  <c r="G29" i="29" s="1"/>
  <c r="F38" i="29"/>
  <c r="F41" i="29"/>
  <c r="F72" i="29" s="1"/>
  <c r="F86" i="29" s="1"/>
  <c r="G31" i="29" s="1"/>
  <c r="F69" i="27"/>
  <c r="F78" i="27"/>
  <c r="F85" i="27" s="1"/>
  <c r="G30" i="27" s="1"/>
  <c r="G77" i="27"/>
  <c r="G93" i="27" s="1"/>
  <c r="G44" i="27"/>
  <c r="G55" i="27" s="1"/>
  <c r="G54" i="27" s="1"/>
  <c r="G77" i="26"/>
  <c r="G93" i="26" s="1"/>
  <c r="G44" i="26"/>
  <c r="G55" i="26" s="1"/>
  <c r="G54" i="26" s="1"/>
  <c r="F69" i="26"/>
  <c r="F78" i="26"/>
  <c r="F85" i="26" s="1"/>
  <c r="G30" i="26" s="1"/>
  <c r="F38" i="25"/>
  <c r="F41" i="25"/>
  <c r="F72" i="25" s="1"/>
  <c r="F86" i="25" s="1"/>
  <c r="G31" i="25" s="1"/>
  <c r="F42" i="25"/>
  <c r="F73" i="25" s="1"/>
  <c r="F87" i="25" s="1"/>
  <c r="G32" i="25" s="1"/>
  <c r="F39" i="25"/>
  <c r="F70" i="25" s="1"/>
  <c r="F84" i="25" s="1"/>
  <c r="G29" i="25" s="1"/>
  <c r="F40" i="25"/>
  <c r="F71" i="25" s="1"/>
  <c r="F69" i="24"/>
  <c r="G93" i="24"/>
  <c r="G44" i="24"/>
  <c r="G55" i="24" s="1"/>
  <c r="G54" i="24" s="1"/>
  <c r="F85" i="24"/>
  <c r="G30" i="24" s="1"/>
  <c r="F55" i="21"/>
  <c r="E76" i="21"/>
  <c r="E83" i="21" s="1"/>
  <c r="F32" i="16"/>
  <c r="F45" i="16" s="1"/>
  <c r="F34" i="16"/>
  <c r="F47" i="16" s="1"/>
  <c r="F56" i="16" s="1"/>
  <c r="F33" i="16"/>
  <c r="F46" i="16" s="1"/>
  <c r="F55" i="16" s="1"/>
  <c r="G26" i="16" s="1"/>
  <c r="G39" i="30" l="1"/>
  <c r="G44" i="30" s="1"/>
  <c r="F69" i="29"/>
  <c r="G77" i="29"/>
  <c r="G93" i="29" s="1"/>
  <c r="G44" i="29"/>
  <c r="G55" i="29" s="1"/>
  <c r="G54" i="29" s="1"/>
  <c r="F78" i="29"/>
  <c r="F85" i="29"/>
  <c r="G30" i="29" s="1"/>
  <c r="F83" i="27"/>
  <c r="F76" i="26"/>
  <c r="F83" i="26" s="1"/>
  <c r="F78" i="25"/>
  <c r="F85" i="25" s="1"/>
  <c r="G30" i="25" s="1"/>
  <c r="G77" i="25"/>
  <c r="G93" i="25" s="1"/>
  <c r="G44" i="25"/>
  <c r="G55" i="25" s="1"/>
  <c r="G54" i="25" s="1"/>
  <c r="F69" i="25"/>
  <c r="F54" i="21"/>
  <c r="E89" i="21"/>
  <c r="F27" i="21" s="1"/>
  <c r="F28" i="21"/>
  <c r="G50" i="16"/>
  <c r="F49" i="16"/>
  <c r="F54" i="16" s="1"/>
  <c r="G52" i="30" l="1"/>
  <c r="G50" i="30" s="1"/>
  <c r="G43" i="30"/>
  <c r="G74" i="30" s="1"/>
  <c r="G88" i="30" s="1"/>
  <c r="G42" i="30"/>
  <c r="G41" i="30"/>
  <c r="G40" i="30"/>
  <c r="F76" i="29"/>
  <c r="F83" i="29"/>
  <c r="F89" i="27"/>
  <c r="G27" i="27" s="1"/>
  <c r="G28" i="27"/>
  <c r="F89" i="26"/>
  <c r="G27" i="26" s="1"/>
  <c r="G28" i="26"/>
  <c r="F90" i="26"/>
  <c r="F76" i="25"/>
  <c r="F83" i="25" s="1"/>
  <c r="F83" i="24"/>
  <c r="E90" i="21"/>
  <c r="F35" i="21"/>
  <c r="F36" i="21"/>
  <c r="F57" i="16"/>
  <c r="G24" i="16" s="1"/>
  <c r="G25" i="16"/>
  <c r="H50" i="16"/>
  <c r="G60" i="16"/>
  <c r="G73" i="30" l="1"/>
  <c r="G80" i="30" s="1"/>
  <c r="G87" i="30" s="1"/>
  <c r="G75" i="30"/>
  <c r="G89" i="30" s="1"/>
  <c r="G49" i="30"/>
  <c r="G48" i="30" s="1"/>
  <c r="G71" i="30" s="1"/>
  <c r="G85" i="30" s="1"/>
  <c r="F89" i="29"/>
  <c r="G27" i="29" s="1"/>
  <c r="G28" i="29"/>
  <c r="F90" i="29"/>
  <c r="G35" i="27"/>
  <c r="G36" i="27"/>
  <c r="F90" i="27"/>
  <c r="G35" i="26"/>
  <c r="G36" i="26"/>
  <c r="F89" i="25"/>
  <c r="G27" i="25" s="1"/>
  <c r="G28" i="25"/>
  <c r="F89" i="24"/>
  <c r="G28" i="24"/>
  <c r="F37" i="21"/>
  <c r="I50" i="16"/>
  <c r="H60" i="16"/>
  <c r="G27" i="16"/>
  <c r="G29" i="16"/>
  <c r="G31" i="16" s="1"/>
  <c r="G30" i="16"/>
  <c r="G72" i="30" l="1"/>
  <c r="G86" i="30" s="1"/>
  <c r="G91" i="30" s="1"/>
  <c r="G92" i="30" s="1"/>
  <c r="G35" i="29"/>
  <c r="G36" i="29"/>
  <c r="G37" i="27"/>
  <c r="G37" i="26"/>
  <c r="G35" i="25"/>
  <c r="G36" i="25"/>
  <c r="F90" i="25"/>
  <c r="G27" i="24"/>
  <c r="F90" i="24"/>
  <c r="F42" i="21"/>
  <c r="F73" i="21" s="1"/>
  <c r="F87" i="21" s="1"/>
  <c r="G32" i="21" s="1"/>
  <c r="F41" i="21"/>
  <c r="F72" i="21" s="1"/>
  <c r="F86" i="21" s="1"/>
  <c r="G31" i="21" s="1"/>
  <c r="F39" i="21"/>
  <c r="F70" i="21" s="1"/>
  <c r="F84" i="21" s="1"/>
  <c r="G29" i="21" s="1"/>
  <c r="F38" i="21"/>
  <c r="F40" i="21"/>
  <c r="F71" i="21" s="1"/>
  <c r="G33" i="16"/>
  <c r="G46" i="16" s="1"/>
  <c r="G55" i="16" s="1"/>
  <c r="H26" i="16" s="1"/>
  <c r="G32" i="16"/>
  <c r="G45" i="16" s="1"/>
  <c r="G34" i="16"/>
  <c r="G47" i="16" s="1"/>
  <c r="G56" i="16" s="1"/>
  <c r="J50" i="16"/>
  <c r="I60" i="16"/>
  <c r="G37" i="29" l="1"/>
  <c r="G38" i="27"/>
  <c r="G40" i="27"/>
  <c r="G71" i="27" s="1"/>
  <c r="G39" i="27"/>
  <c r="G70" i="27" s="1"/>
  <c r="G84" i="27" s="1"/>
  <c r="G41" i="27"/>
  <c r="G72" i="27" s="1"/>
  <c r="G86" i="27" s="1"/>
  <c r="G38" i="26"/>
  <c r="G39" i="26"/>
  <c r="G70" i="26" s="1"/>
  <c r="G84" i="26" s="1"/>
  <c r="H29" i="26" s="1"/>
  <c r="G40" i="26"/>
  <c r="G71" i="26" s="1"/>
  <c r="G41" i="26"/>
  <c r="G72" i="26" s="1"/>
  <c r="G86" i="26" s="1"/>
  <c r="H31" i="26" s="1"/>
  <c r="G37" i="25"/>
  <c r="G35" i="24"/>
  <c r="G36" i="24"/>
  <c r="F78" i="21"/>
  <c r="F85" i="21" s="1"/>
  <c r="G30" i="21" s="1"/>
  <c r="F69" i="21"/>
  <c r="G77" i="21"/>
  <c r="G93" i="21" s="1"/>
  <c r="G44" i="21"/>
  <c r="K50" i="16"/>
  <c r="J60" i="16"/>
  <c r="G49" i="16"/>
  <c r="G54" i="16" s="1"/>
  <c r="G38" i="29" l="1"/>
  <c r="G40" i="29"/>
  <c r="G71" i="29" s="1"/>
  <c r="G41" i="29"/>
  <c r="G72" i="29" s="1"/>
  <c r="G86" i="29" s="1"/>
  <c r="H31" i="29" s="1"/>
  <c r="G39" i="29"/>
  <c r="G70" i="29" s="1"/>
  <c r="G84" i="29" s="1"/>
  <c r="H29" i="29" s="1"/>
  <c r="G78" i="27"/>
  <c r="G85" i="27" s="1"/>
  <c r="G69" i="27"/>
  <c r="H93" i="26"/>
  <c r="H44" i="26"/>
  <c r="H55" i="26" s="1"/>
  <c r="H54" i="26" s="1"/>
  <c r="G78" i="26"/>
  <c r="G85" i="26" s="1"/>
  <c r="H30" i="26" s="1"/>
  <c r="G69" i="26"/>
  <c r="G41" i="25"/>
  <c r="G72" i="25" s="1"/>
  <c r="G86" i="25" s="1"/>
  <c r="H31" i="25" s="1"/>
  <c r="G42" i="25"/>
  <c r="G73" i="25" s="1"/>
  <c r="G87" i="25" s="1"/>
  <c r="H32" i="25" s="1"/>
  <c r="G40" i="25"/>
  <c r="G71" i="25" s="1"/>
  <c r="G39" i="25"/>
  <c r="G70" i="25" s="1"/>
  <c r="G84" i="25" s="1"/>
  <c r="H29" i="25" s="1"/>
  <c r="G38" i="25"/>
  <c r="G37" i="24"/>
  <c r="G55" i="21"/>
  <c r="F76" i="21"/>
  <c r="F83" i="21" s="1"/>
  <c r="G57" i="16"/>
  <c r="H24" i="16" s="1"/>
  <c r="H25" i="16"/>
  <c r="L50" i="16"/>
  <c r="L60" i="16" s="1"/>
  <c r="K60" i="16"/>
  <c r="H77" i="29" l="1"/>
  <c r="H93" i="29" s="1"/>
  <c r="H44" i="29"/>
  <c r="H55" i="29" s="1"/>
  <c r="H54" i="29" s="1"/>
  <c r="G78" i="29"/>
  <c r="G85" i="29" s="1"/>
  <c r="H30" i="29" s="1"/>
  <c r="G69" i="29"/>
  <c r="G83" i="27"/>
  <c r="G89" i="27" s="1"/>
  <c r="G76" i="26"/>
  <c r="G83" i="26" s="1"/>
  <c r="G69" i="25"/>
  <c r="H77" i="25"/>
  <c r="H93" i="25" s="1"/>
  <c r="H44" i="25"/>
  <c r="H55" i="25" s="1"/>
  <c r="H54" i="25" s="1"/>
  <c r="G78" i="25"/>
  <c r="G85" i="25"/>
  <c r="H30" i="25" s="1"/>
  <c r="G39" i="24"/>
  <c r="G70" i="24" s="1"/>
  <c r="G84" i="24" s="1"/>
  <c r="H29" i="24" s="1"/>
  <c r="G41" i="24"/>
  <c r="G72" i="24" s="1"/>
  <c r="G86" i="24" s="1"/>
  <c r="H31" i="24" s="1"/>
  <c r="G40" i="24"/>
  <c r="G71" i="24" s="1"/>
  <c r="G42" i="24"/>
  <c r="G73" i="24" s="1"/>
  <c r="G87" i="24" s="1"/>
  <c r="H32" i="24" s="1"/>
  <c r="G38" i="24"/>
  <c r="F89" i="21"/>
  <c r="G27" i="21" s="1"/>
  <c r="G28" i="21"/>
  <c r="G54" i="21"/>
  <c r="H27" i="16"/>
  <c r="H29" i="16"/>
  <c r="H30" i="16"/>
  <c r="G76" i="29" l="1"/>
  <c r="G83" i="29" s="1"/>
  <c r="G90" i="27"/>
  <c r="G89" i="26"/>
  <c r="H27" i="26" s="1"/>
  <c r="H28" i="26"/>
  <c r="G90" i="26"/>
  <c r="G76" i="25"/>
  <c r="G83" i="25" s="1"/>
  <c r="G69" i="24"/>
  <c r="G85" i="24"/>
  <c r="H30" i="24" s="1"/>
  <c r="H93" i="24"/>
  <c r="H44" i="24"/>
  <c r="H55" i="24" s="1"/>
  <c r="H54" i="24" s="1"/>
  <c r="F90" i="21"/>
  <c r="G35" i="21"/>
  <c r="G36" i="21"/>
  <c r="H31" i="16"/>
  <c r="H34" i="16" s="1"/>
  <c r="H47" i="16" s="1"/>
  <c r="H56" i="16" s="1"/>
  <c r="G89" i="29" l="1"/>
  <c r="H27" i="29" s="1"/>
  <c r="H28" i="29"/>
  <c r="H35" i="26"/>
  <c r="H36" i="26"/>
  <c r="G89" i="25"/>
  <c r="H27" i="25" s="1"/>
  <c r="H28" i="25"/>
  <c r="G83" i="24"/>
  <c r="G37" i="21"/>
  <c r="H33" i="16"/>
  <c r="H46" i="16" s="1"/>
  <c r="H55" i="16" s="1"/>
  <c r="I26" i="16" s="1"/>
  <c r="H32" i="16"/>
  <c r="H45" i="16" s="1"/>
  <c r="H54" i="16" s="1"/>
  <c r="G90" i="29" l="1"/>
  <c r="H35" i="29"/>
  <c r="H36" i="29"/>
  <c r="H37" i="26"/>
  <c r="H35" i="25"/>
  <c r="H36" i="25"/>
  <c r="G90" i="25"/>
  <c r="G89" i="24"/>
  <c r="H27" i="24" s="1"/>
  <c r="H28" i="24"/>
  <c r="G40" i="21"/>
  <c r="G71" i="21" s="1"/>
  <c r="G42" i="21"/>
  <c r="G73" i="21" s="1"/>
  <c r="G87" i="21" s="1"/>
  <c r="H32" i="21" s="1"/>
  <c r="G38" i="21"/>
  <c r="G41" i="21"/>
  <c r="G72" i="21" s="1"/>
  <c r="G86" i="21" s="1"/>
  <c r="H31" i="21" s="1"/>
  <c r="G39" i="21"/>
  <c r="G70" i="21" s="1"/>
  <c r="G84" i="21" s="1"/>
  <c r="H29" i="21" s="1"/>
  <c r="H57" i="16"/>
  <c r="I24" i="16" s="1"/>
  <c r="I27" i="16" s="1"/>
  <c r="I25" i="16"/>
  <c r="H37" i="29" l="1"/>
  <c r="H38" i="26"/>
  <c r="H39" i="26"/>
  <c r="H70" i="26" s="1"/>
  <c r="H84" i="26" s="1"/>
  <c r="I29" i="26" s="1"/>
  <c r="H41" i="26"/>
  <c r="H72" i="26" s="1"/>
  <c r="H86" i="26" s="1"/>
  <c r="I31" i="26" s="1"/>
  <c r="H40" i="26"/>
  <c r="H71" i="26" s="1"/>
  <c r="H37" i="25"/>
  <c r="G90" i="24"/>
  <c r="H35" i="24"/>
  <c r="H36" i="24"/>
  <c r="G78" i="21"/>
  <c r="G85" i="21" s="1"/>
  <c r="H30" i="21" s="1"/>
  <c r="H77" i="21"/>
  <c r="H93" i="21" s="1"/>
  <c r="H44" i="21"/>
  <c r="G69" i="21"/>
  <c r="I30" i="16"/>
  <c r="I29" i="16"/>
  <c r="I31" i="16" s="1"/>
  <c r="I34" i="16" s="1"/>
  <c r="I47" i="16" s="1"/>
  <c r="I56" i="16" s="1"/>
  <c r="H39" i="29" l="1"/>
  <c r="H70" i="29" s="1"/>
  <c r="H84" i="29" s="1"/>
  <c r="I29" i="29" s="1"/>
  <c r="H41" i="29"/>
  <c r="H72" i="29" s="1"/>
  <c r="H86" i="29" s="1"/>
  <c r="I31" i="29" s="1"/>
  <c r="H40" i="29"/>
  <c r="H71" i="29" s="1"/>
  <c r="H38" i="29"/>
  <c r="H85" i="26"/>
  <c r="I30" i="26" s="1"/>
  <c r="I44" i="26"/>
  <c r="I55" i="26" s="1"/>
  <c r="I54" i="26" s="1"/>
  <c r="I93" i="26"/>
  <c r="H69" i="26"/>
  <c r="H42" i="25"/>
  <c r="H73" i="25" s="1"/>
  <c r="H41" i="25"/>
  <c r="H72" i="25" s="1"/>
  <c r="H86" i="25" s="1"/>
  <c r="I31" i="25" s="1"/>
  <c r="H39" i="25"/>
  <c r="H70" i="25" s="1"/>
  <c r="H84" i="25" s="1"/>
  <c r="I29" i="25" s="1"/>
  <c r="H38" i="25"/>
  <c r="H40" i="25"/>
  <c r="H71" i="25" s="1"/>
  <c r="H37" i="24"/>
  <c r="G76" i="21"/>
  <c r="G83" i="21" s="1"/>
  <c r="H55" i="21"/>
  <c r="I32" i="16"/>
  <c r="I45" i="16" s="1"/>
  <c r="I54" i="16" s="1"/>
  <c r="J25" i="16" s="1"/>
  <c r="I33" i="16"/>
  <c r="I46" i="16" s="1"/>
  <c r="I55" i="16" s="1"/>
  <c r="J26" i="16" s="1"/>
  <c r="H69" i="29" l="1"/>
  <c r="H78" i="29"/>
  <c r="H85" i="29" s="1"/>
  <c r="I30" i="29" s="1"/>
  <c r="I44" i="29"/>
  <c r="I55" i="29" s="1"/>
  <c r="I54" i="29" s="1"/>
  <c r="I77" i="29"/>
  <c r="I93" i="29" s="1"/>
  <c r="H83" i="26"/>
  <c r="H78" i="25"/>
  <c r="H85" i="25" s="1"/>
  <c r="I30" i="25" s="1"/>
  <c r="H69" i="25"/>
  <c r="I44" i="25"/>
  <c r="I55" i="25" s="1"/>
  <c r="I54" i="25" s="1"/>
  <c r="I77" i="25"/>
  <c r="I93" i="25" s="1"/>
  <c r="H80" i="25"/>
  <c r="H87" i="25"/>
  <c r="I32" i="25" s="1"/>
  <c r="H40" i="24"/>
  <c r="H71" i="24" s="1"/>
  <c r="H38" i="24"/>
  <c r="H42" i="24"/>
  <c r="H73" i="24" s="1"/>
  <c r="H41" i="24"/>
  <c r="H72" i="24" s="1"/>
  <c r="H86" i="24" s="1"/>
  <c r="I31" i="24" s="1"/>
  <c r="H39" i="24"/>
  <c r="H70" i="24" s="1"/>
  <c r="H84" i="24" s="1"/>
  <c r="I29" i="24" s="1"/>
  <c r="G89" i="21"/>
  <c r="H27" i="21" s="1"/>
  <c r="H28" i="21"/>
  <c r="H54" i="21"/>
  <c r="I57" i="16"/>
  <c r="J24" i="16" s="1"/>
  <c r="J27" i="16" s="1"/>
  <c r="H76" i="29" l="1"/>
  <c r="H83" i="29" s="1"/>
  <c r="I28" i="26"/>
  <c r="H89" i="26"/>
  <c r="I27" i="26" s="1"/>
  <c r="H90" i="26"/>
  <c r="H76" i="25"/>
  <c r="H83" i="25" s="1"/>
  <c r="I44" i="24"/>
  <c r="I55" i="24" s="1"/>
  <c r="I54" i="24" s="1"/>
  <c r="I93" i="24"/>
  <c r="H80" i="24"/>
  <c r="H87" i="24"/>
  <c r="I32" i="24" s="1"/>
  <c r="H69" i="24"/>
  <c r="H85" i="24"/>
  <c r="I30" i="24" s="1"/>
  <c r="G90" i="21"/>
  <c r="H35" i="21"/>
  <c r="H36" i="21"/>
  <c r="J30" i="16"/>
  <c r="J29" i="16"/>
  <c r="J31" i="16" s="1"/>
  <c r="J34" i="16" s="1"/>
  <c r="J47" i="16" s="1"/>
  <c r="J56" i="16" s="1"/>
  <c r="I28" i="29" l="1"/>
  <c r="H89" i="29"/>
  <c r="I27" i="29" s="1"/>
  <c r="I35" i="26"/>
  <c r="I36" i="26"/>
  <c r="I28" i="25"/>
  <c r="H89" i="25"/>
  <c r="I27" i="25" s="1"/>
  <c r="H83" i="24"/>
  <c r="H37" i="21"/>
  <c r="J32" i="16"/>
  <c r="J45" i="16" s="1"/>
  <c r="J54" i="16" s="1"/>
  <c r="K25" i="16" s="1"/>
  <c r="J33" i="16"/>
  <c r="J46" i="16" s="1"/>
  <c r="J55" i="16" s="1"/>
  <c r="K26" i="16" s="1"/>
  <c r="H90" i="29" l="1"/>
  <c r="I35" i="29"/>
  <c r="I36" i="29"/>
  <c r="I37" i="26"/>
  <c r="H90" i="25"/>
  <c r="I35" i="25"/>
  <c r="I36" i="25"/>
  <c r="I28" i="24"/>
  <c r="H89" i="24"/>
  <c r="I27" i="24" s="1"/>
  <c r="H39" i="21"/>
  <c r="H70" i="21" s="1"/>
  <c r="H84" i="21" s="1"/>
  <c r="I29" i="21" s="1"/>
  <c r="H38" i="21"/>
  <c r="H40" i="21"/>
  <c r="H71" i="21" s="1"/>
  <c r="H42" i="21"/>
  <c r="H73" i="21" s="1"/>
  <c r="H41" i="21"/>
  <c r="H72" i="21" s="1"/>
  <c r="H86" i="21" s="1"/>
  <c r="I31" i="21" s="1"/>
  <c r="J57" i="16"/>
  <c r="K24" i="16" s="1"/>
  <c r="K27" i="16" s="1"/>
  <c r="I37" i="29" l="1"/>
  <c r="I40" i="26"/>
  <c r="I71" i="26" s="1"/>
  <c r="I39" i="26"/>
  <c r="I70" i="26" s="1"/>
  <c r="I84" i="26" s="1"/>
  <c r="J29" i="26" s="1"/>
  <c r="I41" i="26"/>
  <c r="I72" i="26" s="1"/>
  <c r="I86" i="26" s="1"/>
  <c r="J31" i="26" s="1"/>
  <c r="I38" i="26"/>
  <c r="I37" i="25"/>
  <c r="I35" i="24"/>
  <c r="I36" i="24"/>
  <c r="H90" i="24"/>
  <c r="H78" i="21"/>
  <c r="H85" i="21" s="1"/>
  <c r="I30" i="21" s="1"/>
  <c r="H80" i="21"/>
  <c r="H87" i="21" s="1"/>
  <c r="I32" i="21" s="1"/>
  <c r="H69" i="21"/>
  <c r="I77" i="21"/>
  <c r="I93" i="21" s="1"/>
  <c r="I44" i="21"/>
  <c r="K29" i="16"/>
  <c r="K30" i="16"/>
  <c r="I41" i="29" l="1"/>
  <c r="I72" i="29" s="1"/>
  <c r="I86" i="29" s="1"/>
  <c r="J31" i="29" s="1"/>
  <c r="I39" i="29"/>
  <c r="I70" i="29" s="1"/>
  <c r="I84" i="29" s="1"/>
  <c r="J29" i="29" s="1"/>
  <c r="I38" i="29"/>
  <c r="I40" i="29"/>
  <c r="I71" i="29" s="1"/>
  <c r="I69" i="26"/>
  <c r="J44" i="26"/>
  <c r="J55" i="26" s="1"/>
  <c r="J54" i="26" s="1"/>
  <c r="J93" i="26"/>
  <c r="I85" i="26"/>
  <c r="J30" i="26" s="1"/>
  <c r="I38" i="25"/>
  <c r="I42" i="25"/>
  <c r="I73" i="25" s="1"/>
  <c r="I87" i="25" s="1"/>
  <c r="J32" i="25" s="1"/>
  <c r="I40" i="25"/>
  <c r="I71" i="25" s="1"/>
  <c r="I41" i="25"/>
  <c r="I72" i="25" s="1"/>
  <c r="I86" i="25" s="1"/>
  <c r="J31" i="25" s="1"/>
  <c r="I39" i="25"/>
  <c r="I70" i="25" s="1"/>
  <c r="I84" i="25" s="1"/>
  <c r="J29" i="25" s="1"/>
  <c r="I37" i="24"/>
  <c r="I55" i="21"/>
  <c r="H76" i="21"/>
  <c r="H83" i="21" s="1"/>
  <c r="K31" i="16"/>
  <c r="K32" i="16" s="1"/>
  <c r="K45" i="16" s="1"/>
  <c r="K54" i="16" s="1"/>
  <c r="L25" i="16" s="1"/>
  <c r="I78" i="29" l="1"/>
  <c r="I85" i="29"/>
  <c r="J30" i="29" s="1"/>
  <c r="I69" i="29"/>
  <c r="J77" i="29"/>
  <c r="J93" i="29" s="1"/>
  <c r="J44" i="29"/>
  <c r="J55" i="29" s="1"/>
  <c r="J54" i="29" s="1"/>
  <c r="I83" i="26"/>
  <c r="J77" i="25"/>
  <c r="J93" i="25" s="1"/>
  <c r="J44" i="25"/>
  <c r="J55" i="25" s="1"/>
  <c r="J54" i="25" s="1"/>
  <c r="I78" i="25"/>
  <c r="I85" i="25" s="1"/>
  <c r="J30" i="25" s="1"/>
  <c r="I69" i="25"/>
  <c r="I41" i="24"/>
  <c r="I72" i="24" s="1"/>
  <c r="I86" i="24" s="1"/>
  <c r="J31" i="24" s="1"/>
  <c r="I40" i="24"/>
  <c r="I71" i="24" s="1"/>
  <c r="I42" i="24"/>
  <c r="I73" i="24" s="1"/>
  <c r="I87" i="24" s="1"/>
  <c r="J32" i="24" s="1"/>
  <c r="I38" i="24"/>
  <c r="I39" i="24"/>
  <c r="I70" i="24" s="1"/>
  <c r="I84" i="24" s="1"/>
  <c r="J29" i="24" s="1"/>
  <c r="I54" i="21"/>
  <c r="H89" i="21"/>
  <c r="I27" i="21" s="1"/>
  <c r="I28" i="21"/>
  <c r="K33" i="16"/>
  <c r="K46" i="16" s="1"/>
  <c r="K55" i="16" s="1"/>
  <c r="L26" i="16" s="1"/>
  <c r="K34" i="16"/>
  <c r="K47" i="16" s="1"/>
  <c r="K56" i="16" s="1"/>
  <c r="I76" i="29" l="1"/>
  <c r="I83" i="29" s="1"/>
  <c r="I89" i="26"/>
  <c r="J27" i="26" s="1"/>
  <c r="J28" i="26"/>
  <c r="I90" i="26"/>
  <c r="I76" i="25"/>
  <c r="I83" i="25" s="1"/>
  <c r="J93" i="24"/>
  <c r="J44" i="24"/>
  <c r="J55" i="24" s="1"/>
  <c r="J54" i="24" s="1"/>
  <c r="I69" i="24"/>
  <c r="I85" i="24"/>
  <c r="J30" i="24" s="1"/>
  <c r="H90" i="21"/>
  <c r="I35" i="21"/>
  <c r="I36" i="21"/>
  <c r="K57" i="16"/>
  <c r="L24" i="16" s="1"/>
  <c r="L30" i="16" s="1"/>
  <c r="I89" i="29" l="1"/>
  <c r="J27" i="29" s="1"/>
  <c r="J28" i="29"/>
  <c r="I90" i="29"/>
  <c r="J35" i="26"/>
  <c r="J36" i="26"/>
  <c r="I89" i="25"/>
  <c r="J27" i="25" s="1"/>
  <c r="J28" i="25"/>
  <c r="I83" i="24"/>
  <c r="I37" i="21"/>
  <c r="L27" i="16"/>
  <c r="L29" i="16"/>
  <c r="L31" i="16" s="1"/>
  <c r="L32" i="16" s="1"/>
  <c r="L45" i="16" s="1"/>
  <c r="L54" i="16" s="1"/>
  <c r="J35" i="29" l="1"/>
  <c r="J36" i="29"/>
  <c r="J37" i="26"/>
  <c r="I90" i="25"/>
  <c r="J35" i="25"/>
  <c r="J36" i="25"/>
  <c r="I89" i="24"/>
  <c r="J27" i="24" s="1"/>
  <c r="J28" i="24"/>
  <c r="I41" i="21"/>
  <c r="I72" i="21" s="1"/>
  <c r="I86" i="21" s="1"/>
  <c r="J31" i="21" s="1"/>
  <c r="I42" i="21"/>
  <c r="I73" i="21" s="1"/>
  <c r="I87" i="21" s="1"/>
  <c r="J32" i="21" s="1"/>
  <c r="I38" i="21"/>
  <c r="I39" i="21"/>
  <c r="I70" i="21" s="1"/>
  <c r="I84" i="21" s="1"/>
  <c r="J29" i="21" s="1"/>
  <c r="I40" i="21"/>
  <c r="I71" i="21" s="1"/>
  <c r="L33" i="16"/>
  <c r="L46" i="16" s="1"/>
  <c r="L55" i="16" s="1"/>
  <c r="L34" i="16"/>
  <c r="L47" i="16" s="1"/>
  <c r="L56" i="16" s="1"/>
  <c r="J37" i="29" l="1"/>
  <c r="J40" i="26"/>
  <c r="J71" i="26" s="1"/>
  <c r="J41" i="26"/>
  <c r="J72" i="26" s="1"/>
  <c r="J86" i="26" s="1"/>
  <c r="K31" i="26" s="1"/>
  <c r="J39" i="26"/>
  <c r="J70" i="26" s="1"/>
  <c r="J84" i="26" s="1"/>
  <c r="K29" i="26" s="1"/>
  <c r="J38" i="26"/>
  <c r="J37" i="25"/>
  <c r="I90" i="24"/>
  <c r="J35" i="24"/>
  <c r="J36" i="24"/>
  <c r="I78" i="21"/>
  <c r="I85" i="21" s="1"/>
  <c r="J30" i="21" s="1"/>
  <c r="J77" i="21"/>
  <c r="J93" i="21" s="1"/>
  <c r="J44" i="21"/>
  <c r="I69" i="21"/>
  <c r="L57" i="16"/>
  <c r="J40" i="29" l="1"/>
  <c r="J71" i="29" s="1"/>
  <c r="J38" i="29"/>
  <c r="J39" i="29"/>
  <c r="J70" i="29" s="1"/>
  <c r="J84" i="29" s="1"/>
  <c r="K29" i="29" s="1"/>
  <c r="J41" i="29"/>
  <c r="J72" i="29" s="1"/>
  <c r="J86" i="29" s="1"/>
  <c r="K31" i="29" s="1"/>
  <c r="J69" i="26"/>
  <c r="K93" i="26"/>
  <c r="K44" i="26"/>
  <c r="K55" i="26" s="1"/>
  <c r="K54" i="26" s="1"/>
  <c r="J85" i="26"/>
  <c r="K30" i="26" s="1"/>
  <c r="J41" i="25"/>
  <c r="J72" i="25" s="1"/>
  <c r="J86" i="25" s="1"/>
  <c r="K31" i="25" s="1"/>
  <c r="J40" i="25"/>
  <c r="J71" i="25" s="1"/>
  <c r="J39" i="25"/>
  <c r="J70" i="25" s="1"/>
  <c r="J84" i="25" s="1"/>
  <c r="K29" i="25" s="1"/>
  <c r="J38" i="25"/>
  <c r="J42" i="25"/>
  <c r="J73" i="25" s="1"/>
  <c r="J87" i="25" s="1"/>
  <c r="K32" i="25" s="1"/>
  <c r="J37" i="24"/>
  <c r="I76" i="21"/>
  <c r="I83" i="21" s="1"/>
  <c r="J55" i="21"/>
  <c r="V15" i="7"/>
  <c r="W15" i="7"/>
  <c r="V16" i="7"/>
  <c r="W16" i="7"/>
  <c r="D15" i="7"/>
  <c r="E15" i="7"/>
  <c r="F15" i="7"/>
  <c r="G15" i="7"/>
  <c r="H15" i="7"/>
  <c r="I15" i="7"/>
  <c r="J15" i="7"/>
  <c r="K15" i="7"/>
  <c r="L15" i="7"/>
  <c r="M15" i="7"/>
  <c r="N15" i="7"/>
  <c r="O15" i="7"/>
  <c r="P15" i="7"/>
  <c r="Q15" i="7"/>
  <c r="R15" i="7"/>
  <c r="S15" i="7"/>
  <c r="T15" i="7"/>
  <c r="U15" i="7"/>
  <c r="D16" i="7"/>
  <c r="E16" i="7"/>
  <c r="F16" i="7"/>
  <c r="G16" i="7"/>
  <c r="H16" i="7"/>
  <c r="I16" i="7"/>
  <c r="J16" i="7"/>
  <c r="K16" i="7"/>
  <c r="L16" i="7"/>
  <c r="M16" i="7"/>
  <c r="N16" i="7"/>
  <c r="O16" i="7"/>
  <c r="P16" i="7"/>
  <c r="Q16" i="7"/>
  <c r="R16" i="7"/>
  <c r="S16" i="7"/>
  <c r="T16" i="7"/>
  <c r="U16" i="7"/>
  <c r="C16" i="7"/>
  <c r="C15" i="7"/>
  <c r="C9" i="7"/>
  <c r="D9" i="7"/>
  <c r="E9" i="7"/>
  <c r="F9" i="7"/>
  <c r="G9" i="7"/>
  <c r="H9" i="7"/>
  <c r="I9" i="7"/>
  <c r="J9" i="7"/>
  <c r="K9" i="7"/>
  <c r="L9" i="7"/>
  <c r="M9" i="7"/>
  <c r="N9" i="7"/>
  <c r="O9" i="7"/>
  <c r="P9" i="7"/>
  <c r="Q9" i="7"/>
  <c r="R9" i="7"/>
  <c r="S9" i="7"/>
  <c r="T9" i="7"/>
  <c r="U9" i="7"/>
  <c r="C10" i="7"/>
  <c r="D10" i="7"/>
  <c r="E10" i="7"/>
  <c r="F10" i="7"/>
  <c r="G10" i="7"/>
  <c r="H10" i="7"/>
  <c r="I10" i="7"/>
  <c r="J10" i="7"/>
  <c r="K10" i="7"/>
  <c r="L10" i="7"/>
  <c r="M10" i="7"/>
  <c r="N10" i="7"/>
  <c r="O10" i="7"/>
  <c r="P10" i="7"/>
  <c r="Q10" i="7"/>
  <c r="R10" i="7"/>
  <c r="S10" i="7"/>
  <c r="T10" i="7"/>
  <c r="U10" i="7"/>
  <c r="D8" i="7"/>
  <c r="E8" i="7"/>
  <c r="F8" i="7"/>
  <c r="G8" i="7"/>
  <c r="H8" i="7"/>
  <c r="I8" i="7"/>
  <c r="J8" i="7"/>
  <c r="K8" i="7"/>
  <c r="L8" i="7"/>
  <c r="M8" i="7"/>
  <c r="N8" i="7"/>
  <c r="O8" i="7"/>
  <c r="P8" i="7"/>
  <c r="Q8" i="7"/>
  <c r="R8" i="7"/>
  <c r="S8" i="7"/>
  <c r="T8" i="7"/>
  <c r="U8" i="7"/>
  <c r="C8" i="7"/>
  <c r="V14" i="7"/>
  <c r="W14" i="7"/>
  <c r="V7" i="7"/>
  <c r="V12" i="7"/>
  <c r="V13" i="7"/>
  <c r="W7" i="7"/>
  <c r="W12" i="7"/>
  <c r="W13" i="7"/>
  <c r="K77" i="29" l="1"/>
  <c r="K93" i="29" s="1"/>
  <c r="K44" i="29"/>
  <c r="K55" i="29" s="1"/>
  <c r="K54" i="29" s="1"/>
  <c r="J69" i="29"/>
  <c r="J78" i="29"/>
  <c r="J85" i="29"/>
  <c r="K30" i="29" s="1"/>
  <c r="J83" i="26"/>
  <c r="J69" i="25"/>
  <c r="K77" i="25"/>
  <c r="K93" i="25" s="1"/>
  <c r="K44" i="25"/>
  <c r="K55" i="25" s="1"/>
  <c r="K54" i="25" s="1"/>
  <c r="J78" i="25"/>
  <c r="J85" i="25"/>
  <c r="K30" i="25" s="1"/>
  <c r="J42" i="24"/>
  <c r="J73" i="24" s="1"/>
  <c r="J87" i="24" s="1"/>
  <c r="K32" i="24" s="1"/>
  <c r="J39" i="24"/>
  <c r="J70" i="24" s="1"/>
  <c r="J84" i="24" s="1"/>
  <c r="K29" i="24" s="1"/>
  <c r="J41" i="24"/>
  <c r="J72" i="24" s="1"/>
  <c r="J86" i="24" s="1"/>
  <c r="K31" i="24" s="1"/>
  <c r="J40" i="24"/>
  <c r="J71" i="24" s="1"/>
  <c r="J38" i="24"/>
  <c r="J54" i="21"/>
  <c r="I89" i="21"/>
  <c r="J27" i="21" s="1"/>
  <c r="J28" i="21"/>
  <c r="E11" i="7"/>
  <c r="F11" i="7" s="1"/>
  <c r="G11" i="7" s="1"/>
  <c r="H11" i="7" s="1"/>
  <c r="I11" i="7" s="1"/>
  <c r="J11" i="7" s="1"/>
  <c r="K11" i="7" s="1"/>
  <c r="L11" i="7" s="1"/>
  <c r="M11" i="7" s="1"/>
  <c r="N11" i="7" s="1"/>
  <c r="O11" i="7" s="1"/>
  <c r="P11" i="7" s="1"/>
  <c r="Q11" i="7" s="1"/>
  <c r="R11" i="7" s="1"/>
  <c r="S11" i="7" s="1"/>
  <c r="T11" i="7" s="1"/>
  <c r="U11" i="7" s="1"/>
  <c r="D11" i="7"/>
  <c r="D6" i="7"/>
  <c r="E6" i="7" s="1"/>
  <c r="F6" i="7" s="1"/>
  <c r="G6" i="7" s="1"/>
  <c r="H6" i="7" s="1"/>
  <c r="I6" i="7" s="1"/>
  <c r="J6" i="7" s="1"/>
  <c r="K6" i="7" s="1"/>
  <c r="L6" i="7" s="1"/>
  <c r="M6" i="7" s="1"/>
  <c r="N6" i="7" s="1"/>
  <c r="O6" i="7" s="1"/>
  <c r="P6" i="7" s="1"/>
  <c r="Q6" i="7" s="1"/>
  <c r="R6" i="7" s="1"/>
  <c r="S6" i="7" s="1"/>
  <c r="T6" i="7" s="1"/>
  <c r="U6" i="7" s="1"/>
  <c r="J76" i="29" l="1"/>
  <c r="J89" i="26"/>
  <c r="K27" i="26" s="1"/>
  <c r="K28" i="26"/>
  <c r="J76" i="25"/>
  <c r="J83" i="25" s="1"/>
  <c r="J69" i="24"/>
  <c r="J85" i="24"/>
  <c r="K30" i="24" s="1"/>
  <c r="K93" i="24"/>
  <c r="K44" i="24"/>
  <c r="K55" i="24" s="1"/>
  <c r="K54" i="24" s="1"/>
  <c r="J35" i="21"/>
  <c r="J36" i="21"/>
  <c r="I90" i="21"/>
  <c r="V11" i="7"/>
  <c r="W11" i="7"/>
  <c r="V6" i="7"/>
  <c r="W6" i="7"/>
  <c r="J83" i="29" l="1"/>
  <c r="K35" i="26"/>
  <c r="K36" i="26"/>
  <c r="J90" i="26"/>
  <c r="J89" i="25"/>
  <c r="K27" i="25" s="1"/>
  <c r="K28" i="25"/>
  <c r="J83" i="24"/>
  <c r="J37" i="21"/>
  <c r="V8" i="7"/>
  <c r="W8" i="7"/>
  <c r="K28" i="29" l="1"/>
  <c r="J89" i="29"/>
  <c r="K37" i="26"/>
  <c r="J90" i="25"/>
  <c r="K35" i="25"/>
  <c r="K36" i="25"/>
  <c r="J89" i="24"/>
  <c r="K27" i="24" s="1"/>
  <c r="K28" i="24"/>
  <c r="J41" i="21"/>
  <c r="J72" i="21" s="1"/>
  <c r="J86" i="21" s="1"/>
  <c r="K31" i="21" s="1"/>
  <c r="J42" i="21"/>
  <c r="J73" i="21" s="1"/>
  <c r="J87" i="21" s="1"/>
  <c r="K32" i="21" s="1"/>
  <c r="J39" i="21"/>
  <c r="J70" i="21" s="1"/>
  <c r="J84" i="21" s="1"/>
  <c r="K29" i="21" s="1"/>
  <c r="J38" i="21"/>
  <c r="J40" i="21"/>
  <c r="J71" i="21" s="1"/>
  <c r="V9" i="7"/>
  <c r="W9" i="7"/>
  <c r="H689" i="2"/>
  <c r="G689" i="2"/>
  <c r="H688" i="2"/>
  <c r="G688" i="2"/>
  <c r="H687" i="2"/>
  <c r="G687" i="2"/>
  <c r="H686" i="2"/>
  <c r="G686" i="2"/>
  <c r="H685" i="2"/>
  <c r="G685" i="2"/>
  <c r="H684" i="2"/>
  <c r="G684" i="2"/>
  <c r="H683" i="2"/>
  <c r="G683" i="2"/>
  <c r="H682" i="2"/>
  <c r="G682" i="2"/>
  <c r="H681" i="2"/>
  <c r="G681" i="2"/>
  <c r="H680" i="2"/>
  <c r="G680" i="2"/>
  <c r="H679" i="2"/>
  <c r="G679" i="2"/>
  <c r="H678" i="2"/>
  <c r="G678" i="2"/>
  <c r="H677" i="2"/>
  <c r="G677" i="2"/>
  <c r="H676" i="2"/>
  <c r="G676" i="2"/>
  <c r="H675" i="2"/>
  <c r="G675" i="2"/>
  <c r="H674" i="2"/>
  <c r="G674" i="2"/>
  <c r="H673" i="2"/>
  <c r="G673" i="2"/>
  <c r="H672" i="2"/>
  <c r="G672" i="2"/>
  <c r="H671" i="2"/>
  <c r="G671" i="2"/>
  <c r="H670" i="2"/>
  <c r="G670" i="2"/>
  <c r="H669" i="2"/>
  <c r="G669" i="2"/>
  <c r="H668" i="2"/>
  <c r="G668" i="2"/>
  <c r="H667" i="2"/>
  <c r="G667" i="2"/>
  <c r="H666" i="2"/>
  <c r="G666" i="2"/>
  <c r="H665" i="2"/>
  <c r="G665" i="2"/>
  <c r="H664" i="2"/>
  <c r="G664" i="2"/>
  <c r="H663" i="2"/>
  <c r="G663" i="2"/>
  <c r="H662" i="2"/>
  <c r="G662" i="2"/>
  <c r="H661" i="2"/>
  <c r="G661" i="2"/>
  <c r="H660" i="2"/>
  <c r="G660" i="2"/>
  <c r="H659" i="2"/>
  <c r="G659" i="2"/>
  <c r="H658" i="2"/>
  <c r="G658" i="2"/>
  <c r="H657" i="2"/>
  <c r="G657" i="2"/>
  <c r="H656" i="2"/>
  <c r="G656" i="2"/>
  <c r="H655" i="2"/>
  <c r="G655" i="2"/>
  <c r="H654" i="2"/>
  <c r="G654" i="2"/>
  <c r="H653" i="2"/>
  <c r="G653" i="2"/>
  <c r="H652" i="2"/>
  <c r="G652" i="2"/>
  <c r="H651" i="2"/>
  <c r="G651" i="2"/>
  <c r="H650" i="2"/>
  <c r="G650" i="2"/>
  <c r="H649" i="2"/>
  <c r="G649" i="2"/>
  <c r="H648" i="2"/>
  <c r="G648" i="2"/>
  <c r="H647" i="2"/>
  <c r="G647" i="2"/>
  <c r="H646" i="2"/>
  <c r="G646" i="2"/>
  <c r="H645" i="2"/>
  <c r="G645" i="2"/>
  <c r="H644" i="2"/>
  <c r="G644" i="2"/>
  <c r="H643" i="2"/>
  <c r="G643" i="2"/>
  <c r="H642" i="2"/>
  <c r="G642" i="2"/>
  <c r="H641" i="2"/>
  <c r="G641" i="2"/>
  <c r="H640" i="2"/>
  <c r="G640" i="2"/>
  <c r="H639" i="2"/>
  <c r="G639" i="2"/>
  <c r="H638" i="2"/>
  <c r="G638" i="2"/>
  <c r="H637" i="2"/>
  <c r="G637" i="2"/>
  <c r="H636" i="2"/>
  <c r="G636" i="2"/>
  <c r="H635" i="2"/>
  <c r="G635" i="2"/>
  <c r="H634" i="2"/>
  <c r="G634" i="2"/>
  <c r="H633" i="2"/>
  <c r="G633" i="2"/>
  <c r="H632" i="2"/>
  <c r="G632" i="2"/>
  <c r="H631" i="2"/>
  <c r="G631" i="2"/>
  <c r="H630" i="2"/>
  <c r="G630" i="2"/>
  <c r="H629" i="2"/>
  <c r="G629" i="2"/>
  <c r="H628" i="2"/>
  <c r="G628" i="2"/>
  <c r="H627" i="2"/>
  <c r="G627" i="2"/>
  <c r="H626" i="2"/>
  <c r="G626" i="2"/>
  <c r="H625" i="2"/>
  <c r="G625" i="2"/>
  <c r="H624" i="2"/>
  <c r="G624" i="2"/>
  <c r="H623" i="2"/>
  <c r="G623" i="2"/>
  <c r="H622" i="2"/>
  <c r="G622" i="2"/>
  <c r="H621" i="2"/>
  <c r="G621" i="2"/>
  <c r="H620" i="2"/>
  <c r="G620" i="2"/>
  <c r="H619" i="2"/>
  <c r="G619" i="2"/>
  <c r="H618" i="2"/>
  <c r="G618" i="2"/>
  <c r="H617" i="2"/>
  <c r="G617" i="2"/>
  <c r="H616" i="2"/>
  <c r="G616" i="2"/>
  <c r="H615" i="2"/>
  <c r="G615" i="2"/>
  <c r="H614" i="2"/>
  <c r="G614" i="2"/>
  <c r="H613" i="2"/>
  <c r="G613" i="2"/>
  <c r="H612" i="2"/>
  <c r="G612" i="2"/>
  <c r="H611" i="2"/>
  <c r="G611" i="2"/>
  <c r="H610" i="2"/>
  <c r="G610" i="2"/>
  <c r="H609" i="2"/>
  <c r="G609" i="2"/>
  <c r="H608" i="2"/>
  <c r="G608" i="2"/>
  <c r="H607" i="2"/>
  <c r="G607" i="2"/>
  <c r="H606" i="2"/>
  <c r="G606" i="2"/>
  <c r="H605" i="2"/>
  <c r="G605" i="2"/>
  <c r="H604" i="2"/>
  <c r="G604" i="2"/>
  <c r="H603" i="2"/>
  <c r="G603" i="2"/>
  <c r="H602" i="2"/>
  <c r="G602" i="2"/>
  <c r="H601" i="2"/>
  <c r="G601" i="2"/>
  <c r="H600" i="2"/>
  <c r="G600" i="2"/>
  <c r="H599" i="2"/>
  <c r="G599" i="2"/>
  <c r="H598" i="2"/>
  <c r="G598" i="2"/>
  <c r="H597" i="2"/>
  <c r="G597" i="2"/>
  <c r="H596" i="2"/>
  <c r="G596" i="2"/>
  <c r="H595" i="2"/>
  <c r="G595" i="2"/>
  <c r="H594" i="2"/>
  <c r="G594" i="2"/>
  <c r="H593" i="2"/>
  <c r="G593" i="2"/>
  <c r="H592" i="2"/>
  <c r="G592" i="2"/>
  <c r="H591" i="2"/>
  <c r="G591" i="2"/>
  <c r="H590" i="2"/>
  <c r="G590" i="2"/>
  <c r="H589" i="2"/>
  <c r="G589" i="2"/>
  <c r="H588" i="2"/>
  <c r="G588" i="2"/>
  <c r="H587" i="2"/>
  <c r="G587" i="2"/>
  <c r="H586" i="2"/>
  <c r="G586" i="2"/>
  <c r="H585" i="2"/>
  <c r="G585" i="2"/>
  <c r="H584" i="2"/>
  <c r="G584" i="2"/>
  <c r="H583" i="2"/>
  <c r="G583" i="2"/>
  <c r="H582" i="2"/>
  <c r="G582" i="2"/>
  <c r="H581" i="2"/>
  <c r="G581" i="2"/>
  <c r="H580" i="2"/>
  <c r="G580" i="2"/>
  <c r="H579" i="2"/>
  <c r="G579" i="2"/>
  <c r="H578" i="2"/>
  <c r="G578" i="2"/>
  <c r="H577" i="2"/>
  <c r="G577" i="2"/>
  <c r="H576" i="2"/>
  <c r="G576" i="2"/>
  <c r="H575" i="2"/>
  <c r="G575" i="2"/>
  <c r="H574" i="2"/>
  <c r="G574" i="2"/>
  <c r="H573" i="2"/>
  <c r="G573" i="2"/>
  <c r="H572" i="2"/>
  <c r="G572" i="2"/>
  <c r="H571" i="2"/>
  <c r="G571" i="2"/>
  <c r="H570" i="2"/>
  <c r="G570" i="2"/>
  <c r="H569" i="2"/>
  <c r="G569" i="2"/>
  <c r="H568" i="2"/>
  <c r="G568" i="2"/>
  <c r="H567" i="2"/>
  <c r="G567" i="2"/>
  <c r="H566" i="2"/>
  <c r="G566" i="2"/>
  <c r="H565" i="2"/>
  <c r="G565" i="2"/>
  <c r="H564" i="2"/>
  <c r="G564" i="2"/>
  <c r="H563" i="2"/>
  <c r="G563" i="2"/>
  <c r="H562" i="2"/>
  <c r="G562" i="2"/>
  <c r="H561" i="2"/>
  <c r="G561" i="2"/>
  <c r="H560" i="2"/>
  <c r="G560" i="2"/>
  <c r="H559" i="2"/>
  <c r="G559" i="2"/>
  <c r="H558" i="2"/>
  <c r="G558" i="2"/>
  <c r="H557" i="2"/>
  <c r="G557" i="2"/>
  <c r="H556" i="2"/>
  <c r="G556" i="2"/>
  <c r="H555" i="2"/>
  <c r="G555" i="2"/>
  <c r="H554" i="2"/>
  <c r="G554" i="2"/>
  <c r="H553" i="2"/>
  <c r="G553" i="2"/>
  <c r="H552" i="2"/>
  <c r="G552" i="2"/>
  <c r="H551" i="2"/>
  <c r="G551" i="2"/>
  <c r="H550" i="2"/>
  <c r="G550" i="2"/>
  <c r="H549" i="2"/>
  <c r="G549" i="2"/>
  <c r="H548" i="2"/>
  <c r="G548" i="2"/>
  <c r="H547" i="2"/>
  <c r="G547" i="2"/>
  <c r="H546" i="2"/>
  <c r="G546" i="2"/>
  <c r="H545" i="2"/>
  <c r="G545" i="2"/>
  <c r="H544" i="2"/>
  <c r="G544" i="2"/>
  <c r="H543" i="2"/>
  <c r="G543" i="2"/>
  <c r="H542" i="2"/>
  <c r="G542" i="2"/>
  <c r="H541" i="2"/>
  <c r="G541" i="2"/>
  <c r="H540" i="2"/>
  <c r="G540" i="2"/>
  <c r="H539" i="2"/>
  <c r="G539" i="2"/>
  <c r="H538" i="2"/>
  <c r="G538" i="2"/>
  <c r="H537" i="2"/>
  <c r="G537" i="2"/>
  <c r="H536" i="2"/>
  <c r="G536" i="2"/>
  <c r="H535" i="2"/>
  <c r="G535" i="2"/>
  <c r="H534" i="2"/>
  <c r="G534" i="2"/>
  <c r="H533" i="2"/>
  <c r="G533" i="2"/>
  <c r="H532" i="2"/>
  <c r="G532" i="2"/>
  <c r="H531" i="2"/>
  <c r="G531" i="2"/>
  <c r="H530" i="2"/>
  <c r="G530" i="2"/>
  <c r="H529" i="2"/>
  <c r="G529" i="2"/>
  <c r="H528" i="2"/>
  <c r="G528" i="2"/>
  <c r="H527" i="2"/>
  <c r="G527" i="2"/>
  <c r="H526" i="2"/>
  <c r="G526" i="2"/>
  <c r="H525" i="2"/>
  <c r="G525" i="2"/>
  <c r="H524" i="2"/>
  <c r="G524" i="2"/>
  <c r="H523" i="2"/>
  <c r="G523" i="2"/>
  <c r="H522" i="2"/>
  <c r="G522" i="2"/>
  <c r="H521" i="2"/>
  <c r="G521" i="2"/>
  <c r="H520" i="2"/>
  <c r="G520" i="2"/>
  <c r="H519" i="2"/>
  <c r="G519" i="2"/>
  <c r="H518" i="2"/>
  <c r="G518" i="2"/>
  <c r="H517" i="2"/>
  <c r="G517" i="2"/>
  <c r="H516" i="2"/>
  <c r="G516" i="2"/>
  <c r="H515" i="2"/>
  <c r="G515" i="2"/>
  <c r="H514" i="2"/>
  <c r="G514" i="2"/>
  <c r="H513" i="2"/>
  <c r="G513" i="2"/>
  <c r="H512" i="2"/>
  <c r="G512" i="2"/>
  <c r="H511" i="2"/>
  <c r="G511" i="2"/>
  <c r="H510" i="2"/>
  <c r="G510" i="2"/>
  <c r="H509" i="2"/>
  <c r="G509" i="2"/>
  <c r="H508" i="2"/>
  <c r="G508" i="2"/>
  <c r="H507" i="2"/>
  <c r="G507" i="2"/>
  <c r="H506" i="2"/>
  <c r="G506" i="2"/>
  <c r="H505" i="2"/>
  <c r="G505" i="2"/>
  <c r="H504" i="2"/>
  <c r="G504" i="2"/>
  <c r="H503" i="2"/>
  <c r="G503" i="2"/>
  <c r="H502" i="2"/>
  <c r="G502" i="2"/>
  <c r="H501" i="2"/>
  <c r="G501" i="2"/>
  <c r="H500" i="2"/>
  <c r="G500" i="2"/>
  <c r="H499" i="2"/>
  <c r="G499" i="2"/>
  <c r="H498" i="2"/>
  <c r="G498" i="2"/>
  <c r="H497" i="2"/>
  <c r="G497" i="2"/>
  <c r="H496" i="2"/>
  <c r="G496" i="2"/>
  <c r="H495" i="2"/>
  <c r="G495" i="2"/>
  <c r="H494" i="2"/>
  <c r="G494" i="2"/>
  <c r="H493" i="2"/>
  <c r="G493" i="2"/>
  <c r="H492" i="2"/>
  <c r="G492" i="2"/>
  <c r="H491" i="2"/>
  <c r="G491" i="2"/>
  <c r="H490" i="2"/>
  <c r="G490" i="2"/>
  <c r="H489" i="2"/>
  <c r="G489" i="2"/>
  <c r="H488" i="2"/>
  <c r="G488" i="2"/>
  <c r="H487" i="2"/>
  <c r="G487" i="2"/>
  <c r="H486" i="2"/>
  <c r="G486" i="2"/>
  <c r="H485" i="2"/>
  <c r="G485" i="2"/>
  <c r="H484" i="2"/>
  <c r="G484" i="2"/>
  <c r="H483" i="2"/>
  <c r="G483" i="2"/>
  <c r="H482" i="2"/>
  <c r="G482" i="2"/>
  <c r="H481" i="2"/>
  <c r="G481" i="2"/>
  <c r="H480" i="2"/>
  <c r="G480" i="2"/>
  <c r="H479" i="2"/>
  <c r="G479" i="2"/>
  <c r="H478" i="2"/>
  <c r="G478" i="2"/>
  <c r="H477" i="2"/>
  <c r="G477" i="2"/>
  <c r="H476" i="2"/>
  <c r="G476" i="2"/>
  <c r="H475" i="2"/>
  <c r="G475" i="2"/>
  <c r="H474" i="2"/>
  <c r="G474" i="2"/>
  <c r="H473" i="2"/>
  <c r="G473" i="2"/>
  <c r="H472" i="2"/>
  <c r="G472" i="2"/>
  <c r="H471" i="2"/>
  <c r="G471" i="2"/>
  <c r="H470" i="2"/>
  <c r="G470" i="2"/>
  <c r="H469" i="2"/>
  <c r="G469" i="2"/>
  <c r="H468" i="2"/>
  <c r="G468" i="2"/>
  <c r="H467" i="2"/>
  <c r="G467" i="2"/>
  <c r="H466" i="2"/>
  <c r="G466" i="2"/>
  <c r="H465" i="2"/>
  <c r="G465" i="2"/>
  <c r="H464" i="2"/>
  <c r="G464" i="2"/>
  <c r="H463" i="2"/>
  <c r="G463" i="2"/>
  <c r="H462" i="2"/>
  <c r="G462" i="2"/>
  <c r="H461" i="2"/>
  <c r="G461" i="2"/>
  <c r="H460" i="2"/>
  <c r="G460" i="2"/>
  <c r="H459" i="2"/>
  <c r="G459" i="2"/>
  <c r="H458" i="2"/>
  <c r="G458" i="2"/>
  <c r="H457" i="2"/>
  <c r="G457" i="2"/>
  <c r="H456" i="2"/>
  <c r="G456" i="2"/>
  <c r="H455" i="2"/>
  <c r="G455" i="2"/>
  <c r="H454" i="2"/>
  <c r="G454" i="2"/>
  <c r="H453" i="2"/>
  <c r="G453" i="2"/>
  <c r="H452" i="2"/>
  <c r="G452" i="2"/>
  <c r="H451" i="2"/>
  <c r="G451" i="2"/>
  <c r="H450" i="2"/>
  <c r="G450" i="2"/>
  <c r="H449" i="2"/>
  <c r="G449" i="2"/>
  <c r="H448" i="2"/>
  <c r="G448" i="2"/>
  <c r="H447" i="2"/>
  <c r="G447" i="2"/>
  <c r="H446" i="2"/>
  <c r="G446" i="2"/>
  <c r="H445" i="2"/>
  <c r="G445" i="2"/>
  <c r="H444" i="2"/>
  <c r="G444" i="2"/>
  <c r="H443" i="2"/>
  <c r="G443" i="2"/>
  <c r="H442" i="2"/>
  <c r="G442" i="2"/>
  <c r="H441" i="2"/>
  <c r="G441" i="2"/>
  <c r="H440" i="2"/>
  <c r="G440" i="2"/>
  <c r="H439" i="2"/>
  <c r="G439" i="2"/>
  <c r="H438" i="2"/>
  <c r="G438" i="2"/>
  <c r="H437" i="2"/>
  <c r="G437" i="2"/>
  <c r="H436" i="2"/>
  <c r="G436" i="2"/>
  <c r="H435" i="2"/>
  <c r="G435" i="2"/>
  <c r="H434" i="2"/>
  <c r="G434" i="2"/>
  <c r="H433" i="2"/>
  <c r="G433" i="2"/>
  <c r="H432" i="2"/>
  <c r="G432" i="2"/>
  <c r="H431" i="2"/>
  <c r="G431" i="2"/>
  <c r="H430" i="2"/>
  <c r="G430" i="2"/>
  <c r="H429" i="2"/>
  <c r="G429" i="2"/>
  <c r="H428" i="2"/>
  <c r="G428" i="2"/>
  <c r="H427" i="2"/>
  <c r="G427" i="2"/>
  <c r="H426" i="2"/>
  <c r="G426" i="2"/>
  <c r="H425" i="2"/>
  <c r="G425" i="2"/>
  <c r="H424" i="2"/>
  <c r="G424" i="2"/>
  <c r="H423" i="2"/>
  <c r="G423" i="2"/>
  <c r="H422" i="2"/>
  <c r="G422" i="2"/>
  <c r="H421" i="2"/>
  <c r="G421" i="2"/>
  <c r="H420" i="2"/>
  <c r="G420" i="2"/>
  <c r="H419" i="2"/>
  <c r="G419" i="2"/>
  <c r="H418" i="2"/>
  <c r="G418" i="2"/>
  <c r="H417" i="2"/>
  <c r="G417" i="2"/>
  <c r="H416" i="2"/>
  <c r="G416" i="2"/>
  <c r="H415" i="2"/>
  <c r="G415" i="2"/>
  <c r="H414" i="2"/>
  <c r="G414" i="2"/>
  <c r="H413" i="2"/>
  <c r="G413" i="2"/>
  <c r="H412" i="2"/>
  <c r="G412" i="2"/>
  <c r="H411" i="2"/>
  <c r="G411" i="2"/>
  <c r="H410" i="2"/>
  <c r="G410" i="2"/>
  <c r="H409" i="2"/>
  <c r="G409" i="2"/>
  <c r="H408" i="2"/>
  <c r="G408" i="2"/>
  <c r="H407" i="2"/>
  <c r="G407" i="2"/>
  <c r="H406" i="2"/>
  <c r="G406" i="2"/>
  <c r="H405" i="2"/>
  <c r="G405" i="2"/>
  <c r="H404" i="2"/>
  <c r="G404" i="2"/>
  <c r="H403" i="2"/>
  <c r="G403" i="2"/>
  <c r="H402" i="2"/>
  <c r="G402" i="2"/>
  <c r="H401" i="2"/>
  <c r="G401" i="2"/>
  <c r="H400" i="2"/>
  <c r="G400" i="2"/>
  <c r="H399" i="2"/>
  <c r="G399" i="2"/>
  <c r="H398" i="2"/>
  <c r="G398" i="2"/>
  <c r="H397" i="2"/>
  <c r="G397" i="2"/>
  <c r="H396" i="2"/>
  <c r="G396" i="2"/>
  <c r="H395" i="2"/>
  <c r="G395" i="2"/>
  <c r="H394" i="2"/>
  <c r="G394" i="2"/>
  <c r="H393" i="2"/>
  <c r="G393" i="2"/>
  <c r="H392" i="2"/>
  <c r="G392" i="2"/>
  <c r="H391" i="2"/>
  <c r="G391" i="2"/>
  <c r="H390" i="2"/>
  <c r="G390" i="2"/>
  <c r="H389" i="2"/>
  <c r="G389" i="2"/>
  <c r="H388" i="2"/>
  <c r="G388" i="2"/>
  <c r="H387" i="2"/>
  <c r="G387" i="2"/>
  <c r="H386" i="2"/>
  <c r="G386" i="2"/>
  <c r="H385" i="2"/>
  <c r="G385" i="2"/>
  <c r="H384" i="2"/>
  <c r="G384" i="2"/>
  <c r="H383" i="2"/>
  <c r="G383" i="2"/>
  <c r="H382" i="2"/>
  <c r="G382" i="2"/>
  <c r="H381" i="2"/>
  <c r="G381" i="2"/>
  <c r="H380" i="2"/>
  <c r="G380" i="2"/>
  <c r="H379" i="2"/>
  <c r="G379" i="2"/>
  <c r="H378" i="2"/>
  <c r="G378" i="2"/>
  <c r="H377" i="2"/>
  <c r="G377" i="2"/>
  <c r="H376" i="2"/>
  <c r="G376" i="2"/>
  <c r="H375" i="2"/>
  <c r="G375" i="2"/>
  <c r="H374" i="2"/>
  <c r="G374" i="2"/>
  <c r="H373" i="2"/>
  <c r="G373" i="2"/>
  <c r="H372" i="2"/>
  <c r="G372" i="2"/>
  <c r="H371" i="2"/>
  <c r="G371" i="2"/>
  <c r="H370" i="2"/>
  <c r="G370" i="2"/>
  <c r="H369" i="2"/>
  <c r="G369" i="2"/>
  <c r="H368" i="2"/>
  <c r="G368" i="2"/>
  <c r="H367" i="2"/>
  <c r="G367" i="2"/>
  <c r="H366" i="2"/>
  <c r="G366" i="2"/>
  <c r="H365" i="2"/>
  <c r="G365" i="2"/>
  <c r="H364" i="2"/>
  <c r="G364" i="2"/>
  <c r="H363" i="2"/>
  <c r="G363" i="2"/>
  <c r="H362" i="2"/>
  <c r="G362" i="2"/>
  <c r="H361" i="2"/>
  <c r="G361" i="2"/>
  <c r="H360" i="2"/>
  <c r="G360" i="2"/>
  <c r="H359" i="2"/>
  <c r="G359" i="2"/>
  <c r="H358" i="2"/>
  <c r="G358" i="2"/>
  <c r="H357" i="2"/>
  <c r="G357" i="2"/>
  <c r="H356" i="2"/>
  <c r="G356" i="2"/>
  <c r="H355" i="2"/>
  <c r="G355" i="2"/>
  <c r="H354" i="2"/>
  <c r="G354" i="2"/>
  <c r="H353" i="2"/>
  <c r="G353" i="2"/>
  <c r="H352" i="2"/>
  <c r="G352" i="2"/>
  <c r="H351" i="2"/>
  <c r="G351" i="2"/>
  <c r="H350" i="2"/>
  <c r="G350" i="2"/>
  <c r="H349" i="2"/>
  <c r="G349" i="2"/>
  <c r="H348" i="2"/>
  <c r="G348" i="2"/>
  <c r="H347" i="2"/>
  <c r="G347" i="2"/>
  <c r="H346" i="2"/>
  <c r="G346" i="2"/>
  <c r="H345" i="2"/>
  <c r="G345" i="2"/>
  <c r="H344" i="2"/>
  <c r="G344" i="2"/>
  <c r="H343" i="2"/>
  <c r="G343" i="2"/>
  <c r="H342" i="2"/>
  <c r="G342" i="2"/>
  <c r="H341" i="2"/>
  <c r="G341" i="2"/>
  <c r="H340" i="2"/>
  <c r="G340" i="2"/>
  <c r="H339" i="2"/>
  <c r="G339" i="2"/>
  <c r="H338" i="2"/>
  <c r="G338" i="2"/>
  <c r="H337" i="2"/>
  <c r="G337" i="2"/>
  <c r="H336" i="2"/>
  <c r="G336" i="2"/>
  <c r="H335" i="2"/>
  <c r="G335" i="2"/>
  <c r="H334" i="2"/>
  <c r="G334" i="2"/>
  <c r="H333" i="2"/>
  <c r="G333" i="2"/>
  <c r="H332" i="2"/>
  <c r="G332" i="2"/>
  <c r="H331" i="2"/>
  <c r="G331" i="2"/>
  <c r="H330" i="2"/>
  <c r="G330" i="2"/>
  <c r="H329" i="2"/>
  <c r="G329" i="2"/>
  <c r="H328" i="2"/>
  <c r="G328" i="2"/>
  <c r="H327" i="2"/>
  <c r="G327" i="2"/>
  <c r="H326" i="2"/>
  <c r="G326" i="2"/>
  <c r="H325" i="2"/>
  <c r="G325" i="2"/>
  <c r="H324" i="2"/>
  <c r="G324" i="2"/>
  <c r="H323" i="2"/>
  <c r="G323" i="2"/>
  <c r="H322" i="2"/>
  <c r="G322" i="2"/>
  <c r="H321" i="2"/>
  <c r="G321" i="2"/>
  <c r="H320" i="2"/>
  <c r="G320" i="2"/>
  <c r="H319" i="2"/>
  <c r="G319" i="2"/>
  <c r="H318" i="2"/>
  <c r="G318" i="2"/>
  <c r="H317" i="2"/>
  <c r="G317" i="2"/>
  <c r="H316" i="2"/>
  <c r="G316" i="2"/>
  <c r="H315" i="2"/>
  <c r="G315" i="2"/>
  <c r="H314" i="2"/>
  <c r="G314" i="2"/>
  <c r="H313" i="2"/>
  <c r="G313" i="2"/>
  <c r="H312" i="2"/>
  <c r="G312" i="2"/>
  <c r="H311" i="2"/>
  <c r="G311" i="2"/>
  <c r="H310" i="2"/>
  <c r="G310" i="2"/>
  <c r="H309" i="2"/>
  <c r="G309" i="2"/>
  <c r="H308" i="2"/>
  <c r="G308" i="2"/>
  <c r="H307" i="2"/>
  <c r="G307" i="2"/>
  <c r="H306" i="2"/>
  <c r="G306" i="2"/>
  <c r="H305" i="2"/>
  <c r="G305" i="2"/>
  <c r="H304" i="2"/>
  <c r="G304" i="2"/>
  <c r="H303" i="2"/>
  <c r="G303" i="2"/>
  <c r="H302" i="2"/>
  <c r="G302" i="2"/>
  <c r="H301" i="2"/>
  <c r="G301" i="2"/>
  <c r="H300" i="2"/>
  <c r="G300" i="2"/>
  <c r="H299" i="2"/>
  <c r="G299" i="2"/>
  <c r="H298" i="2"/>
  <c r="G298" i="2"/>
  <c r="H297" i="2"/>
  <c r="G297" i="2"/>
  <c r="H296" i="2"/>
  <c r="G296" i="2"/>
  <c r="H295" i="2"/>
  <c r="G295" i="2"/>
  <c r="H294" i="2"/>
  <c r="G294" i="2"/>
  <c r="H293" i="2"/>
  <c r="G293" i="2"/>
  <c r="H292" i="2"/>
  <c r="G292" i="2"/>
  <c r="H291" i="2"/>
  <c r="G291" i="2"/>
  <c r="H290" i="2"/>
  <c r="G290" i="2"/>
  <c r="H289" i="2"/>
  <c r="G289" i="2"/>
  <c r="H288" i="2"/>
  <c r="G288" i="2"/>
  <c r="H287" i="2"/>
  <c r="G287" i="2"/>
  <c r="H286" i="2"/>
  <c r="G286" i="2"/>
  <c r="H285" i="2"/>
  <c r="G285" i="2"/>
  <c r="H284" i="2"/>
  <c r="G284" i="2"/>
  <c r="H283" i="2"/>
  <c r="G283" i="2"/>
  <c r="H282" i="2"/>
  <c r="G282" i="2"/>
  <c r="H281" i="2"/>
  <c r="G281" i="2"/>
  <c r="H280" i="2"/>
  <c r="G280" i="2"/>
  <c r="H279" i="2"/>
  <c r="G279" i="2"/>
  <c r="H278" i="2"/>
  <c r="G278" i="2"/>
  <c r="H277" i="2"/>
  <c r="G277" i="2"/>
  <c r="H276" i="2"/>
  <c r="G276" i="2"/>
  <c r="H275" i="2"/>
  <c r="G275" i="2"/>
  <c r="H274" i="2"/>
  <c r="G274" i="2"/>
  <c r="H273" i="2"/>
  <c r="G273" i="2"/>
  <c r="H272" i="2"/>
  <c r="G272" i="2"/>
  <c r="H271" i="2"/>
  <c r="G271" i="2"/>
  <c r="H270" i="2"/>
  <c r="G270" i="2"/>
  <c r="H269" i="2"/>
  <c r="G269" i="2"/>
  <c r="H268" i="2"/>
  <c r="G268" i="2"/>
  <c r="H267" i="2"/>
  <c r="G267" i="2"/>
  <c r="H266" i="2"/>
  <c r="G266" i="2"/>
  <c r="H265" i="2"/>
  <c r="G265" i="2"/>
  <c r="H264" i="2"/>
  <c r="G264" i="2"/>
  <c r="H263" i="2"/>
  <c r="G263" i="2"/>
  <c r="H262" i="2"/>
  <c r="G262" i="2"/>
  <c r="H261" i="2"/>
  <c r="G261" i="2"/>
  <c r="H260" i="2"/>
  <c r="G260" i="2"/>
  <c r="H259" i="2"/>
  <c r="G259" i="2"/>
  <c r="H258" i="2"/>
  <c r="G258" i="2"/>
  <c r="H257" i="2"/>
  <c r="G257" i="2"/>
  <c r="H256" i="2"/>
  <c r="G256" i="2"/>
  <c r="H255" i="2"/>
  <c r="G255" i="2"/>
  <c r="H254" i="2"/>
  <c r="G254" i="2"/>
  <c r="H253" i="2"/>
  <c r="G253" i="2"/>
  <c r="H252" i="2"/>
  <c r="G252" i="2"/>
  <c r="H251" i="2"/>
  <c r="G251" i="2"/>
  <c r="H250" i="2"/>
  <c r="G250" i="2"/>
  <c r="H249" i="2"/>
  <c r="G249" i="2"/>
  <c r="H248" i="2"/>
  <c r="G248" i="2"/>
  <c r="H247" i="2"/>
  <c r="G247" i="2"/>
  <c r="H246" i="2"/>
  <c r="G246" i="2"/>
  <c r="H245" i="2"/>
  <c r="G245" i="2"/>
  <c r="H244" i="2"/>
  <c r="G244" i="2"/>
  <c r="H243" i="2"/>
  <c r="G243" i="2"/>
  <c r="H242" i="2"/>
  <c r="G242" i="2"/>
  <c r="H241" i="2"/>
  <c r="G241" i="2"/>
  <c r="H240" i="2"/>
  <c r="G240" i="2"/>
  <c r="H239" i="2"/>
  <c r="G239" i="2"/>
  <c r="H238" i="2"/>
  <c r="G238" i="2"/>
  <c r="H237" i="2"/>
  <c r="G237" i="2"/>
  <c r="H236" i="2"/>
  <c r="G236" i="2"/>
  <c r="H235" i="2"/>
  <c r="G235" i="2"/>
  <c r="H234" i="2"/>
  <c r="G234" i="2"/>
  <c r="H233" i="2"/>
  <c r="G233" i="2"/>
  <c r="H232" i="2"/>
  <c r="G232" i="2"/>
  <c r="H231" i="2"/>
  <c r="G231" i="2"/>
  <c r="H230" i="2"/>
  <c r="G230" i="2"/>
  <c r="H229" i="2"/>
  <c r="G229" i="2"/>
  <c r="H228" i="2"/>
  <c r="G228" i="2"/>
  <c r="H227" i="2"/>
  <c r="G227" i="2"/>
  <c r="H226" i="2"/>
  <c r="G226" i="2"/>
  <c r="H225" i="2"/>
  <c r="G225" i="2"/>
  <c r="H224" i="2"/>
  <c r="G224" i="2"/>
  <c r="H223" i="2"/>
  <c r="G223" i="2"/>
  <c r="H222" i="2"/>
  <c r="G222" i="2"/>
  <c r="H221" i="2"/>
  <c r="G221" i="2"/>
  <c r="H220" i="2"/>
  <c r="G220" i="2"/>
  <c r="H219" i="2"/>
  <c r="G219" i="2"/>
  <c r="H218" i="2"/>
  <c r="G218" i="2"/>
  <c r="H217" i="2"/>
  <c r="G217" i="2"/>
  <c r="H216" i="2"/>
  <c r="G216" i="2"/>
  <c r="H215" i="2"/>
  <c r="G215" i="2"/>
  <c r="H214" i="2"/>
  <c r="G214" i="2"/>
  <c r="H213" i="2"/>
  <c r="G213" i="2"/>
  <c r="H212" i="2"/>
  <c r="G212" i="2"/>
  <c r="H211" i="2"/>
  <c r="G211" i="2"/>
  <c r="H210" i="2"/>
  <c r="G210" i="2"/>
  <c r="H209" i="2"/>
  <c r="G209" i="2"/>
  <c r="H208" i="2"/>
  <c r="G208" i="2"/>
  <c r="H207" i="2"/>
  <c r="G207" i="2"/>
  <c r="H206" i="2"/>
  <c r="G206" i="2"/>
  <c r="H205" i="2"/>
  <c r="G205" i="2"/>
  <c r="H204" i="2"/>
  <c r="G204" i="2"/>
  <c r="H203" i="2"/>
  <c r="G203" i="2"/>
  <c r="H202" i="2"/>
  <c r="G202" i="2"/>
  <c r="H201" i="2"/>
  <c r="G201" i="2"/>
  <c r="H200" i="2"/>
  <c r="G200" i="2"/>
  <c r="H199" i="2"/>
  <c r="G199" i="2"/>
  <c r="H198" i="2"/>
  <c r="G198" i="2"/>
  <c r="H197" i="2"/>
  <c r="G197" i="2"/>
  <c r="H196" i="2"/>
  <c r="G196" i="2"/>
  <c r="H195" i="2"/>
  <c r="G195" i="2"/>
  <c r="H194" i="2"/>
  <c r="G194" i="2"/>
  <c r="H193" i="2"/>
  <c r="G193" i="2"/>
  <c r="H192" i="2"/>
  <c r="G192" i="2"/>
  <c r="H191" i="2"/>
  <c r="G191" i="2"/>
  <c r="H190" i="2"/>
  <c r="G190" i="2"/>
  <c r="H189" i="2"/>
  <c r="G189" i="2"/>
  <c r="H188" i="2"/>
  <c r="G188" i="2"/>
  <c r="H187" i="2"/>
  <c r="G187" i="2"/>
  <c r="H186" i="2"/>
  <c r="G186" i="2"/>
  <c r="H185" i="2"/>
  <c r="G185" i="2"/>
  <c r="H184" i="2"/>
  <c r="G184" i="2"/>
  <c r="H183" i="2"/>
  <c r="G183" i="2"/>
  <c r="H182" i="2"/>
  <c r="G182" i="2"/>
  <c r="H181" i="2"/>
  <c r="G181" i="2"/>
  <c r="H180" i="2"/>
  <c r="G180" i="2"/>
  <c r="H179" i="2"/>
  <c r="G179" i="2"/>
  <c r="H178" i="2"/>
  <c r="G178" i="2"/>
  <c r="H177" i="2"/>
  <c r="G177" i="2"/>
  <c r="H176" i="2"/>
  <c r="G176" i="2"/>
  <c r="H175" i="2"/>
  <c r="G175" i="2"/>
  <c r="H174" i="2"/>
  <c r="G174" i="2"/>
  <c r="H173" i="2"/>
  <c r="G173" i="2"/>
  <c r="H172" i="2"/>
  <c r="G172" i="2"/>
  <c r="H171" i="2"/>
  <c r="G171" i="2"/>
  <c r="H170" i="2"/>
  <c r="G170" i="2"/>
  <c r="H169" i="2"/>
  <c r="G169" i="2"/>
  <c r="H168" i="2"/>
  <c r="G168" i="2"/>
  <c r="H167" i="2"/>
  <c r="G167" i="2"/>
  <c r="H166" i="2"/>
  <c r="G166" i="2"/>
  <c r="H165" i="2"/>
  <c r="G165" i="2"/>
  <c r="H164" i="2"/>
  <c r="G164" i="2"/>
  <c r="H163" i="2"/>
  <c r="G163" i="2"/>
  <c r="H162" i="2"/>
  <c r="G162" i="2"/>
  <c r="H161" i="2"/>
  <c r="G161" i="2"/>
  <c r="H160" i="2"/>
  <c r="G160" i="2"/>
  <c r="H159" i="2"/>
  <c r="G159" i="2"/>
  <c r="H158" i="2"/>
  <c r="G158" i="2"/>
  <c r="H157" i="2"/>
  <c r="G157" i="2"/>
  <c r="H156" i="2"/>
  <c r="G156" i="2"/>
  <c r="H155" i="2"/>
  <c r="G155" i="2"/>
  <c r="H154" i="2"/>
  <c r="G154" i="2"/>
  <c r="H153" i="2"/>
  <c r="G153" i="2"/>
  <c r="H152" i="2"/>
  <c r="G152" i="2"/>
  <c r="H151" i="2"/>
  <c r="G151" i="2"/>
  <c r="H150" i="2"/>
  <c r="G150" i="2"/>
  <c r="H149" i="2"/>
  <c r="G149" i="2"/>
  <c r="H148" i="2"/>
  <c r="G148" i="2"/>
  <c r="H147" i="2"/>
  <c r="G147" i="2"/>
  <c r="H146" i="2"/>
  <c r="G146" i="2"/>
  <c r="H145" i="2"/>
  <c r="G145" i="2"/>
  <c r="H144" i="2"/>
  <c r="G144" i="2"/>
  <c r="H143" i="2"/>
  <c r="G143" i="2"/>
  <c r="H142" i="2"/>
  <c r="G142" i="2"/>
  <c r="H141" i="2"/>
  <c r="G141" i="2"/>
  <c r="H140" i="2"/>
  <c r="G140" i="2"/>
  <c r="H139" i="2"/>
  <c r="G139" i="2"/>
  <c r="H138" i="2"/>
  <c r="G138" i="2"/>
  <c r="H137" i="2"/>
  <c r="G137" i="2"/>
  <c r="H136" i="2"/>
  <c r="G136" i="2"/>
  <c r="H135" i="2"/>
  <c r="G135" i="2"/>
  <c r="H134" i="2"/>
  <c r="G134" i="2"/>
  <c r="H133" i="2"/>
  <c r="G133" i="2"/>
  <c r="H132" i="2"/>
  <c r="G132" i="2"/>
  <c r="H131" i="2"/>
  <c r="G131" i="2"/>
  <c r="H130" i="2"/>
  <c r="G130" i="2"/>
  <c r="H129" i="2"/>
  <c r="G129" i="2"/>
  <c r="H128" i="2"/>
  <c r="G128" i="2"/>
  <c r="H127" i="2"/>
  <c r="G127" i="2"/>
  <c r="H126" i="2"/>
  <c r="G126" i="2"/>
  <c r="H125" i="2"/>
  <c r="G125" i="2"/>
  <c r="H124" i="2"/>
  <c r="G124" i="2"/>
  <c r="H123" i="2"/>
  <c r="G123" i="2"/>
  <c r="H122" i="2"/>
  <c r="G122" i="2"/>
  <c r="H121" i="2"/>
  <c r="G121" i="2"/>
  <c r="H120" i="2"/>
  <c r="G120" i="2"/>
  <c r="H119" i="2"/>
  <c r="G119" i="2"/>
  <c r="H118" i="2"/>
  <c r="G118" i="2"/>
  <c r="H117" i="2"/>
  <c r="G117" i="2"/>
  <c r="H116" i="2"/>
  <c r="G116" i="2"/>
  <c r="H115" i="2"/>
  <c r="G115" i="2"/>
  <c r="H114" i="2"/>
  <c r="G114" i="2"/>
  <c r="H113" i="2"/>
  <c r="G113" i="2"/>
  <c r="H112" i="2"/>
  <c r="G112" i="2"/>
  <c r="H111" i="2"/>
  <c r="G111" i="2"/>
  <c r="H110" i="2"/>
  <c r="G110" i="2"/>
  <c r="H109" i="2"/>
  <c r="G109" i="2"/>
  <c r="H108" i="2"/>
  <c r="G108" i="2"/>
  <c r="H107" i="2"/>
  <c r="G107" i="2"/>
  <c r="H106" i="2"/>
  <c r="G106" i="2"/>
  <c r="H105" i="2"/>
  <c r="G105" i="2"/>
  <c r="H104" i="2"/>
  <c r="G104" i="2"/>
  <c r="H103" i="2"/>
  <c r="G103" i="2"/>
  <c r="H102" i="2"/>
  <c r="G102" i="2"/>
  <c r="H101" i="2"/>
  <c r="G101" i="2"/>
  <c r="H100" i="2"/>
  <c r="G100" i="2"/>
  <c r="H99" i="2"/>
  <c r="G99" i="2"/>
  <c r="H98" i="2"/>
  <c r="G98" i="2"/>
  <c r="H97" i="2"/>
  <c r="G97" i="2"/>
  <c r="H96" i="2"/>
  <c r="G96" i="2"/>
  <c r="H95" i="2"/>
  <c r="G95" i="2"/>
  <c r="H94" i="2"/>
  <c r="G94" i="2"/>
  <c r="H93" i="2"/>
  <c r="G93" i="2"/>
  <c r="H92" i="2"/>
  <c r="G92" i="2"/>
  <c r="H91" i="2"/>
  <c r="G91" i="2"/>
  <c r="H90" i="2"/>
  <c r="G90" i="2"/>
  <c r="H89" i="2"/>
  <c r="G89" i="2"/>
  <c r="H88" i="2"/>
  <c r="G88" i="2"/>
  <c r="H87" i="2"/>
  <c r="G87" i="2"/>
  <c r="H86" i="2"/>
  <c r="G86" i="2"/>
  <c r="H85" i="2"/>
  <c r="G85" i="2"/>
  <c r="H84" i="2"/>
  <c r="G84" i="2"/>
  <c r="H83" i="2"/>
  <c r="G83" i="2"/>
  <c r="H82" i="2"/>
  <c r="G82" i="2"/>
  <c r="H81" i="2"/>
  <c r="G81" i="2"/>
  <c r="H80" i="2"/>
  <c r="G80" i="2"/>
  <c r="H79" i="2"/>
  <c r="G79" i="2"/>
  <c r="H78" i="2"/>
  <c r="G78" i="2"/>
  <c r="H77" i="2"/>
  <c r="G77" i="2"/>
  <c r="H76" i="2"/>
  <c r="G76" i="2"/>
  <c r="H75" i="2"/>
  <c r="G75" i="2"/>
  <c r="H74" i="2"/>
  <c r="G74" i="2"/>
  <c r="H73" i="2"/>
  <c r="G73" i="2"/>
  <c r="H72" i="2"/>
  <c r="G72" i="2"/>
  <c r="H71" i="2"/>
  <c r="G71" i="2"/>
  <c r="H70" i="2"/>
  <c r="G70" i="2"/>
  <c r="H69" i="2"/>
  <c r="G69" i="2"/>
  <c r="H68" i="2"/>
  <c r="G68" i="2"/>
  <c r="H67" i="2"/>
  <c r="G67" i="2"/>
  <c r="H66" i="2"/>
  <c r="G66" i="2"/>
  <c r="H65" i="2"/>
  <c r="G65" i="2"/>
  <c r="H64" i="2"/>
  <c r="G64" i="2"/>
  <c r="H63" i="2"/>
  <c r="G63" i="2"/>
  <c r="H62" i="2"/>
  <c r="G62" i="2"/>
  <c r="H61" i="2"/>
  <c r="G61" i="2"/>
  <c r="H60" i="2"/>
  <c r="G60" i="2"/>
  <c r="H59" i="2"/>
  <c r="G59" i="2"/>
  <c r="H58" i="2"/>
  <c r="G58" i="2"/>
  <c r="H57" i="2"/>
  <c r="G57" i="2"/>
  <c r="H56" i="2"/>
  <c r="G56" i="2"/>
  <c r="H55" i="2"/>
  <c r="G55" i="2"/>
  <c r="H54" i="2"/>
  <c r="G54" i="2"/>
  <c r="H53" i="2"/>
  <c r="G53" i="2"/>
  <c r="H52" i="2"/>
  <c r="G52" i="2"/>
  <c r="H51" i="2"/>
  <c r="G51" i="2"/>
  <c r="H50" i="2"/>
  <c r="G50" i="2"/>
  <c r="H49" i="2"/>
  <c r="G49" i="2"/>
  <c r="H48" i="2"/>
  <c r="G48" i="2"/>
  <c r="H47" i="2"/>
  <c r="G47" i="2"/>
  <c r="H46" i="2"/>
  <c r="G46" i="2"/>
  <c r="H45" i="2"/>
  <c r="G45" i="2"/>
  <c r="H44" i="2"/>
  <c r="G44" i="2"/>
  <c r="H43" i="2"/>
  <c r="G43" i="2"/>
  <c r="H42" i="2"/>
  <c r="G42" i="2"/>
  <c r="H41" i="2"/>
  <c r="G41" i="2"/>
  <c r="H40" i="2"/>
  <c r="G40" i="2"/>
  <c r="H39" i="2"/>
  <c r="G39" i="2"/>
  <c r="H38" i="2"/>
  <c r="G38" i="2"/>
  <c r="H37" i="2"/>
  <c r="G37" i="2"/>
  <c r="H36" i="2"/>
  <c r="G36" i="2"/>
  <c r="H35" i="2"/>
  <c r="G35" i="2"/>
  <c r="H34" i="2"/>
  <c r="G34" i="2"/>
  <c r="H33" i="2"/>
  <c r="G33" i="2"/>
  <c r="H32" i="2"/>
  <c r="G32" i="2"/>
  <c r="H31" i="2"/>
  <c r="G31" i="2"/>
  <c r="H30" i="2"/>
  <c r="G30" i="2"/>
  <c r="H29" i="2"/>
  <c r="G29" i="2"/>
  <c r="H28" i="2"/>
  <c r="G28" i="2"/>
  <c r="H27" i="2"/>
  <c r="G27" i="2"/>
  <c r="H26" i="2"/>
  <c r="G26" i="2"/>
  <c r="H25" i="2"/>
  <c r="G25" i="2"/>
  <c r="H24" i="2"/>
  <c r="G24" i="2"/>
  <c r="H23" i="2"/>
  <c r="G23" i="2"/>
  <c r="H22" i="2"/>
  <c r="G22" i="2"/>
  <c r="H21" i="2"/>
  <c r="G21" i="2"/>
  <c r="H20" i="2"/>
  <c r="G20" i="2"/>
  <c r="H19" i="2"/>
  <c r="G19" i="2"/>
  <c r="H18" i="2"/>
  <c r="G18" i="2"/>
  <c r="H17" i="2"/>
  <c r="G17" i="2"/>
  <c r="H16" i="2"/>
  <c r="G16" i="2"/>
  <c r="H15" i="2"/>
  <c r="G15" i="2"/>
  <c r="H14" i="2"/>
  <c r="G14" i="2"/>
  <c r="J13" i="2"/>
  <c r="H13" i="2"/>
  <c r="G13" i="2"/>
  <c r="H12" i="2"/>
  <c r="G12" i="2"/>
  <c r="H11" i="2"/>
  <c r="G11" i="2"/>
  <c r="H10" i="2"/>
  <c r="G10" i="2"/>
  <c r="H9" i="2"/>
  <c r="G9" i="2"/>
  <c r="S8" i="2"/>
  <c r="H8" i="2"/>
  <c r="G8" i="2"/>
  <c r="H7" i="2"/>
  <c r="G7" i="2"/>
  <c r="H6" i="2"/>
  <c r="G6" i="2"/>
  <c r="H5" i="2"/>
  <c r="G5" i="2"/>
  <c r="K27" i="29" l="1"/>
  <c r="J90" i="29"/>
  <c r="K40" i="26"/>
  <c r="K71" i="26" s="1"/>
  <c r="K39" i="26"/>
  <c r="K70" i="26" s="1"/>
  <c r="K84" i="26" s="1"/>
  <c r="L29" i="26" s="1"/>
  <c r="K38" i="26"/>
  <c r="K41" i="26"/>
  <c r="K72" i="26" s="1"/>
  <c r="K86" i="26" s="1"/>
  <c r="L31" i="26" s="1"/>
  <c r="K37" i="25"/>
  <c r="J90" i="24"/>
  <c r="K35" i="24"/>
  <c r="K36" i="24"/>
  <c r="J78" i="21"/>
  <c r="J85" i="21" s="1"/>
  <c r="K30" i="21" s="1"/>
  <c r="J69" i="21"/>
  <c r="K77" i="21"/>
  <c r="K93" i="21" s="1"/>
  <c r="K44" i="21"/>
  <c r="V10" i="7"/>
  <c r="W10" i="7"/>
  <c r="K13" i="2"/>
  <c r="L13" i="2" s="1"/>
  <c r="K8" i="2"/>
  <c r="K36" i="29" l="1"/>
  <c r="K35" i="29"/>
  <c r="K69" i="26"/>
  <c r="L93" i="26"/>
  <c r="L44" i="26"/>
  <c r="L55" i="26" s="1"/>
  <c r="L54" i="26" s="1"/>
  <c r="K85" i="26"/>
  <c r="L30" i="26" s="1"/>
  <c r="K38" i="25"/>
  <c r="K42" i="25"/>
  <c r="K73" i="25" s="1"/>
  <c r="K40" i="25"/>
  <c r="K71" i="25" s="1"/>
  <c r="K39" i="25"/>
  <c r="K70" i="25" s="1"/>
  <c r="K84" i="25" s="1"/>
  <c r="L29" i="25" s="1"/>
  <c r="K41" i="25"/>
  <c r="K72" i="25" s="1"/>
  <c r="K86" i="25" s="1"/>
  <c r="L31" i="25" s="1"/>
  <c r="K37" i="24"/>
  <c r="K55" i="21"/>
  <c r="J76" i="21"/>
  <c r="J83" i="21" s="1"/>
  <c r="N13" i="2"/>
  <c r="O13" i="2"/>
  <c r="M13" i="2"/>
  <c r="K37" i="29" l="1"/>
  <c r="K83" i="26"/>
  <c r="L77" i="25"/>
  <c r="L93" i="25" s="1"/>
  <c r="L44" i="25"/>
  <c r="L55" i="25" s="1"/>
  <c r="L54" i="25" s="1"/>
  <c r="K78" i="25"/>
  <c r="K85" i="25"/>
  <c r="L30" i="25" s="1"/>
  <c r="K80" i="25"/>
  <c r="K87" i="25"/>
  <c r="L32" i="25" s="1"/>
  <c r="K69" i="25"/>
  <c r="K41" i="24"/>
  <c r="K72" i="24" s="1"/>
  <c r="K86" i="24" s="1"/>
  <c r="L31" i="24" s="1"/>
  <c r="K40" i="24"/>
  <c r="K71" i="24" s="1"/>
  <c r="K39" i="24"/>
  <c r="K70" i="24" s="1"/>
  <c r="K84" i="24" s="1"/>
  <c r="L29" i="24" s="1"/>
  <c r="K38" i="24"/>
  <c r="K42" i="24"/>
  <c r="K73" i="24" s="1"/>
  <c r="K54" i="21"/>
  <c r="J89" i="21"/>
  <c r="K27" i="21" s="1"/>
  <c r="K28" i="21"/>
  <c r="P13" i="2"/>
  <c r="K39" i="29" l="1"/>
  <c r="K70" i="29" s="1"/>
  <c r="K84" i="29" s="1"/>
  <c r="L29" i="29" s="1"/>
  <c r="K38" i="29"/>
  <c r="K40" i="29"/>
  <c r="K71" i="29" s="1"/>
  <c r="K41" i="29"/>
  <c r="K72" i="29" s="1"/>
  <c r="K86" i="29" s="1"/>
  <c r="L31" i="29" s="1"/>
  <c r="K89" i="26"/>
  <c r="L27" i="26" s="1"/>
  <c r="L28" i="26"/>
  <c r="K90" i="26"/>
  <c r="K76" i="25"/>
  <c r="K83" i="25" s="1"/>
  <c r="K80" i="24"/>
  <c r="K87" i="24"/>
  <c r="L32" i="24" s="1"/>
  <c r="K69" i="24"/>
  <c r="L93" i="24"/>
  <c r="L44" i="24"/>
  <c r="L55" i="24" s="1"/>
  <c r="L54" i="24" s="1"/>
  <c r="K85" i="24"/>
  <c r="L30" i="24" s="1"/>
  <c r="K35" i="21"/>
  <c r="K36" i="21"/>
  <c r="J90" i="21"/>
  <c r="K78" i="29" l="1"/>
  <c r="K85" i="29" s="1"/>
  <c r="L30" i="29" s="1"/>
  <c r="K69" i="29"/>
  <c r="L77" i="29"/>
  <c r="L93" i="29" s="1"/>
  <c r="L44" i="29"/>
  <c r="L55" i="29" s="1"/>
  <c r="L54" i="29" s="1"/>
  <c r="L35" i="26"/>
  <c r="L36" i="26"/>
  <c r="K89" i="25"/>
  <c r="L27" i="25" s="1"/>
  <c r="L28" i="25"/>
  <c r="K83" i="24"/>
  <c r="K37" i="21"/>
  <c r="K76" i="29" l="1"/>
  <c r="K83" i="29" s="1"/>
  <c r="L37" i="26"/>
  <c r="K90" i="25"/>
  <c r="L35" i="25"/>
  <c r="L36" i="25"/>
  <c r="K89" i="24"/>
  <c r="L27" i="24" s="1"/>
  <c r="L28" i="24"/>
  <c r="K41" i="21"/>
  <c r="K72" i="21" s="1"/>
  <c r="K86" i="21" s="1"/>
  <c r="L31" i="21" s="1"/>
  <c r="K42" i="21"/>
  <c r="K73" i="21" s="1"/>
  <c r="K40" i="21"/>
  <c r="K71" i="21" s="1"/>
  <c r="K39" i="21"/>
  <c r="K70" i="21" s="1"/>
  <c r="K84" i="21" s="1"/>
  <c r="L29" i="21" s="1"/>
  <c r="L77" i="21" s="1"/>
  <c r="K38" i="21"/>
  <c r="K89" i="29" l="1"/>
  <c r="L27" i="29" s="1"/>
  <c r="L28" i="29"/>
  <c r="L38" i="26"/>
  <c r="L39" i="26"/>
  <c r="L70" i="26" s="1"/>
  <c r="L84" i="26" s="1"/>
  <c r="L41" i="26"/>
  <c r="L72" i="26" s="1"/>
  <c r="L86" i="26" s="1"/>
  <c r="L40" i="26"/>
  <c r="L71" i="26" s="1"/>
  <c r="L37" i="25"/>
  <c r="K90" i="24"/>
  <c r="L35" i="24"/>
  <c r="L36" i="24"/>
  <c r="K80" i="21"/>
  <c r="K87" i="21" s="1"/>
  <c r="L32" i="21" s="1"/>
  <c r="K78" i="21"/>
  <c r="K85" i="21" s="1"/>
  <c r="L30" i="21" s="1"/>
  <c r="K69" i="21"/>
  <c r="L93" i="21"/>
  <c r="L44" i="21"/>
  <c r="K90" i="29" l="1"/>
  <c r="L35" i="29"/>
  <c r="L36" i="29"/>
  <c r="L85" i="26"/>
  <c r="L69" i="26"/>
  <c r="L40" i="25"/>
  <c r="L71" i="25" s="1"/>
  <c r="L38" i="25"/>
  <c r="L42" i="25"/>
  <c r="L73" i="25" s="1"/>
  <c r="L87" i="25" s="1"/>
  <c r="L41" i="25"/>
  <c r="L72" i="25" s="1"/>
  <c r="L86" i="25" s="1"/>
  <c r="L39" i="25"/>
  <c r="L70" i="25" s="1"/>
  <c r="L84" i="25" s="1"/>
  <c r="L37" i="24"/>
  <c r="L55" i="21"/>
  <c r="K76" i="21"/>
  <c r="K83" i="21" s="1"/>
  <c r="L37" i="29" l="1"/>
  <c r="L83" i="26"/>
  <c r="L89" i="26" s="1"/>
  <c r="L69" i="25"/>
  <c r="L78" i="25"/>
  <c r="L85" i="25" s="1"/>
  <c r="L41" i="24"/>
  <c r="L72" i="24" s="1"/>
  <c r="L86" i="24" s="1"/>
  <c r="L40" i="24"/>
  <c r="L71" i="24" s="1"/>
  <c r="L39" i="24"/>
  <c r="L70" i="24" s="1"/>
  <c r="L84" i="24" s="1"/>
  <c r="L38" i="24"/>
  <c r="L42" i="24"/>
  <c r="L73" i="24" s="1"/>
  <c r="L87" i="24" s="1"/>
  <c r="K89" i="21"/>
  <c r="L27" i="21" s="1"/>
  <c r="L28" i="21"/>
  <c r="L54" i="21"/>
  <c r="L41" i="29" l="1"/>
  <c r="L72" i="29" s="1"/>
  <c r="L86" i="29" s="1"/>
  <c r="L39" i="29"/>
  <c r="L70" i="29" s="1"/>
  <c r="L84" i="29" s="1"/>
  <c r="L38" i="29"/>
  <c r="L40" i="29"/>
  <c r="L71" i="29" s="1"/>
  <c r="L90" i="26"/>
  <c r="L76" i="25"/>
  <c r="L83" i="25" s="1"/>
  <c r="L89" i="25" s="1"/>
  <c r="L69" i="24"/>
  <c r="L85" i="24"/>
  <c r="K90" i="21"/>
  <c r="L35" i="21"/>
  <c r="L36" i="21"/>
  <c r="L78" i="29" l="1"/>
  <c r="L85" i="29" s="1"/>
  <c r="L69" i="29"/>
  <c r="L90" i="25"/>
  <c r="L83" i="24"/>
  <c r="L89" i="24" s="1"/>
  <c r="L37" i="21"/>
  <c r="L76" i="29" l="1"/>
  <c r="L83" i="29" s="1"/>
  <c r="L89" i="29" s="1"/>
  <c r="L90" i="24"/>
  <c r="L40" i="21"/>
  <c r="L71" i="21" s="1"/>
  <c r="L42" i="21"/>
  <c r="L73" i="21" s="1"/>
  <c r="L87" i="21" s="1"/>
  <c r="L38" i="21"/>
  <c r="L39" i="21"/>
  <c r="L70" i="21" s="1"/>
  <c r="L84" i="21" s="1"/>
  <c r="L41" i="21"/>
  <c r="L72" i="21" s="1"/>
  <c r="L86" i="21" s="1"/>
  <c r="L90" i="29" l="1"/>
  <c r="L78" i="21"/>
  <c r="L85" i="21" s="1"/>
  <c r="L69" i="21"/>
  <c r="L76" i="21" s="1"/>
  <c r="L83" i="21" l="1"/>
  <c r="L89" i="21" s="1"/>
  <c r="L90" i="21" l="1"/>
</calcChain>
</file>

<file path=xl/sharedStrings.xml><?xml version="1.0" encoding="utf-8"?>
<sst xmlns="http://schemas.openxmlformats.org/spreadsheetml/2006/main" count="809" uniqueCount="234">
  <si>
    <t xml:space="preserve">    To Upper Basin</t>
  </si>
  <si>
    <t xml:space="preserve">    To Lower Basin</t>
  </si>
  <si>
    <t xml:space="preserve">    Upper Basin</t>
  </si>
  <si>
    <t xml:space="preserve">    Lower Basin</t>
  </si>
  <si>
    <t xml:space="preserve">    Mexico</t>
  </si>
  <si>
    <t>Year 1</t>
  </si>
  <si>
    <t>Year 2</t>
  </si>
  <si>
    <t>Year 3</t>
  </si>
  <si>
    <t>Year 4</t>
  </si>
  <si>
    <t>Year 5</t>
  </si>
  <si>
    <t>Year 6</t>
  </si>
  <si>
    <t>Year 7</t>
  </si>
  <si>
    <t>Year 8</t>
  </si>
  <si>
    <t>Lake Powell Elevation-Volume-Area Relationship</t>
  </si>
  <si>
    <t>(USBR 2017, CRSS Model)</t>
  </si>
  <si>
    <t>Elevation (ft)</t>
  </si>
  <si>
    <t>Live Storage (ac-ft)</t>
  </si>
  <si>
    <t>Total Storage (ac-ft)</t>
  </si>
  <si>
    <t>Area (acres)</t>
  </si>
  <si>
    <t>Row</t>
  </si>
  <si>
    <t>Total Storage</t>
  </si>
  <si>
    <t>Elevation</t>
  </si>
  <si>
    <t>Use VLOOKUP() to find the nearest (not larger) area for a specified Total storage volume</t>
  </si>
  <si>
    <t>For example, the nearest area associated with 2,000,000 ac-ft is:</t>
  </si>
  <si>
    <t>Volume (ac-ft)</t>
  </si>
  <si>
    <t>To do more exact interpolation between the two neighboring area values:</t>
  </si>
  <si>
    <t>Volume Below</t>
  </si>
  <si>
    <t>Volume Higher</t>
  </si>
  <si>
    <t>Area Below</t>
  </si>
  <si>
    <t>Area Above</t>
  </si>
  <si>
    <t>Area Interpolated</t>
  </si>
  <si>
    <t xml:space="preserve">    Mexico Balance</t>
  </si>
  <si>
    <t>Assumptions</t>
  </si>
  <si>
    <t xml:space="preserve">   Powell starting storage (million acre feet)</t>
  </si>
  <si>
    <t>10/1/2020 lake level</t>
  </si>
  <si>
    <t>Water Budget Component</t>
  </si>
  <si>
    <t>Year 9</t>
  </si>
  <si>
    <t>Year 10</t>
  </si>
  <si>
    <t>Overview</t>
  </si>
  <si>
    <t>Role</t>
  </si>
  <si>
    <t>Upper Basin</t>
  </si>
  <si>
    <t>Lower Basin</t>
  </si>
  <si>
    <t>Mexico</t>
  </si>
  <si>
    <t>Person</t>
  </si>
  <si>
    <t>Strategy</t>
  </si>
  <si>
    <t>Natural inflow to Lake Powell</t>
  </si>
  <si>
    <t>Explanation of Cell Types</t>
  </si>
  <si>
    <t>Calculated cell</t>
  </si>
  <si>
    <t>Political (water manager) decision</t>
  </si>
  <si>
    <t>Initialize</t>
  </si>
  <si>
    <t>Requested Citation</t>
  </si>
  <si>
    <t>Roles and Players:</t>
  </si>
  <si>
    <t>Facilitator</t>
  </si>
  <si>
    <t>Physical watershed data - Facilitator chooses</t>
  </si>
  <si>
    <t>Hydrology to use (facilitator may or may not reveal to players):</t>
  </si>
  <si>
    <t>Potential hydrologies to use in the  role play</t>
  </si>
  <si>
    <t>Comment</t>
  </si>
  <si>
    <t>Name</t>
  </si>
  <si>
    <t>Source</t>
  </si>
  <si>
    <t>Year 1 is 2000 and Year 18 is 2018</t>
  </si>
  <si>
    <t>Year 11</t>
  </si>
  <si>
    <t>Year 12</t>
  </si>
  <si>
    <t>Year 13</t>
  </si>
  <si>
    <t>Year 14</t>
  </si>
  <si>
    <t>Year 15</t>
  </si>
  <si>
    <t>Year 16</t>
  </si>
  <si>
    <t>Year 17</t>
  </si>
  <si>
    <t>Year 18</t>
  </si>
  <si>
    <t>Year 19</t>
  </si>
  <si>
    <t>Trace 1</t>
  </si>
  <si>
    <t>Trace 2</t>
  </si>
  <si>
    <t>Trace 3</t>
  </si>
  <si>
    <t>USBR (2020). Colorado River Basin Natural Flow and Salt Data. https://www.usbr.gov/lc/region/g4000/NaturalFlow/current.html</t>
  </si>
  <si>
    <t>Adapted from USBR (2020). Colorado River Basin Natural Flow and Salt Data. https://www.usbr.gov/lc/region/g4000/NaturalFlow/current.html</t>
  </si>
  <si>
    <t>Trace 1 - Random sample w/o replacement</t>
  </si>
  <si>
    <t>Trace 2 - Random sample w/o replacement</t>
  </si>
  <si>
    <t>Trace 3 - Random sample w/o replacement</t>
  </si>
  <si>
    <t>This worksheet provides potential annual hydrologies of natural inflow to Lake Powell  to use in the role play (million acre-feet per year)</t>
  </si>
  <si>
    <t>11.4 MAF/year Steady</t>
  </si>
  <si>
    <t>Wet - 1981</t>
  </si>
  <si>
    <t>1585 Paleoflow</t>
  </si>
  <si>
    <t>Actual sequence</t>
  </si>
  <si>
    <t>1452 Paleoflow</t>
  </si>
  <si>
    <t>Woodhouse (2017). Skilled Reconstruciton. Downloaded from http://paleoflow.org</t>
  </si>
  <si>
    <t>10-Yr Avg</t>
  </si>
  <si>
    <t>19-Yr Avg</t>
  </si>
  <si>
    <t>Wet - 1981 Scrambled</t>
  </si>
  <si>
    <t>Millennium Steady</t>
  </si>
  <si>
    <t>The Millennium drought average of 12.4 MAF/year each and every year.</t>
  </si>
  <si>
    <t>Millennium Observed</t>
  </si>
  <si>
    <t>Millennium Scrambled</t>
  </si>
  <si>
    <t>1 maf/yr less than Millennium</t>
  </si>
  <si>
    <t>Random Number sequencies for Millennium and Wet Scrambles without replacement</t>
  </si>
  <si>
    <t>Copy the Master worksheet to be a new worksheet. Rename the worksheet.</t>
  </si>
  <si>
    <t>Description of Worksheets</t>
  </si>
  <si>
    <t>Master</t>
  </si>
  <si>
    <t>HydrologicScenarios</t>
  </si>
  <si>
    <t>Potential hydrologic scenarios to use in the role play. Millennium drought, scrambled years, drier and wetter decades</t>
  </si>
  <si>
    <t>Powell-Elevation-Area</t>
  </si>
  <si>
    <t>The Lake Powell storage volume-elevation-area curve data downloaded from CRSS.</t>
  </si>
  <si>
    <t xml:space="preserve">    UB Share</t>
  </si>
  <si>
    <t xml:space="preserve">    LB Share</t>
  </si>
  <si>
    <t xml:space="preserve">    Mexico Share</t>
  </si>
  <si>
    <t xml:space="preserve">    UB sale to LB (maf)</t>
  </si>
  <si>
    <t xml:space="preserve">    LB payment to UB for sale ($Mill)</t>
  </si>
  <si>
    <t>Trades and Sales</t>
  </si>
  <si>
    <t xml:space="preserve">    Mexico sale to LB (maf)</t>
  </si>
  <si>
    <t xml:space="preserve">    LB payment to Mexico for sale ($Mill)</t>
  </si>
  <si>
    <t>Total</t>
  </si>
  <si>
    <t>Directions to complete the Interactive Water Budget:</t>
  </si>
  <si>
    <t>Encouraging more Conservation in the Colorado River Basin: Role Play</t>
  </si>
  <si>
    <t xml:space="preserve">   Evaporation rate (feet/year)</t>
  </si>
  <si>
    <t>Powell</t>
  </si>
  <si>
    <t>Mead</t>
  </si>
  <si>
    <t>4.9 to 6.5 feet per year for Powell, 5.5 to 6.4 feet per year from Schmidt et al (2016)</t>
  </si>
  <si>
    <t xml:space="preserve">    Powell</t>
  </si>
  <si>
    <t xml:space="preserve">    Mead</t>
  </si>
  <si>
    <t>Physical storage partition (Equalize = 50%/50%)</t>
  </si>
  <si>
    <t xml:space="preserve">    Upper Basin Balance</t>
  </si>
  <si>
    <t xml:space="preserve">    Lower Basin Balance</t>
  </si>
  <si>
    <t>Mexico treaty obligation</t>
  </si>
  <si>
    <t>Powell + Mead Evaporation</t>
  </si>
  <si>
    <t>Lake Mead Elevation-Volume-Area Relationship</t>
  </si>
  <si>
    <t>Intervening (Grand Canyon) inflow</t>
  </si>
  <si>
    <t>Available water (Account Balance + Available Inflow - Evaporation +/- Trades + Grand Canyon Intervene)</t>
  </si>
  <si>
    <t>Combined Storage - End of Year</t>
  </si>
  <si>
    <t>Combined Storage - Beginning of Year</t>
  </si>
  <si>
    <t>Mead to Imperial Dam - Intervening Flow</t>
  </si>
  <si>
    <t>Lower Basin Consumptive Use</t>
  </si>
  <si>
    <t>Drought Contingency Plan Helper</t>
  </si>
  <si>
    <t>Mead Elev (ft)</t>
  </si>
  <si>
    <t>Mead Vol (maf)</t>
  </si>
  <si>
    <t>LB Cutback (maf/year)</t>
  </si>
  <si>
    <t>MX Cutback</t>
  </si>
  <si>
    <t>Total Cutback (maf/year)</t>
  </si>
  <si>
    <t>Split of Lee Ferry Natural after half of Mexico obligation</t>
  </si>
  <si>
    <t>Account Withdrawals</t>
  </si>
  <si>
    <t xml:space="preserve">    Upper Basin - Consumptive Use and Headwaters losses</t>
  </si>
  <si>
    <t xml:space="preserve">    Lower Basin - Release from Mead</t>
  </si>
  <si>
    <t xml:space="preserve">    Mohave / Havasu Evaporation &amp; ET - Release from Mead</t>
  </si>
  <si>
    <t xml:space="preserve">    Mexico - Release from Mead</t>
  </si>
  <si>
    <t>Account end-of-year balance (Available water - Account Withdrawals)</t>
  </si>
  <si>
    <t>4.9 to 6.5 feet per year for Powell, 5.5 to 6.4 feet per year from Schmidt et al (2016); 5.7 to 6.8 in Moreo (2015)</t>
  </si>
  <si>
    <t>11.0-Trade</t>
  </si>
  <si>
    <t>11.0-LawOfRiver</t>
  </si>
  <si>
    <t xml:space="preserve">   Starting storage (million acre feet)</t>
  </si>
  <si>
    <t>11.0-Plots</t>
  </si>
  <si>
    <t>Powell Release - to store physically</t>
  </si>
  <si>
    <t>Move this Excel workbook into Google Docs so that all players can access syncronously.</t>
  </si>
  <si>
    <t>Repeat Steps #6-#11 for as many years  (columns D, E, F, …) as desired. Stop when you no longer gain new insights about the system.</t>
  </si>
  <si>
    <t>Role play again (steps #2-12) for different management decisions, hydrologic scenarios, or different political decisions regarding physical split of combined storage, allocations of natural flow, etc.</t>
  </si>
  <si>
    <t>David E. Rosenberg (2021). "Interactive Water Budget and Role Play for Lake Powell, Colorado River." Utah State University, Logan, UT. https://github.com/dzeke/ColoradoRiverFutures/tree/master/InteractiveWaterBudget</t>
  </si>
  <si>
    <t>A completed role play with Lee Ferry natural flow of 11.0 maf every year for 5 years and all political decisions follow the existing Law of the River operations (DCP, Equalization, Curtailment)</t>
  </si>
  <si>
    <t>Plots of Lower and Upper Basin Consumptive Use and Account Balances that compare results for 11.0-Trade and 11.0-LawOfRiver operations</t>
  </si>
  <si>
    <t>A completed role play of the Millennium Drought (12.4 maf every year natural flow at Lee Ferry) for 6 years followed by 14.4 maf every year in Years 7, 8, 9, and 10. All political decisions follow the the existing Law of the River operations (DCPs, Equalization, Curtailment).</t>
  </si>
  <si>
    <t>Mead-Elevation-Area</t>
  </si>
  <si>
    <t>The Lake Mead storage volume-elevation-area curve data downloaded from CRSS.</t>
  </si>
  <si>
    <t>MX Cutback Minute 319</t>
  </si>
  <si>
    <t>Total Cutback (af/year)</t>
  </si>
  <si>
    <t xml:space="preserve">    Net transactions (should be zero)</t>
  </si>
  <si>
    <t xml:space="preserve">    Price ($/acre-foot)</t>
  </si>
  <si>
    <t>U.S. Treaty Comittment to Mexico</t>
  </si>
  <si>
    <t>Split of Lake Powell Natural Inflow</t>
  </si>
  <si>
    <t>Split of Grand Canyon Tributary Flow</t>
  </si>
  <si>
    <t>Remain</t>
  </si>
  <si>
    <t>Mohave &amp; Havasu Evap &amp; ET</t>
  </si>
  <si>
    <t>Colorado River Delta</t>
  </si>
  <si>
    <t>Sales (+) and Purchases (-) [in maf]</t>
  </si>
  <si>
    <t>Total ($ Mill)</t>
  </si>
  <si>
    <t>Define the Roles (water users), the person playing, and each user's strategy in Cells A5 to C11 (Up to 6 players):</t>
  </si>
  <si>
    <t>On the new worksheet, name each role (water user) and assign to a person (Rows 4-11). There can be up to 6 users. Leave a cell in Column A empty to exclude the user.</t>
  </si>
  <si>
    <t>This interactive water budget allows a facilitator and representatives of water users to role play Lake Powell and Lake Mead management year by year. A facilitator decides the hydrology to use (see HydrologicScenarios worksheet) and reveals natural inflow to Lake Powell and intervening flows along the Grand Canyon reach between Lake Powell and Lake Mead year-by-year to the players. Each player has a water storage account in the combined Lake Powell-Lake Mead system. Each year, each player’s account is credited with a portion of that year’s natural flow. The credit depends on the political decision about how to partition natural flow among the players and subtracts the player's share of reservoir evaporation. The player’s share of reservoir evaporation is prorated by their and aggregate account balances. Each year, each player decides the volume to consumptively use (deduct from their account) and water to store/conserve (remains in the account). A player’s consumptive use must stay within their available water. Additionally, players can voluntarily sell or buy stored water to the Lower Basin player with compensation so long as another play is willing to buy/sell at an agreed price. Sales and purchases move water from one account to another; they do not change physical storage. Finally, the interactive water budget calculates each player’s end-of-the-year account balance. The tool also applies a political decision of how to physically split and move the total storage – sum of all account balances – between Lake Powell and Lake Mead. The players then move to the next year and repeat the decision steps.</t>
  </si>
  <si>
    <t>Facilitator chooses a Hydrologic Scenario in Row 18. Facilitator may or may not reveal the hydrologic scenario to the players. See HydrologicScenarios worksheet for some potential hydrologies.</t>
  </si>
  <si>
    <t>Enter starting storages for Lake Powell and Lake Mead in Row 22.</t>
  </si>
  <si>
    <t>In Year 1, Facilitator enters the natural inflow to Lake Powell in Cell C25 and Grand Canyon tributary inflow in Cell C26.</t>
  </si>
  <si>
    <t>Specify political decisions to split starting storage among users (Cells B28 to B33), split combined storage between Powell and Mead (Cells B35 and B36),  partition the natural flow to Lake Powell among users (Cells B46 to B51), and partition the Grand Canyon tributary flow among users (Cells B53 to B58).</t>
  </si>
  <si>
    <t>Users can additionally sell and purchase water from other users with compensation. The net of all sales and purchases must equal 0 (Row 66). Enter the sale price in Row 67.</t>
  </si>
  <si>
    <t>Each player enters their account withdrawal/consumptive use in Rows 76 to 81. The spreadsheet will show a red background if a player tries to consume more than their available water (account balance) shown in Rows 69 to 74.</t>
  </si>
  <si>
    <t>Observe the ending storages in accounts, combined storage, and Lake Powell release in Rows 83 ot 88.</t>
  </si>
  <si>
    <t>Continue to Year 2 in Column D. Facilitator enters next natural Inflow to Lake Powell in Cell D25 and Grand Canyon tributary flow in Cell D26.</t>
  </si>
  <si>
    <t>Save up to make a 0.06 maf pulse flood</t>
  </si>
  <si>
    <t>Law of River operations</t>
  </si>
  <si>
    <t>Regular 0.6 maf per year operation</t>
  </si>
  <si>
    <t>Law of River operations + sell a small amount to Delta</t>
  </si>
  <si>
    <t>David R.</t>
  </si>
  <si>
    <t>Millennium drought years 1-6. In years 7-10, 14.4 maf each year Lake Powell natural inflow</t>
  </si>
  <si>
    <t>Available water (Account Balance + Available Inflow - Evaporation + Sales - Purchases + Grand Canyon Tributary flow)</t>
  </si>
  <si>
    <t>0.6 maf every year</t>
  </si>
  <si>
    <t>11.0 maf every year natural flow to Lake Powell</t>
  </si>
  <si>
    <t>Law of River operations + sell some to Lower Basin to build conservation ethic</t>
  </si>
  <si>
    <t>Law of River operations + purchase some from Upper Basint to delay shortage onset</t>
  </si>
  <si>
    <t>MellenniumRecover-LawOfRiver</t>
  </si>
  <si>
    <t>MellenniumRecover-Delta</t>
  </si>
  <si>
    <t>Add Colorado River Delta account, pulse flows, and purchases to MillenniumRecover-LawOfRiver scenario. The Delta account gets 0.21/9 maf each year. The user saves water, purchases 0.016 maf from Mexico in Years 3 and 6,  and makes pulse releases in Years 3 and 6 of 0.06 maf. The user also purchases 0.04 maf in Year 9 and makes a pulse release of 0.08 maf.</t>
  </si>
  <si>
    <t>Blank emplate. Duplicate this worksheet before using. See directions above for use.</t>
  </si>
  <si>
    <t>A completed role play with Lee Ferry natural flow of 11.0 maf every year for 5 years allowing trades between users. Upper Basin sales to Lower Basin in Years 1 through 3 earn the Upper Basin $0.46 Billion and get the Upper Basin on a path of conservation and softer landing for this severe event.</t>
  </si>
  <si>
    <t>MellenniumRecover-Trade</t>
  </si>
  <si>
    <t>A completed role play of the Millennium Drought (12.4 maf every year natural flow at Lee Ferry) for 6 years followed by 14.4 maf every year in Years 7, 8, 9, and 10. This operations scenario assumes equalization expires in year 5. Upper Basin sales to the Lower basin in years 7-10 help the Lower Basin recover its account balance whereas with out sales the Lower Basin's account balance continues to fall and consumptive use starts to fall in Year 10.</t>
  </si>
  <si>
    <t>Millennium-Plots</t>
  </si>
  <si>
    <t>Plots of Lower and Upper Basin Consumptive Use and Account Balances that compare results for MillenniumRecover-Trade and MillenniumRecover-LawOfRiver operations</t>
  </si>
  <si>
    <t>Shared, Reserve</t>
  </si>
  <si>
    <t>12 maf initial, inflow is evap</t>
  </si>
  <si>
    <t>11.0-TradeReserve</t>
  </si>
  <si>
    <t>A completed role play with Lee ferry natural flow of 11.0 maf, trade, and a combined share reserve account with 12 maf</t>
  </si>
  <si>
    <t>Versions</t>
  </si>
  <si>
    <t>List of the versions and changes made</t>
  </si>
  <si>
    <t>Date Implimented</t>
  </si>
  <si>
    <t>Changes</t>
  </si>
  <si>
    <t>Suggested By</t>
  </si>
  <si>
    <t>Implemented By</t>
  </si>
  <si>
    <t>Date Suggested</t>
  </si>
  <si>
    <t>Jennifer Pitt</t>
  </si>
  <si>
    <t>Add version control worksheet. List versions</t>
  </si>
  <si>
    <t>David Tarboton, Homa Salahebadi</t>
  </si>
  <si>
    <t>Chris Harris</t>
  </si>
  <si>
    <t>Show what is happening for Lake Mead and below</t>
  </si>
  <si>
    <t>Jian Wang</t>
  </si>
  <si>
    <t>Limit number of years (columns) to 5</t>
  </si>
  <si>
    <t>Shorten worksheet to only essential items. For example, combine Powell and Mead in to one combined reservoir. Show plots of results.</t>
  </si>
  <si>
    <t>Compare results to Law-Of-River operations</t>
  </si>
  <si>
    <t>1) Allow players to define up to six user accounts, 2) Make Mohave/Havasu evaporation and evapotranspiration an account, 3) Create role play (worksheet) with a Colorado River Delta account, 4) Create role play (worksheet) with a shared, Reservoir account</t>
  </si>
  <si>
    <t>Notes</t>
  </si>
  <si>
    <t>Initialize: all Powell storage</t>
  </si>
  <si>
    <t>Initialize: Conservation account balance + remaining Mead storage - Mexico conservation account balance</t>
  </si>
  <si>
    <t>Initialize:  Mexico conservation account balance</t>
  </si>
  <si>
    <t>Initialize: Conservation account balance + remaining Mead storage - Mexico conservation account balance - portion of shared, reservoir balance</t>
  </si>
  <si>
    <t xml:space="preserve">   Protection elevation (feet)</t>
  </si>
  <si>
    <t xml:space="preserve">   Storage at protection elevation (maf)</t>
  </si>
  <si>
    <t>Initialize: Sum of protection volumes</t>
  </si>
  <si>
    <t>Initialize: all Powell storage minus Powell protection volume</t>
  </si>
  <si>
    <t>Version</t>
  </si>
  <si>
    <t>3.2.1</t>
  </si>
  <si>
    <t>2) Rearrange available water, sales/trades, release so user can see all at once, 3) Allow variable price sales</t>
  </si>
  <si>
    <t>Give Mexico share of initial Mead storage. The share is Mexico's conservation account balance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</si>
</sst>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4" formatCode="_(&quot;$&quot;* #,##0.00_);_(&quot;$&quot;* \(#,##0.00\);_(&quot;$&quot;* &quot;-&quot;??_);_(@_)"/>
    <numFmt numFmtId="43" formatCode="_(* #,##0.00_);_(* \(#,##0.00\);_(* &quot;-&quot;??_);_(@_)"/>
    <numFmt numFmtId="164" formatCode="0.0"/>
    <numFmt numFmtId="165" formatCode="_(* #,##0.0_);_(* \(#,##0.0\);_(* &quot;-&quot;??_);_(@_)"/>
    <numFmt numFmtId="166" formatCode="_(* #,##0_);_(* \(#,##0\);_(* &quot;-&quot;??_);_(@_)"/>
    <numFmt numFmtId="167" formatCode="&quot;$&quot;#,##0"/>
    <numFmt numFmtId="168" formatCode="0."/>
    <numFmt numFmtId="169" formatCode="_(&quot;$&quot;* #,##0_);_(&quot;$&quot;* \(#,##0\);_(&quot;$&quot;* &quot;-&quot;??_);_(@_)"/>
    <numFmt numFmtId="170" formatCode="0.000"/>
    <numFmt numFmtId="171" formatCode="0.0000"/>
  </numFmts>
  <fonts count="7" x14ac:knownFonts="1">
    <font>
      <sz val="11"/>
      <color theme="1"/>
      <name val="Calibri"/>
      <family val="2"/>
      <scheme val="minor"/>
    </font>
    <font>
      <b/>
      <sz val="11"/>
      <color theme="1"/>
      <name val="Calibri"/>
      <family val="2"/>
      <scheme val="minor"/>
    </font>
    <font>
      <sz val="11"/>
      <color theme="1"/>
      <name val="Calibri"/>
      <family val="2"/>
      <scheme val="minor"/>
    </font>
    <font>
      <sz val="11"/>
      <color rgb="FF3F3F76"/>
      <name val="Calibri"/>
      <family val="2"/>
      <scheme val="minor"/>
    </font>
    <font>
      <b/>
      <sz val="11"/>
      <color rgb="FFFA7D00"/>
      <name val="Calibri"/>
      <family val="2"/>
      <scheme val="minor"/>
    </font>
    <font>
      <sz val="11"/>
      <color theme="0"/>
      <name val="Calibri"/>
      <family val="2"/>
      <scheme val="minor"/>
    </font>
    <font>
      <b/>
      <sz val="28"/>
      <color theme="1"/>
      <name val="Calibri"/>
      <family val="2"/>
      <scheme val="minor"/>
    </font>
  </fonts>
  <fills count="8">
    <fill>
      <patternFill patternType="none"/>
    </fill>
    <fill>
      <patternFill patternType="gray125"/>
    </fill>
    <fill>
      <patternFill patternType="solid">
        <fgColor rgb="FFFFCC99"/>
      </patternFill>
    </fill>
    <fill>
      <patternFill patternType="solid">
        <fgColor rgb="FFF2F2F2"/>
      </patternFill>
    </fill>
    <fill>
      <patternFill patternType="solid">
        <fgColor theme="9" tint="0.59999389629810485"/>
        <bgColor indexed="64"/>
      </patternFill>
    </fill>
    <fill>
      <patternFill patternType="solid">
        <fgColor theme="5"/>
      </patternFill>
    </fill>
    <fill>
      <patternFill patternType="solid">
        <fgColor theme="8" tint="0.79998168889431442"/>
        <bgColor indexed="64"/>
      </patternFill>
    </fill>
    <fill>
      <patternFill patternType="solid">
        <fgColor theme="4" tint="0.59999389629810485"/>
        <bgColor indexed="64"/>
      </patternFill>
    </fill>
  </fills>
  <borders count="14">
    <border>
      <left/>
      <right/>
      <top/>
      <bottom/>
      <diagonal/>
    </border>
    <border>
      <left style="thin">
        <color rgb="FF7F7F7F"/>
      </left>
      <right style="thin">
        <color rgb="FF7F7F7F"/>
      </right>
      <top style="thin">
        <color rgb="FF7F7F7F"/>
      </top>
      <bottom style="thin">
        <color rgb="FF7F7F7F"/>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rgb="FF7F7F7F"/>
      </left>
      <right style="thin">
        <color rgb="FF7F7F7F"/>
      </right>
      <top/>
      <bottom style="thin">
        <color rgb="FF7F7F7F"/>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7">
    <xf numFmtId="0" fontId="0" fillId="0" borderId="0"/>
    <xf numFmtId="43" fontId="2" fillId="0" borderId="0" applyFont="0" applyFill="0" applyBorder="0" applyAlignment="0" applyProtection="0"/>
    <xf numFmtId="0" fontId="3" fillId="2" borderId="1" applyNumberFormat="0" applyAlignment="0" applyProtection="0"/>
    <xf numFmtId="0" fontId="4" fillId="3" borderId="1" applyNumberFormat="0" applyAlignment="0" applyProtection="0"/>
    <xf numFmtId="44" fontId="2" fillId="0" borderId="0" applyFont="0" applyFill="0" applyBorder="0" applyAlignment="0" applyProtection="0"/>
    <xf numFmtId="9" fontId="2" fillId="0" borderId="0" applyFont="0" applyFill="0" applyBorder="0" applyAlignment="0" applyProtection="0"/>
    <xf numFmtId="0" fontId="5" fillId="5" borderId="0" applyNumberFormat="0" applyBorder="0" applyAlignment="0" applyProtection="0"/>
  </cellStyleXfs>
  <cellXfs count="109">
    <xf numFmtId="0" fontId="0" fillId="0" borderId="0" xfId="0"/>
    <xf numFmtId="0" fontId="1" fillId="0" borderId="0" xfId="0" applyFont="1"/>
    <xf numFmtId="0" fontId="0" fillId="0" borderId="0" xfId="0" applyAlignment="1">
      <alignment horizontal="center"/>
    </xf>
    <xf numFmtId="0" fontId="1" fillId="4" borderId="0" xfId="0" applyFont="1" applyFill="1"/>
    <xf numFmtId="0" fontId="1" fillId="4" borderId="0" xfId="0" applyFont="1" applyFill="1" applyAlignment="1">
      <alignment horizontal="center"/>
    </xf>
    <xf numFmtId="165" fontId="0" fillId="0" borderId="0" xfId="1" applyNumberFormat="1" applyFont="1"/>
    <xf numFmtId="166" fontId="0" fillId="0" borderId="0" xfId="1" applyNumberFormat="1" applyFont="1"/>
    <xf numFmtId="166" fontId="0" fillId="0" borderId="0" xfId="0" applyNumberFormat="1"/>
    <xf numFmtId="165" fontId="0" fillId="0" borderId="0" xfId="0" applyNumberFormat="1"/>
    <xf numFmtId="1" fontId="0" fillId="0" borderId="0" xfId="0" applyNumberFormat="1" applyAlignment="1">
      <alignment horizontal="center"/>
    </xf>
    <xf numFmtId="1" fontId="0" fillId="0" borderId="0" xfId="1" applyNumberFormat="1" applyFont="1" applyAlignment="1">
      <alignment horizontal="center"/>
    </xf>
    <xf numFmtId="17" fontId="0" fillId="0" borderId="0" xfId="0" applyNumberFormat="1"/>
    <xf numFmtId="164" fontId="3" fillId="2" borderId="1" xfId="2" applyNumberFormat="1" applyAlignment="1">
      <alignment horizontal="center"/>
    </xf>
    <xf numFmtId="0" fontId="1" fillId="0" borderId="0" xfId="0" applyFont="1" applyAlignment="1">
      <alignment horizontal="center"/>
    </xf>
    <xf numFmtId="164" fontId="4" fillId="3" borderId="1" xfId="3" applyNumberFormat="1" applyAlignment="1">
      <alignment horizontal="center"/>
    </xf>
    <xf numFmtId="0" fontId="0" fillId="0" borderId="0" xfId="0" applyFont="1" applyAlignment="1">
      <alignment horizontal="left" wrapText="1"/>
    </xf>
    <xf numFmtId="0" fontId="0" fillId="0" borderId="0" xfId="0" applyAlignment="1">
      <alignment horizontal="right"/>
    </xf>
    <xf numFmtId="0" fontId="1" fillId="0" borderId="0" xfId="0" applyFont="1" applyAlignment="1">
      <alignment horizontal="right"/>
    </xf>
    <xf numFmtId="167" fontId="0" fillId="0" borderId="0" xfId="0" applyNumberFormat="1"/>
    <xf numFmtId="0" fontId="1" fillId="0" borderId="0" xfId="0" applyFont="1" applyAlignment="1">
      <alignment horizontal="left"/>
    </xf>
    <xf numFmtId="0" fontId="3" fillId="2" borderId="1" xfId="2"/>
    <xf numFmtId="0" fontId="4" fillId="3" borderId="1" xfId="3"/>
    <xf numFmtId="0" fontId="5" fillId="5" borderId="0" xfId="6"/>
    <xf numFmtId="0" fontId="0" fillId="0" borderId="0" xfId="0" applyAlignment="1">
      <alignment horizontal="left"/>
    </xf>
    <xf numFmtId="9" fontId="5" fillId="5" borderId="0" xfId="5" applyFont="1" applyFill="1" applyAlignment="1">
      <alignment horizontal="center"/>
    </xf>
    <xf numFmtId="0" fontId="5" fillId="5" borderId="1" xfId="6" applyBorder="1" applyAlignment="1">
      <alignment horizontal="center"/>
    </xf>
    <xf numFmtId="0" fontId="1" fillId="0" borderId="0" xfId="0" applyFont="1" applyAlignment="1">
      <alignment horizontal="left" wrapText="1"/>
    </xf>
    <xf numFmtId="0" fontId="0" fillId="0" borderId="0" xfId="0" applyFont="1" applyAlignment="1">
      <alignment horizontal="right"/>
    </xf>
    <xf numFmtId="168" fontId="0" fillId="6" borderId="5" xfId="0" applyNumberFormat="1" applyFill="1" applyBorder="1" applyAlignment="1">
      <alignment vertical="top"/>
    </xf>
    <xf numFmtId="164" fontId="0" fillId="0" borderId="0" xfId="0" applyNumberFormat="1" applyAlignment="1">
      <alignment horizontal="center"/>
    </xf>
    <xf numFmtId="2" fontId="0" fillId="0" borderId="0" xfId="0" applyNumberFormat="1" applyAlignment="1">
      <alignment horizontal="center"/>
    </xf>
    <xf numFmtId="169" fontId="5" fillId="5" borderId="1" xfId="4" applyNumberFormat="1" applyFont="1" applyFill="1" applyBorder="1" applyAlignment="1">
      <alignment horizontal="center"/>
    </xf>
    <xf numFmtId="0" fontId="0" fillId="0" borderId="0" xfId="0" applyFont="1"/>
    <xf numFmtId="169" fontId="4" fillId="3" borderId="1" xfId="4" applyNumberFormat="1" applyFont="1" applyFill="1" applyBorder="1"/>
    <xf numFmtId="169" fontId="0" fillId="0" borderId="0" xfId="0" applyNumberFormat="1"/>
    <xf numFmtId="9" fontId="5" fillId="5" borderId="0" xfId="6" applyNumberFormat="1" applyAlignment="1">
      <alignment horizontal="center"/>
    </xf>
    <xf numFmtId="166" fontId="0" fillId="0" borderId="0" xfId="1" applyNumberFormat="1" applyFont="1" applyAlignment="1">
      <alignment horizontal="center"/>
    </xf>
    <xf numFmtId="0" fontId="0" fillId="0" borderId="9" xfId="0" applyBorder="1" applyAlignment="1">
      <alignment horizontal="center"/>
    </xf>
    <xf numFmtId="0" fontId="0" fillId="0" borderId="9" xfId="0" applyBorder="1"/>
    <xf numFmtId="166" fontId="0" fillId="0" borderId="9" xfId="1" applyNumberFormat="1" applyFont="1" applyBorder="1" applyAlignment="1">
      <alignment horizontal="center"/>
    </xf>
    <xf numFmtId="165" fontId="0" fillId="0" borderId="9" xfId="0" applyNumberFormat="1" applyBorder="1" applyAlignment="1">
      <alignment horizontal="center"/>
    </xf>
    <xf numFmtId="164" fontId="0" fillId="0" borderId="9" xfId="0" applyNumberFormat="1" applyBorder="1" applyAlignment="1">
      <alignment horizontal="center"/>
    </xf>
    <xf numFmtId="43" fontId="0" fillId="0" borderId="9" xfId="0" applyNumberFormat="1" applyBorder="1"/>
    <xf numFmtId="164" fontId="5" fillId="5" borderId="1" xfId="6" applyNumberFormat="1" applyBorder="1" applyAlignment="1">
      <alignment horizontal="center"/>
    </xf>
    <xf numFmtId="164" fontId="5" fillId="5" borderId="0" xfId="5" applyNumberFormat="1" applyFont="1" applyFill="1" applyAlignment="1">
      <alignment horizontal="center"/>
    </xf>
    <xf numFmtId="164" fontId="3" fillId="2" borderId="10" xfId="2" applyNumberFormat="1" applyBorder="1" applyAlignment="1">
      <alignment horizontal="center"/>
    </xf>
    <xf numFmtId="164" fontId="0" fillId="0" borderId="0" xfId="0" applyNumberFormat="1"/>
    <xf numFmtId="0" fontId="3" fillId="2" borderId="1" xfId="2" applyAlignment="1">
      <alignment horizontal="center"/>
    </xf>
    <xf numFmtId="0" fontId="6" fillId="0" borderId="0" xfId="0" applyFont="1"/>
    <xf numFmtId="2" fontId="0" fillId="0" borderId="9" xfId="0" applyNumberFormat="1" applyBorder="1" applyAlignment="1">
      <alignment horizontal="center"/>
    </xf>
    <xf numFmtId="2" fontId="5" fillId="5" borderId="1" xfId="6" applyNumberFormat="1" applyBorder="1" applyAlignment="1">
      <alignment horizontal="center"/>
    </xf>
    <xf numFmtId="0" fontId="0" fillId="0" borderId="9" xfId="0" applyFill="1" applyBorder="1" applyAlignment="1">
      <alignment horizontal="left"/>
    </xf>
    <xf numFmtId="166" fontId="0" fillId="0" borderId="9" xfId="1" applyNumberFormat="1" applyFont="1" applyBorder="1"/>
    <xf numFmtId="0" fontId="4" fillId="3" borderId="1" xfId="3" applyAlignment="1">
      <alignment horizontal="center"/>
    </xf>
    <xf numFmtId="44" fontId="4" fillId="3" borderId="1" xfId="4" applyFont="1" applyFill="1" applyBorder="1"/>
    <xf numFmtId="164" fontId="5" fillId="5" borderId="0" xfId="6" applyNumberFormat="1" applyAlignment="1">
      <alignment horizontal="center"/>
    </xf>
    <xf numFmtId="0" fontId="5" fillId="5" borderId="0" xfId="6" applyAlignment="1">
      <alignment horizontal="center"/>
    </xf>
    <xf numFmtId="0" fontId="1" fillId="7" borderId="9" xfId="0" applyFont="1" applyFill="1" applyBorder="1"/>
    <xf numFmtId="0" fontId="1" fillId="7" borderId="9" xfId="0" applyFont="1" applyFill="1" applyBorder="1" applyAlignment="1">
      <alignment horizontal="center"/>
    </xf>
    <xf numFmtId="2" fontId="4" fillId="3" borderId="1" xfId="3" applyNumberFormat="1" applyAlignment="1">
      <alignment horizontal="center"/>
    </xf>
    <xf numFmtId="170" fontId="4" fillId="3" borderId="1" xfId="3" applyNumberFormat="1" applyAlignment="1">
      <alignment horizontal="center"/>
    </xf>
    <xf numFmtId="2" fontId="5" fillId="5" borderId="0" xfId="5" applyNumberFormat="1" applyFont="1" applyFill="1" applyAlignment="1">
      <alignment horizontal="center"/>
    </xf>
    <xf numFmtId="2" fontId="5" fillId="5" borderId="1" xfId="4" applyNumberFormat="1" applyFont="1" applyFill="1" applyBorder="1" applyAlignment="1">
      <alignment horizontal="center"/>
    </xf>
    <xf numFmtId="0" fontId="1" fillId="0" borderId="0" xfId="0" applyFont="1" applyAlignment="1">
      <alignment horizontal="left" wrapText="1"/>
    </xf>
    <xf numFmtId="0" fontId="1" fillId="0" borderId="9" xfId="0" applyFont="1" applyBorder="1" applyAlignment="1">
      <alignment horizontal="center"/>
    </xf>
    <xf numFmtId="0" fontId="3" fillId="2" borderId="9" xfId="2" applyBorder="1" applyAlignment="1">
      <alignment horizontal="center"/>
    </xf>
    <xf numFmtId="0" fontId="5" fillId="5" borderId="9" xfId="6" applyBorder="1" applyAlignment="1">
      <alignment horizontal="center"/>
    </xf>
    <xf numFmtId="170" fontId="5" fillId="5" borderId="1" xfId="4" applyNumberFormat="1" applyFont="1" applyFill="1" applyBorder="1" applyAlignment="1">
      <alignment horizontal="center"/>
    </xf>
    <xf numFmtId="170" fontId="5" fillId="5" borderId="1" xfId="6" applyNumberFormat="1" applyBorder="1" applyAlignment="1">
      <alignment horizontal="center"/>
    </xf>
    <xf numFmtId="171" fontId="0" fillId="0" borderId="0" xfId="0" applyNumberFormat="1" applyAlignment="1">
      <alignment horizontal="center"/>
    </xf>
    <xf numFmtId="164" fontId="5" fillId="5" borderId="1" xfId="4" applyNumberFormat="1" applyFont="1" applyFill="1" applyBorder="1" applyAlignment="1">
      <alignment horizontal="center"/>
    </xf>
    <xf numFmtId="0" fontId="5" fillId="5" borderId="9" xfId="6" applyBorder="1" applyAlignment="1">
      <alignment horizontal="center"/>
    </xf>
    <xf numFmtId="0" fontId="1" fillId="0" borderId="0" xfId="0" applyFont="1" applyAlignment="1">
      <alignment horizontal="left" wrapText="1"/>
    </xf>
    <xf numFmtId="0" fontId="3" fillId="2" borderId="9" xfId="2" applyBorder="1" applyAlignment="1">
      <alignment horizontal="center"/>
    </xf>
    <xf numFmtId="0" fontId="5" fillId="5" borderId="9" xfId="6" applyBorder="1" applyAlignment="1">
      <alignment horizontal="center"/>
    </xf>
    <xf numFmtId="0" fontId="1" fillId="0" borderId="0" xfId="0" applyFont="1" applyAlignment="1">
      <alignment horizontal="left" wrapText="1"/>
    </xf>
    <xf numFmtId="0" fontId="3" fillId="2" borderId="9" xfId="2" applyBorder="1" applyAlignment="1">
      <alignment horizontal="center"/>
    </xf>
    <xf numFmtId="170" fontId="5" fillId="5" borderId="0" xfId="5" applyNumberFormat="1" applyFont="1" applyFill="1" applyAlignment="1">
      <alignment horizontal="center"/>
    </xf>
    <xf numFmtId="2" fontId="0" fillId="0" borderId="0" xfId="0" applyNumberFormat="1"/>
    <xf numFmtId="0" fontId="1" fillId="0" borderId="0" xfId="0" applyFont="1" applyAlignment="1">
      <alignment wrapText="1"/>
    </xf>
    <xf numFmtId="0" fontId="1" fillId="6" borderId="9" xfId="0" applyFont="1" applyFill="1" applyBorder="1" applyAlignment="1">
      <alignment horizontal="center" vertical="center" wrapText="1"/>
    </xf>
    <xf numFmtId="0" fontId="1" fillId="6" borderId="9" xfId="0" applyFont="1" applyFill="1" applyBorder="1" applyAlignment="1">
      <alignment vertical="center" wrapText="1"/>
    </xf>
    <xf numFmtId="0" fontId="0" fillId="0" borderId="9" xfId="0" applyBorder="1" applyAlignment="1">
      <alignment vertical="top" wrapText="1"/>
    </xf>
    <xf numFmtId="0" fontId="0" fillId="0" borderId="9" xfId="0" applyBorder="1" applyAlignment="1">
      <alignment horizontal="center" vertical="top"/>
    </xf>
    <xf numFmtId="14" fontId="0" fillId="0" borderId="9" xfId="0" applyNumberFormat="1" applyBorder="1" applyAlignment="1">
      <alignment horizontal="center" vertical="top"/>
    </xf>
    <xf numFmtId="0" fontId="0" fillId="0" borderId="9" xfId="0" applyBorder="1" applyAlignment="1">
      <alignment horizontal="center" vertical="top" wrapText="1"/>
    </xf>
    <xf numFmtId="0" fontId="0" fillId="0" borderId="0" xfId="0" applyFont="1" applyAlignment="1">
      <alignment horizontal="left" wrapText="1"/>
    </xf>
    <xf numFmtId="0" fontId="0" fillId="6" borderId="0" xfId="0" applyFont="1" applyFill="1" applyBorder="1" applyAlignment="1">
      <alignment horizontal="left" vertical="top" wrapText="1"/>
    </xf>
    <xf numFmtId="0" fontId="0" fillId="6" borderId="6" xfId="0" applyFont="1" applyFill="1" applyBorder="1" applyAlignment="1">
      <alignment horizontal="left" vertical="top" wrapText="1"/>
    </xf>
    <xf numFmtId="0" fontId="0" fillId="0" borderId="0" xfId="0" applyAlignment="1">
      <alignment horizontal="left" wrapText="1"/>
    </xf>
    <xf numFmtId="0" fontId="1" fillId="6" borderId="2" xfId="0" applyFont="1" applyFill="1" applyBorder="1" applyAlignment="1">
      <alignment horizontal="left" wrapText="1"/>
    </xf>
    <xf numFmtId="0" fontId="1" fillId="6" borderId="3" xfId="0" applyFont="1" applyFill="1" applyBorder="1" applyAlignment="1">
      <alignment horizontal="left" wrapText="1"/>
    </xf>
    <xf numFmtId="0" fontId="1" fillId="6" borderId="4" xfId="0" applyFont="1" applyFill="1" applyBorder="1" applyAlignment="1">
      <alignment horizontal="left" wrapText="1"/>
    </xf>
    <xf numFmtId="0" fontId="0" fillId="6" borderId="0" xfId="0" applyFont="1" applyFill="1" applyBorder="1" applyAlignment="1">
      <alignment vertical="top" wrapText="1"/>
    </xf>
    <xf numFmtId="0" fontId="0" fillId="6" borderId="6" xfId="0" applyFont="1" applyFill="1" applyBorder="1" applyAlignment="1">
      <alignment vertical="top" wrapText="1"/>
    </xf>
    <xf numFmtId="0" fontId="0" fillId="6" borderId="7" xfId="0" applyFont="1" applyFill="1" applyBorder="1" applyAlignment="1">
      <alignment horizontal="left" vertical="top" wrapText="1"/>
    </xf>
    <xf numFmtId="0" fontId="0" fillId="6" borderId="8" xfId="0" applyFont="1" applyFill="1" applyBorder="1" applyAlignment="1">
      <alignment horizontal="left" vertical="top" wrapText="1"/>
    </xf>
    <xf numFmtId="0" fontId="5" fillId="5" borderId="9" xfId="6" applyBorder="1" applyAlignment="1">
      <alignment horizontal="center"/>
    </xf>
    <xf numFmtId="0" fontId="1" fillId="0" borderId="0" xfId="0" applyFont="1" applyAlignment="1">
      <alignment horizontal="left" wrapText="1"/>
    </xf>
    <xf numFmtId="0" fontId="1" fillId="0" borderId="11" xfId="0" applyFont="1" applyBorder="1" applyAlignment="1">
      <alignment horizontal="center"/>
    </xf>
    <xf numFmtId="0" fontId="1" fillId="0" borderId="12" xfId="0" applyFont="1" applyBorder="1" applyAlignment="1">
      <alignment horizontal="center"/>
    </xf>
    <xf numFmtId="0" fontId="1" fillId="0" borderId="13" xfId="0" applyFont="1" applyBorder="1" applyAlignment="1">
      <alignment horizontal="center"/>
    </xf>
    <xf numFmtId="0" fontId="3" fillId="2" borderId="9" xfId="2" applyBorder="1" applyAlignment="1">
      <alignment horizontal="center"/>
    </xf>
    <xf numFmtId="0" fontId="5" fillId="5" borderId="9" xfId="6" applyBorder="1" applyAlignment="1">
      <alignment horizontal="left"/>
    </xf>
    <xf numFmtId="0" fontId="6" fillId="0" borderId="0" xfId="0" applyFont="1" applyAlignment="1">
      <alignment horizontal="center"/>
    </xf>
    <xf numFmtId="0" fontId="3" fillId="2" borderId="1" xfId="2" applyAlignment="1">
      <alignment horizontal="center"/>
    </xf>
    <xf numFmtId="2" fontId="5" fillId="5" borderId="0" xfId="6" applyNumberFormat="1" applyAlignment="1">
      <alignment horizontal="center"/>
    </xf>
    <xf numFmtId="166" fontId="5" fillId="5" borderId="1" xfId="6" applyNumberFormat="1" applyBorder="1" applyAlignment="1">
      <alignment horizontal="center"/>
    </xf>
    <xf numFmtId="164" fontId="0" fillId="0" borderId="9" xfId="0" applyNumberFormat="1" applyBorder="1" applyAlignment="1">
      <alignment horizontal="center" vertical="top"/>
    </xf>
  </cellXfs>
  <cellStyles count="7">
    <cellStyle name="Accent2" xfId="6" builtinId="33"/>
    <cellStyle name="Calculation" xfId="3" builtinId="22"/>
    <cellStyle name="Comma" xfId="1" builtinId="3"/>
    <cellStyle name="Currency" xfId="4" builtinId="4"/>
    <cellStyle name="Input" xfId="2" builtinId="20"/>
    <cellStyle name="Normal" xfId="0" builtinId="0"/>
    <cellStyle name="Percent" xfId="5" builtinId="5"/>
  </cellStyles>
  <dxfs count="43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C5C5"/>
      <color rgb="FFC20202"/>
      <color rgb="FF9C0006"/>
      <color rgb="FFFFCDCD"/>
      <color rgb="FFFFD3D3"/>
      <color rgb="FFFFC7C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2498069941313717"/>
          <c:y val="3.4745872660633781E-2"/>
          <c:w val="0.74072428762167097"/>
          <c:h val="0.87719197828007334"/>
        </c:manualLayout>
      </c:layout>
      <c:lineChart>
        <c:grouping val="standard"/>
        <c:varyColors val="0"/>
        <c:ser>
          <c:idx val="1"/>
          <c:order val="0"/>
          <c:tx>
            <c:v>Law of River</c:v>
          </c:tx>
          <c:spPr>
            <a:ln w="19050" cap="rnd">
              <a:solidFill>
                <a:schemeClr val="accent2"/>
              </a:solidFill>
              <a:prstDash val="dash"/>
              <a:round/>
            </a:ln>
            <a:effectLst/>
          </c:spPr>
          <c:marker>
            <c:symbol val="triangle"/>
            <c:size val="8"/>
            <c:spPr>
              <a:solidFill>
                <a:schemeClr val="accent2"/>
              </a:solidFill>
              <a:ln w="9525">
                <a:solidFill>
                  <a:schemeClr val="accent2"/>
                </a:solidFill>
              </a:ln>
              <a:effectLst/>
            </c:spPr>
          </c:marker>
          <c:cat>
            <c:strRef>
              <c:f>'11.0-LawOfRiver'!$C$24:$G$24</c:f>
              <c:strCache>
                <c:ptCount val="5"/>
                <c:pt idx="0">
                  <c:v>Year 1</c:v>
                </c:pt>
                <c:pt idx="1">
                  <c:v>Year 2</c:v>
                </c:pt>
                <c:pt idx="2">
                  <c:v>Year 3</c:v>
                </c:pt>
                <c:pt idx="3">
                  <c:v>Year 4</c:v>
                </c:pt>
                <c:pt idx="4">
                  <c:v>Year 5</c:v>
                </c:pt>
              </c:strCache>
            </c:strRef>
          </c:cat>
          <c:val>
            <c:numRef>
              <c:f>'11.0-LawOfRiver'!$C$76:$G$76</c:f>
              <c:numCache>
                <c:formatCode>0.0</c:formatCode>
                <c:ptCount val="5"/>
                <c:pt idx="0">
                  <c:v>4.2</c:v>
                </c:pt>
                <c:pt idx="1">
                  <c:v>4.2</c:v>
                </c:pt>
                <c:pt idx="2">
                  <c:v>3.4213727493546848</c:v>
                </c:pt>
                <c:pt idx="3">
                  <c:v>2.4265133965237027</c:v>
                </c:pt>
                <c:pt idx="4">
                  <c:v>2.4230730928820652</c:v>
                </c:pt>
              </c:numCache>
            </c:numRef>
          </c:val>
          <c:smooth val="0"/>
          <c:extLst>
            <c:ext xmlns:c16="http://schemas.microsoft.com/office/drawing/2014/chart" uri="{C3380CC4-5D6E-409C-BE32-E72D297353CC}">
              <c16:uniqueId val="{00000000-CC4C-4AEA-B975-7C4A7FB55AED}"/>
            </c:ext>
          </c:extLst>
        </c:ser>
        <c:ser>
          <c:idx val="0"/>
          <c:order val="1"/>
          <c:tx>
            <c:v>With 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'11.0-LawOfRiver'!$C$24:$G$24</c:f>
              <c:strCache>
                <c:ptCount val="5"/>
                <c:pt idx="0">
                  <c:v>Year 1</c:v>
                </c:pt>
                <c:pt idx="1">
                  <c:v>Year 2</c:v>
                </c:pt>
                <c:pt idx="2">
                  <c:v>Year 3</c:v>
                </c:pt>
                <c:pt idx="3">
                  <c:v>Year 4</c:v>
                </c:pt>
                <c:pt idx="4">
                  <c:v>Year 5</c:v>
                </c:pt>
              </c:strCache>
            </c:strRef>
          </c:cat>
          <c:val>
            <c:numRef>
              <c:f>'11.0-Trade'!$C$76:$G$76</c:f>
              <c:numCache>
                <c:formatCode>0.0</c:formatCode>
                <c:ptCount val="5"/>
                <c:pt idx="0">
                  <c:v>3.7</c:v>
                </c:pt>
                <c:pt idx="1">
                  <c:v>3.3</c:v>
                </c:pt>
                <c:pt idx="2">
                  <c:v>3</c:v>
                </c:pt>
                <c:pt idx="3">
                  <c:v>2.8</c:v>
                </c:pt>
                <c:pt idx="4">
                  <c:v>2.8</c:v>
                </c:pt>
              </c:numCache>
            </c:numRef>
          </c:val>
          <c:smooth val="0"/>
          <c:extLst>
            <c:ext xmlns:c16="http://schemas.microsoft.com/office/drawing/2014/chart" uri="{C3380CC4-5D6E-409C-BE32-E72D297353CC}">
              <c16:uniqueId val="{00000001-CC4C-4AEA-B975-7C4A7FB55AED}"/>
            </c:ext>
          </c:extLst>
        </c:ser>
        <c:ser>
          <c:idx val="2"/>
          <c:order val="2"/>
          <c:tx>
            <c:v>Trade, Reserve</c:v>
          </c:tx>
          <c:spPr>
            <a:ln w="19050" cap="rnd">
              <a:solidFill>
                <a:schemeClr val="tx1"/>
              </a:solidFill>
              <a:prstDash val="lgDash"/>
              <a:round/>
            </a:ln>
            <a:effectLst/>
          </c:spPr>
          <c:marker>
            <c:symbol val="x"/>
            <c:size val="7"/>
            <c:spPr>
              <a:noFill/>
              <a:ln w="9525">
                <a:solidFill>
                  <a:schemeClr val="tx1"/>
                </a:solidFill>
              </a:ln>
              <a:effectLst/>
            </c:spPr>
          </c:marker>
          <c:val>
            <c:numRef>
              <c:f>'11.0-TradeReserve'!$C$78:$G$78</c:f>
              <c:numCache>
                <c:formatCode>0.0</c:formatCode>
                <c:ptCount val="5"/>
                <c:pt idx="0">
                  <c:v>3.7</c:v>
                </c:pt>
                <c:pt idx="1">
                  <c:v>3.3</c:v>
                </c:pt>
                <c:pt idx="2">
                  <c:v>3</c:v>
                </c:pt>
                <c:pt idx="3">
                  <c:v>2.8</c:v>
                </c:pt>
                <c:pt idx="4">
                  <c:v>2.8</c:v>
                </c:pt>
              </c:numCache>
            </c:numRef>
          </c:val>
          <c:smooth val="0"/>
          <c:extLst>
            <c:ext xmlns:c16="http://schemas.microsoft.com/office/drawing/2014/chart" uri="{C3380CC4-5D6E-409C-BE32-E72D297353CC}">
              <c16:uniqueId val="{00000000-70C4-4BB9-9852-15FB71419EFE}"/>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ax val="7"/>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Consumptive Use</a:t>
                </a:r>
              </a:p>
              <a:p>
                <a:pPr>
                  <a:defRPr sz="2000"/>
                </a:pPr>
                <a:r>
                  <a:rPr lang="en-US" sz="2000"/>
                  <a:t> (MAF per year)</a:t>
                </a:r>
              </a:p>
            </c:rich>
          </c:tx>
          <c:layout>
            <c:manualLayout>
              <c:xMode val="edge"/>
              <c:yMode val="edge"/>
              <c:x val="1.6550643851788598E-2"/>
              <c:y val="5.3557317492761394E-2"/>
            </c:manualLayout>
          </c:layout>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legend>
      <c:legendPos val="r"/>
      <c:layout>
        <c:manualLayout>
          <c:xMode val="edge"/>
          <c:yMode val="edge"/>
          <c:x val="0.63885551056014311"/>
          <c:y val="6.7968706906245957E-2"/>
          <c:w val="0.33067390379738842"/>
          <c:h val="0.35031387871442449"/>
        </c:manualLayout>
      </c:layout>
      <c:overlay val="0"/>
      <c:spPr>
        <a:solidFill>
          <a:schemeClr val="bg1"/>
        </a:solidFill>
        <a:ln>
          <a:solidFill>
            <a:schemeClr val="tx1"/>
          </a:solid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Storage-Area</c:v>
          </c:tx>
          <c:spPr>
            <a:ln>
              <a:solidFill>
                <a:srgbClr val="FF0000"/>
              </a:solidFill>
            </a:ln>
          </c:spPr>
          <c:marker>
            <c:spPr>
              <a:ln>
                <a:solidFill>
                  <a:srgbClr val="FF0000"/>
                </a:solidFill>
              </a:ln>
            </c:spPr>
          </c:marker>
          <c:xVal>
            <c:numRef>
              <c:f>'Powell-Elevation-Area'!$C$5:$C$688</c:f>
              <c:numCache>
                <c:formatCode>_(* #,##0_);_(* \(#,##0\);_(* "-"??_);_(@_)</c:formatCode>
                <c:ptCount val="684"/>
                <c:pt idx="0">
                  <c:v>1895000</c:v>
                </c:pt>
                <c:pt idx="1">
                  <c:v>1905173.99</c:v>
                </c:pt>
                <c:pt idx="2">
                  <c:v>1915392.95</c:v>
                </c:pt>
                <c:pt idx="3">
                  <c:v>1925656.89</c:v>
                </c:pt>
                <c:pt idx="4">
                  <c:v>1935965.8</c:v>
                </c:pt>
                <c:pt idx="5">
                  <c:v>1946319.69</c:v>
                </c:pt>
                <c:pt idx="6">
                  <c:v>1956718.55</c:v>
                </c:pt>
                <c:pt idx="7">
                  <c:v>1967162.39</c:v>
                </c:pt>
                <c:pt idx="8">
                  <c:v>1977651.2000004</c:v>
                </c:pt>
                <c:pt idx="9">
                  <c:v>1988184.99</c:v>
                </c:pt>
                <c:pt idx="10">
                  <c:v>1998763.75</c:v>
                </c:pt>
                <c:pt idx="11">
                  <c:v>2009387.49</c:v>
                </c:pt>
                <c:pt idx="12">
                  <c:v>2020056.2</c:v>
                </c:pt>
                <c:pt idx="13">
                  <c:v>2030769.8900000001</c:v>
                </c:pt>
                <c:pt idx="14">
                  <c:v>2041528.55</c:v>
                </c:pt>
                <c:pt idx="15">
                  <c:v>2052332.19</c:v>
                </c:pt>
                <c:pt idx="16">
                  <c:v>2063180.8</c:v>
                </c:pt>
                <c:pt idx="17">
                  <c:v>2074074.3900000001</c:v>
                </c:pt>
                <c:pt idx="18">
                  <c:v>2085012.95</c:v>
                </c:pt>
                <c:pt idx="19">
                  <c:v>2095996.49</c:v>
                </c:pt>
                <c:pt idx="20">
                  <c:v>2107025</c:v>
                </c:pt>
                <c:pt idx="21">
                  <c:v>2118100.75</c:v>
                </c:pt>
                <c:pt idx="22">
                  <c:v>2129226</c:v>
                </c:pt>
                <c:pt idx="23">
                  <c:v>2140400.75</c:v>
                </c:pt>
                <c:pt idx="24">
                  <c:v>2151625</c:v>
                </c:pt>
                <c:pt idx="25">
                  <c:v>2162898.75</c:v>
                </c:pt>
                <c:pt idx="26">
                  <c:v>2174222</c:v>
                </c:pt>
                <c:pt idx="27">
                  <c:v>2185594.75</c:v>
                </c:pt>
                <c:pt idx="28">
                  <c:v>2197017</c:v>
                </c:pt>
                <c:pt idx="29">
                  <c:v>2208488.75</c:v>
                </c:pt>
                <c:pt idx="30">
                  <c:v>2220010</c:v>
                </c:pt>
                <c:pt idx="31">
                  <c:v>2231580.75</c:v>
                </c:pt>
                <c:pt idx="32">
                  <c:v>2243201</c:v>
                </c:pt>
                <c:pt idx="33">
                  <c:v>2254870.75</c:v>
                </c:pt>
                <c:pt idx="34">
                  <c:v>2266590</c:v>
                </c:pt>
                <c:pt idx="35">
                  <c:v>2278358.75</c:v>
                </c:pt>
                <c:pt idx="36">
                  <c:v>2290177</c:v>
                </c:pt>
                <c:pt idx="37">
                  <c:v>2302044.75</c:v>
                </c:pt>
                <c:pt idx="38">
                  <c:v>2313962</c:v>
                </c:pt>
                <c:pt idx="39">
                  <c:v>2325928.75</c:v>
                </c:pt>
                <c:pt idx="40">
                  <c:v>2337945</c:v>
                </c:pt>
                <c:pt idx="41">
                  <c:v>2350010.75</c:v>
                </c:pt>
                <c:pt idx="42">
                  <c:v>2362126</c:v>
                </c:pt>
                <c:pt idx="43">
                  <c:v>2374290.75</c:v>
                </c:pt>
                <c:pt idx="44">
                  <c:v>2386505</c:v>
                </c:pt>
                <c:pt idx="45">
                  <c:v>2398768.75</c:v>
                </c:pt>
                <c:pt idx="46">
                  <c:v>2411082</c:v>
                </c:pt>
                <c:pt idx="47">
                  <c:v>2423444.75</c:v>
                </c:pt>
                <c:pt idx="48">
                  <c:v>2435857</c:v>
                </c:pt>
                <c:pt idx="49">
                  <c:v>2448318.75</c:v>
                </c:pt>
                <c:pt idx="50">
                  <c:v>2460830</c:v>
                </c:pt>
                <c:pt idx="51">
                  <c:v>2473390.75</c:v>
                </c:pt>
                <c:pt idx="52">
                  <c:v>2486001</c:v>
                </c:pt>
                <c:pt idx="53">
                  <c:v>2498660.75</c:v>
                </c:pt>
                <c:pt idx="54">
                  <c:v>2511370</c:v>
                </c:pt>
                <c:pt idx="55">
                  <c:v>2524128.75</c:v>
                </c:pt>
                <c:pt idx="56">
                  <c:v>2536937</c:v>
                </c:pt>
                <c:pt idx="57">
                  <c:v>2549794.75</c:v>
                </c:pt>
                <c:pt idx="58">
                  <c:v>2562702</c:v>
                </c:pt>
                <c:pt idx="59">
                  <c:v>2575658.75</c:v>
                </c:pt>
                <c:pt idx="60">
                  <c:v>2588665</c:v>
                </c:pt>
                <c:pt idx="61">
                  <c:v>2601720.89</c:v>
                </c:pt>
                <c:pt idx="62">
                  <c:v>2614826.5699999998</c:v>
                </c:pt>
                <c:pt idx="63">
                  <c:v>2627982.04</c:v>
                </c:pt>
                <c:pt idx="64">
                  <c:v>2641187.2999999998</c:v>
                </c:pt>
                <c:pt idx="65">
                  <c:v>2654442.34</c:v>
                </c:pt>
                <c:pt idx="66">
                  <c:v>2667747.17</c:v>
                </c:pt>
                <c:pt idx="67">
                  <c:v>2681101.79</c:v>
                </c:pt>
                <c:pt idx="68">
                  <c:v>2694506.2</c:v>
                </c:pt>
                <c:pt idx="69">
                  <c:v>2707960.39</c:v>
                </c:pt>
                <c:pt idx="70">
                  <c:v>2721464.3700040001</c:v>
                </c:pt>
                <c:pt idx="71">
                  <c:v>2735018.14</c:v>
                </c:pt>
                <c:pt idx="72">
                  <c:v>2748621.700003</c:v>
                </c:pt>
                <c:pt idx="73">
                  <c:v>2762275.0400010003</c:v>
                </c:pt>
                <c:pt idx="74">
                  <c:v>2775978.1699990002</c:v>
                </c:pt>
                <c:pt idx="75">
                  <c:v>2789731.0899970001</c:v>
                </c:pt>
                <c:pt idx="76">
                  <c:v>2803533.8000019998</c:v>
                </c:pt>
                <c:pt idx="77">
                  <c:v>2817386.2900020001</c:v>
                </c:pt>
                <c:pt idx="78">
                  <c:v>2831288.5700010001</c:v>
                </c:pt>
                <c:pt idx="79">
                  <c:v>2845240.64</c:v>
                </c:pt>
                <c:pt idx="80">
                  <c:v>2859242.4999989998</c:v>
                </c:pt>
                <c:pt idx="81">
                  <c:v>2873294.1400009999</c:v>
                </c:pt>
                <c:pt idx="82">
                  <c:v>2887395.5700019998</c:v>
                </c:pt>
                <c:pt idx="83">
                  <c:v>2901546.79</c:v>
                </c:pt>
                <c:pt idx="84">
                  <c:v>2915747.8</c:v>
                </c:pt>
                <c:pt idx="85">
                  <c:v>2929998.59</c:v>
                </c:pt>
                <c:pt idx="86">
                  <c:v>2944299.17</c:v>
                </c:pt>
                <c:pt idx="87">
                  <c:v>2958649.54</c:v>
                </c:pt>
                <c:pt idx="88">
                  <c:v>2973049.7</c:v>
                </c:pt>
                <c:pt idx="89">
                  <c:v>2987499.6399999997</c:v>
                </c:pt>
                <c:pt idx="90">
                  <c:v>3001999.37</c:v>
                </c:pt>
                <c:pt idx="91">
                  <c:v>3016548.8899999997</c:v>
                </c:pt>
                <c:pt idx="92">
                  <c:v>3031148.2</c:v>
                </c:pt>
                <c:pt idx="93">
                  <c:v>3045797.29</c:v>
                </c:pt>
                <c:pt idx="94">
                  <c:v>3060496.17</c:v>
                </c:pt>
                <c:pt idx="95">
                  <c:v>3075244.84</c:v>
                </c:pt>
                <c:pt idx="96">
                  <c:v>3090043.3</c:v>
                </c:pt>
                <c:pt idx="97">
                  <c:v>3104891.54</c:v>
                </c:pt>
                <c:pt idx="98">
                  <c:v>3119789.5700000003</c:v>
                </c:pt>
                <c:pt idx="99">
                  <c:v>3134737.3899999997</c:v>
                </c:pt>
                <c:pt idx="100">
                  <c:v>3149735</c:v>
                </c:pt>
                <c:pt idx="101">
                  <c:v>3164786.59</c:v>
                </c:pt>
                <c:pt idx="102">
                  <c:v>3179896.35</c:v>
                </c:pt>
                <c:pt idx="103">
                  <c:v>3195064.29</c:v>
                </c:pt>
                <c:pt idx="104">
                  <c:v>3210290.4</c:v>
                </c:pt>
                <c:pt idx="105">
                  <c:v>3225574.69</c:v>
                </c:pt>
                <c:pt idx="106">
                  <c:v>3240917.15</c:v>
                </c:pt>
                <c:pt idx="107">
                  <c:v>3256317.79</c:v>
                </c:pt>
                <c:pt idx="108">
                  <c:v>3271776.6</c:v>
                </c:pt>
                <c:pt idx="109">
                  <c:v>3287293.59</c:v>
                </c:pt>
                <c:pt idx="110">
                  <c:v>3302868.75</c:v>
                </c:pt>
                <c:pt idx="111">
                  <c:v>3318502.09</c:v>
                </c:pt>
                <c:pt idx="112">
                  <c:v>3334193.6</c:v>
                </c:pt>
                <c:pt idx="113">
                  <c:v>3349943.29</c:v>
                </c:pt>
                <c:pt idx="114">
                  <c:v>3365751.15</c:v>
                </c:pt>
                <c:pt idx="115">
                  <c:v>3381617.19</c:v>
                </c:pt>
                <c:pt idx="116">
                  <c:v>3397541.4</c:v>
                </c:pt>
                <c:pt idx="117">
                  <c:v>3413523.79</c:v>
                </c:pt>
                <c:pt idx="118">
                  <c:v>3429564.35</c:v>
                </c:pt>
                <c:pt idx="119">
                  <c:v>3445663.09</c:v>
                </c:pt>
                <c:pt idx="120">
                  <c:v>3461820</c:v>
                </c:pt>
                <c:pt idx="121">
                  <c:v>3478035.09</c:v>
                </c:pt>
                <c:pt idx="122">
                  <c:v>3494308.35</c:v>
                </c:pt>
                <c:pt idx="123">
                  <c:v>3510639.79</c:v>
                </c:pt>
                <c:pt idx="124">
                  <c:v>3527029.4</c:v>
                </c:pt>
                <c:pt idx="125">
                  <c:v>3543477.19</c:v>
                </c:pt>
                <c:pt idx="126">
                  <c:v>3559983.15</c:v>
                </c:pt>
                <c:pt idx="127">
                  <c:v>3576547.29</c:v>
                </c:pt>
                <c:pt idx="128">
                  <c:v>3593169.6</c:v>
                </c:pt>
                <c:pt idx="129">
                  <c:v>3609850.09</c:v>
                </c:pt>
                <c:pt idx="130">
                  <c:v>3626588.75</c:v>
                </c:pt>
                <c:pt idx="131">
                  <c:v>3643385.59</c:v>
                </c:pt>
                <c:pt idx="132">
                  <c:v>3660240.6</c:v>
                </c:pt>
                <c:pt idx="133">
                  <c:v>3677153.79</c:v>
                </c:pt>
                <c:pt idx="134">
                  <c:v>3694125.15</c:v>
                </c:pt>
                <c:pt idx="135">
                  <c:v>3711154.69</c:v>
                </c:pt>
                <c:pt idx="136">
                  <c:v>3728242.4</c:v>
                </c:pt>
                <c:pt idx="137">
                  <c:v>3745388.29</c:v>
                </c:pt>
                <c:pt idx="138">
                  <c:v>3762592.35</c:v>
                </c:pt>
                <c:pt idx="139">
                  <c:v>3779854.59</c:v>
                </c:pt>
                <c:pt idx="140">
                  <c:v>3797175</c:v>
                </c:pt>
                <c:pt idx="141">
                  <c:v>3814559.8899999997</c:v>
                </c:pt>
                <c:pt idx="142">
                  <c:v>3832015.55</c:v>
                </c:pt>
                <c:pt idx="143">
                  <c:v>3849541.99</c:v>
                </c:pt>
                <c:pt idx="144">
                  <c:v>3867139.2</c:v>
                </c:pt>
                <c:pt idx="145">
                  <c:v>3884807.19</c:v>
                </c:pt>
                <c:pt idx="146">
                  <c:v>3902545.95</c:v>
                </c:pt>
                <c:pt idx="147">
                  <c:v>3920355.49</c:v>
                </c:pt>
                <c:pt idx="148">
                  <c:v>3938235.8</c:v>
                </c:pt>
                <c:pt idx="149">
                  <c:v>3956186.8899999997</c:v>
                </c:pt>
                <c:pt idx="150">
                  <c:v>3974208.75</c:v>
                </c:pt>
                <c:pt idx="151">
                  <c:v>3992301.39</c:v>
                </c:pt>
                <c:pt idx="152">
                  <c:v>4010464.8</c:v>
                </c:pt>
                <c:pt idx="153">
                  <c:v>4028698.99</c:v>
                </c:pt>
                <c:pt idx="154">
                  <c:v>4047003.95</c:v>
                </c:pt>
                <c:pt idx="155">
                  <c:v>4065379.69</c:v>
                </c:pt>
                <c:pt idx="156">
                  <c:v>4083826.2</c:v>
                </c:pt>
                <c:pt idx="157">
                  <c:v>4102343.49</c:v>
                </c:pt>
                <c:pt idx="158">
                  <c:v>4120931.55</c:v>
                </c:pt>
                <c:pt idx="159">
                  <c:v>4139590.39</c:v>
                </c:pt>
                <c:pt idx="160">
                  <c:v>4158320</c:v>
                </c:pt>
                <c:pt idx="161">
                  <c:v>4177120.39</c:v>
                </c:pt>
                <c:pt idx="162">
                  <c:v>4195991.55</c:v>
                </c:pt>
                <c:pt idx="163">
                  <c:v>4214933.49</c:v>
                </c:pt>
                <c:pt idx="164">
                  <c:v>4233946.2</c:v>
                </c:pt>
                <c:pt idx="165">
                  <c:v>4253029.6899999995</c:v>
                </c:pt>
                <c:pt idx="166">
                  <c:v>4272183.95</c:v>
                </c:pt>
                <c:pt idx="167">
                  <c:v>4291408.99</c:v>
                </c:pt>
                <c:pt idx="168">
                  <c:v>4310704.8</c:v>
                </c:pt>
                <c:pt idx="169">
                  <c:v>4330071.3900000006</c:v>
                </c:pt>
                <c:pt idx="170">
                  <c:v>4349508.75</c:v>
                </c:pt>
                <c:pt idx="171">
                  <c:v>4369016.8900000006</c:v>
                </c:pt>
                <c:pt idx="172">
                  <c:v>4388595.8</c:v>
                </c:pt>
                <c:pt idx="173">
                  <c:v>4408245.49</c:v>
                </c:pt>
                <c:pt idx="174">
                  <c:v>4427965.95</c:v>
                </c:pt>
                <c:pt idx="175">
                  <c:v>4447757.1899999995</c:v>
                </c:pt>
                <c:pt idx="176">
                  <c:v>4467619.2</c:v>
                </c:pt>
                <c:pt idx="177">
                  <c:v>4487551.99</c:v>
                </c:pt>
                <c:pt idx="178">
                  <c:v>4507555.55</c:v>
                </c:pt>
                <c:pt idx="179">
                  <c:v>4527629.8900000006</c:v>
                </c:pt>
                <c:pt idx="180">
                  <c:v>4547775</c:v>
                </c:pt>
                <c:pt idx="181">
                  <c:v>4567992.46</c:v>
                </c:pt>
                <c:pt idx="182">
                  <c:v>4588283.8499999996</c:v>
                </c:pt>
                <c:pt idx="183">
                  <c:v>4608649.16</c:v>
                </c:pt>
                <c:pt idx="184">
                  <c:v>4629088.4000000004</c:v>
                </c:pt>
                <c:pt idx="185">
                  <c:v>4649601.5600000005</c:v>
                </c:pt>
                <c:pt idx="186">
                  <c:v>4670188.6500000004</c:v>
                </c:pt>
                <c:pt idx="187">
                  <c:v>4690849.66</c:v>
                </c:pt>
                <c:pt idx="188">
                  <c:v>4711584.5999999996</c:v>
                </c:pt>
                <c:pt idx="189">
                  <c:v>4732393.46</c:v>
                </c:pt>
                <c:pt idx="190">
                  <c:v>4753276.25</c:v>
                </c:pt>
                <c:pt idx="191">
                  <c:v>4774232.96</c:v>
                </c:pt>
                <c:pt idx="192">
                  <c:v>4795263.5999999996</c:v>
                </c:pt>
                <c:pt idx="193">
                  <c:v>4816368.16</c:v>
                </c:pt>
                <c:pt idx="194">
                  <c:v>4837546.6500000004</c:v>
                </c:pt>
                <c:pt idx="195">
                  <c:v>4858799.0600000005</c:v>
                </c:pt>
                <c:pt idx="196">
                  <c:v>4880125.4000000004</c:v>
                </c:pt>
                <c:pt idx="197">
                  <c:v>4901525.66</c:v>
                </c:pt>
                <c:pt idx="198">
                  <c:v>4922999.8499999996</c:v>
                </c:pt>
                <c:pt idx="199">
                  <c:v>4944547.96</c:v>
                </c:pt>
                <c:pt idx="200">
                  <c:v>4966170</c:v>
                </c:pt>
                <c:pt idx="201">
                  <c:v>4987865.96</c:v>
                </c:pt>
                <c:pt idx="202">
                  <c:v>5009635.8499999996</c:v>
                </c:pt>
                <c:pt idx="203">
                  <c:v>5031479.66</c:v>
                </c:pt>
                <c:pt idx="204">
                  <c:v>5053397.4000000004</c:v>
                </c:pt>
                <c:pt idx="205">
                  <c:v>5075389.0600000005</c:v>
                </c:pt>
                <c:pt idx="206">
                  <c:v>5097454.6500000004</c:v>
                </c:pt>
                <c:pt idx="207">
                  <c:v>5119594.16</c:v>
                </c:pt>
                <c:pt idx="208">
                  <c:v>5141807.5999999996</c:v>
                </c:pt>
                <c:pt idx="209">
                  <c:v>5164094.96</c:v>
                </c:pt>
                <c:pt idx="210">
                  <c:v>5186456.25</c:v>
                </c:pt>
                <c:pt idx="211">
                  <c:v>5208891.46</c:v>
                </c:pt>
                <c:pt idx="212">
                  <c:v>5231400.5999999996</c:v>
                </c:pt>
                <c:pt idx="213">
                  <c:v>5253983.66</c:v>
                </c:pt>
                <c:pt idx="214">
                  <c:v>5276640.6500000004</c:v>
                </c:pt>
                <c:pt idx="215">
                  <c:v>5299371.5600000005</c:v>
                </c:pt>
                <c:pt idx="216">
                  <c:v>5322176.4000000004</c:v>
                </c:pt>
                <c:pt idx="217">
                  <c:v>5345055.16</c:v>
                </c:pt>
                <c:pt idx="218">
                  <c:v>5368007.8499999996</c:v>
                </c:pt>
                <c:pt idx="219">
                  <c:v>5391034.46</c:v>
                </c:pt>
                <c:pt idx="220">
                  <c:v>5414135</c:v>
                </c:pt>
                <c:pt idx="221">
                  <c:v>5437310.6899999995</c:v>
                </c:pt>
                <c:pt idx="222">
                  <c:v>5460562.7699999996</c:v>
                </c:pt>
                <c:pt idx="223">
                  <c:v>5483891.2400000002</c:v>
                </c:pt>
                <c:pt idx="224">
                  <c:v>5507296.0999999996</c:v>
                </c:pt>
                <c:pt idx="225">
                  <c:v>5530777.3399999999</c:v>
                </c:pt>
                <c:pt idx="226">
                  <c:v>5554334.9700000007</c:v>
                </c:pt>
                <c:pt idx="227">
                  <c:v>5577968.9900000002</c:v>
                </c:pt>
                <c:pt idx="228">
                  <c:v>5601679.4000000004</c:v>
                </c:pt>
                <c:pt idx="229">
                  <c:v>5625466.1899999995</c:v>
                </c:pt>
                <c:pt idx="230">
                  <c:v>5649329.3700000001</c:v>
                </c:pt>
                <c:pt idx="231">
                  <c:v>5673268.9399999995</c:v>
                </c:pt>
                <c:pt idx="232">
                  <c:v>5697284.9000000004</c:v>
                </c:pt>
                <c:pt idx="233">
                  <c:v>5721377.2400000002</c:v>
                </c:pt>
                <c:pt idx="234">
                  <c:v>5745545.9700000007</c:v>
                </c:pt>
                <c:pt idx="235">
                  <c:v>5769791.0899999999</c:v>
                </c:pt>
                <c:pt idx="236">
                  <c:v>5794112.5999999996</c:v>
                </c:pt>
                <c:pt idx="237">
                  <c:v>5818510.4900000002</c:v>
                </c:pt>
                <c:pt idx="238">
                  <c:v>5842984.7699999996</c:v>
                </c:pt>
                <c:pt idx="239">
                  <c:v>5867535.4399999995</c:v>
                </c:pt>
                <c:pt idx="240">
                  <c:v>5892162.5</c:v>
                </c:pt>
                <c:pt idx="241">
                  <c:v>5916865.9399999995</c:v>
                </c:pt>
                <c:pt idx="242">
                  <c:v>5941645.7699999996</c:v>
                </c:pt>
                <c:pt idx="243">
                  <c:v>5966501.9900000002</c:v>
                </c:pt>
                <c:pt idx="244">
                  <c:v>5991434.5999999996</c:v>
                </c:pt>
                <c:pt idx="245">
                  <c:v>6016443.5899999999</c:v>
                </c:pt>
                <c:pt idx="246">
                  <c:v>6041528.9700000007</c:v>
                </c:pt>
                <c:pt idx="247">
                  <c:v>6066690.7400000002</c:v>
                </c:pt>
                <c:pt idx="248">
                  <c:v>6091928.9000000004</c:v>
                </c:pt>
                <c:pt idx="249">
                  <c:v>6117243.4400000004</c:v>
                </c:pt>
                <c:pt idx="250">
                  <c:v>6142634.3700000001</c:v>
                </c:pt>
                <c:pt idx="251">
                  <c:v>6168101.6900000004</c:v>
                </c:pt>
                <c:pt idx="252">
                  <c:v>6193645.4000000004</c:v>
                </c:pt>
                <c:pt idx="253">
                  <c:v>6219265.4900000002</c:v>
                </c:pt>
                <c:pt idx="254">
                  <c:v>6244961.9699999997</c:v>
                </c:pt>
                <c:pt idx="255">
                  <c:v>6270734.8399999999</c:v>
                </c:pt>
                <c:pt idx="256">
                  <c:v>6296584.0999999996</c:v>
                </c:pt>
                <c:pt idx="257">
                  <c:v>6322509.7400000002</c:v>
                </c:pt>
                <c:pt idx="258">
                  <c:v>6348511.7699999996</c:v>
                </c:pt>
                <c:pt idx="259">
                  <c:v>6374590.1900000004</c:v>
                </c:pt>
                <c:pt idx="260">
                  <c:v>6400745</c:v>
                </c:pt>
                <c:pt idx="261">
                  <c:v>6426982.3099999996</c:v>
                </c:pt>
                <c:pt idx="262">
                  <c:v>6453308.25</c:v>
                </c:pt>
                <c:pt idx="263">
                  <c:v>6479722.8099999996</c:v>
                </c:pt>
                <c:pt idx="264">
                  <c:v>6506226</c:v>
                </c:pt>
                <c:pt idx="265">
                  <c:v>6532817.8099999996</c:v>
                </c:pt>
                <c:pt idx="266">
                  <c:v>6559498.25</c:v>
                </c:pt>
                <c:pt idx="267">
                  <c:v>6586267.3099999996</c:v>
                </c:pt>
                <c:pt idx="268">
                  <c:v>6613125</c:v>
                </c:pt>
                <c:pt idx="269">
                  <c:v>6640071.3099999996</c:v>
                </c:pt>
                <c:pt idx="270">
                  <c:v>6667106.25</c:v>
                </c:pt>
                <c:pt idx="271">
                  <c:v>6694229.8099999996</c:v>
                </c:pt>
                <c:pt idx="272">
                  <c:v>6721442</c:v>
                </c:pt>
                <c:pt idx="273">
                  <c:v>6748742.8099999996</c:v>
                </c:pt>
                <c:pt idx="274">
                  <c:v>6776132.25</c:v>
                </c:pt>
                <c:pt idx="275">
                  <c:v>6803610.3099999996</c:v>
                </c:pt>
                <c:pt idx="276">
                  <c:v>6831177</c:v>
                </c:pt>
                <c:pt idx="277">
                  <c:v>6858832.3099999996</c:v>
                </c:pt>
                <c:pt idx="278">
                  <c:v>6886576.25</c:v>
                </c:pt>
                <c:pt idx="279">
                  <c:v>6914408.8099999996</c:v>
                </c:pt>
                <c:pt idx="280">
                  <c:v>6942330</c:v>
                </c:pt>
                <c:pt idx="281">
                  <c:v>6970339.8099999996</c:v>
                </c:pt>
                <c:pt idx="282">
                  <c:v>6998438.25</c:v>
                </c:pt>
                <c:pt idx="283">
                  <c:v>7026625.3099999996</c:v>
                </c:pt>
                <c:pt idx="284">
                  <c:v>7054901</c:v>
                </c:pt>
                <c:pt idx="285">
                  <c:v>7083265.3099999996</c:v>
                </c:pt>
                <c:pt idx="286">
                  <c:v>7111718.25</c:v>
                </c:pt>
                <c:pt idx="287">
                  <c:v>7140259.8099999996</c:v>
                </c:pt>
                <c:pt idx="288">
                  <c:v>7168890</c:v>
                </c:pt>
                <c:pt idx="289">
                  <c:v>7197608.8099999996</c:v>
                </c:pt>
                <c:pt idx="290">
                  <c:v>7226416.25</c:v>
                </c:pt>
                <c:pt idx="291">
                  <c:v>7255312.3099999996</c:v>
                </c:pt>
                <c:pt idx="292">
                  <c:v>7284297</c:v>
                </c:pt>
                <c:pt idx="293">
                  <c:v>7313370.3099999996</c:v>
                </c:pt>
                <c:pt idx="294">
                  <c:v>7342532.25</c:v>
                </c:pt>
                <c:pt idx="295">
                  <c:v>7371782.8099999996</c:v>
                </c:pt>
                <c:pt idx="296">
                  <c:v>7401122</c:v>
                </c:pt>
                <c:pt idx="297">
                  <c:v>7430549.8099999996</c:v>
                </c:pt>
                <c:pt idx="298">
                  <c:v>7460066.25</c:v>
                </c:pt>
                <c:pt idx="299">
                  <c:v>7489671.3099999996</c:v>
                </c:pt>
                <c:pt idx="300">
                  <c:v>7519365</c:v>
                </c:pt>
                <c:pt idx="301">
                  <c:v>7549151.3099999996</c:v>
                </c:pt>
                <c:pt idx="302">
                  <c:v>7579034.25</c:v>
                </c:pt>
                <c:pt idx="303">
                  <c:v>7609013.8099999996</c:v>
                </c:pt>
                <c:pt idx="304">
                  <c:v>7639090</c:v>
                </c:pt>
                <c:pt idx="305">
                  <c:v>7669262.8099999996</c:v>
                </c:pt>
                <c:pt idx="306">
                  <c:v>7699532.25</c:v>
                </c:pt>
                <c:pt idx="307">
                  <c:v>7729898.3099999996</c:v>
                </c:pt>
                <c:pt idx="308">
                  <c:v>7760361</c:v>
                </c:pt>
                <c:pt idx="309">
                  <c:v>7790920.3099999996</c:v>
                </c:pt>
                <c:pt idx="310">
                  <c:v>7821576.25</c:v>
                </c:pt>
                <c:pt idx="311">
                  <c:v>7852328.8099999996</c:v>
                </c:pt>
                <c:pt idx="312">
                  <c:v>7883178</c:v>
                </c:pt>
                <c:pt idx="313">
                  <c:v>7914123.8099999996</c:v>
                </c:pt>
                <c:pt idx="314">
                  <c:v>7945166.25</c:v>
                </c:pt>
                <c:pt idx="315">
                  <c:v>7976305.3099999996</c:v>
                </c:pt>
                <c:pt idx="316">
                  <c:v>8007541</c:v>
                </c:pt>
                <c:pt idx="317">
                  <c:v>8038873.3099999996</c:v>
                </c:pt>
                <c:pt idx="318">
                  <c:v>8070302.25</c:v>
                </c:pt>
                <c:pt idx="319">
                  <c:v>8101827.8099999996</c:v>
                </c:pt>
                <c:pt idx="320">
                  <c:v>8133450</c:v>
                </c:pt>
                <c:pt idx="321">
                  <c:v>8165168.8099999996</c:v>
                </c:pt>
                <c:pt idx="322">
                  <c:v>8196984.25</c:v>
                </c:pt>
                <c:pt idx="323">
                  <c:v>8228896.3099999996</c:v>
                </c:pt>
                <c:pt idx="324">
                  <c:v>8260905</c:v>
                </c:pt>
                <c:pt idx="325">
                  <c:v>8293010.3099999996</c:v>
                </c:pt>
                <c:pt idx="326">
                  <c:v>8325212.25</c:v>
                </c:pt>
                <c:pt idx="327">
                  <c:v>8357510.8099999996</c:v>
                </c:pt>
                <c:pt idx="328">
                  <c:v>8389906</c:v>
                </c:pt>
                <c:pt idx="329">
                  <c:v>8422397.8099999987</c:v>
                </c:pt>
                <c:pt idx="330">
                  <c:v>8454986.25</c:v>
                </c:pt>
                <c:pt idx="331">
                  <c:v>8487671.3099999987</c:v>
                </c:pt>
                <c:pt idx="332">
                  <c:v>8520453</c:v>
                </c:pt>
                <c:pt idx="333">
                  <c:v>8553331.3099999987</c:v>
                </c:pt>
                <c:pt idx="334">
                  <c:v>8586306.25</c:v>
                </c:pt>
                <c:pt idx="335">
                  <c:v>8619377.8099999987</c:v>
                </c:pt>
                <c:pt idx="336">
                  <c:v>8652546</c:v>
                </c:pt>
                <c:pt idx="337">
                  <c:v>8685810.8099999987</c:v>
                </c:pt>
                <c:pt idx="338">
                  <c:v>8719172.25</c:v>
                </c:pt>
                <c:pt idx="339">
                  <c:v>8752630.3099999987</c:v>
                </c:pt>
                <c:pt idx="340">
                  <c:v>8786185</c:v>
                </c:pt>
                <c:pt idx="341">
                  <c:v>8819842.8399999999</c:v>
                </c:pt>
                <c:pt idx="342">
                  <c:v>8853610.370000001</c:v>
                </c:pt>
                <c:pt idx="343">
                  <c:v>8887487.5899999999</c:v>
                </c:pt>
                <c:pt idx="344">
                  <c:v>8921474.5</c:v>
                </c:pt>
                <c:pt idx="345">
                  <c:v>8955571.0899999999</c:v>
                </c:pt>
                <c:pt idx="346">
                  <c:v>8989777.370000001</c:v>
                </c:pt>
                <c:pt idx="347">
                  <c:v>9024093.3399999999</c:v>
                </c:pt>
                <c:pt idx="348">
                  <c:v>9058519</c:v>
                </c:pt>
                <c:pt idx="349">
                  <c:v>9093054.3399999999</c:v>
                </c:pt>
                <c:pt idx="350">
                  <c:v>9127699.370000001</c:v>
                </c:pt>
                <c:pt idx="351">
                  <c:v>9162454.0899999999</c:v>
                </c:pt>
                <c:pt idx="352">
                  <c:v>9197318.5</c:v>
                </c:pt>
                <c:pt idx="353">
                  <c:v>9232292.5899999999</c:v>
                </c:pt>
                <c:pt idx="354">
                  <c:v>9267376.370000001</c:v>
                </c:pt>
                <c:pt idx="355">
                  <c:v>9302569.8399999999</c:v>
                </c:pt>
                <c:pt idx="356">
                  <c:v>9337873</c:v>
                </c:pt>
                <c:pt idx="357">
                  <c:v>9373285.8399999999</c:v>
                </c:pt>
                <c:pt idx="358">
                  <c:v>9408808.370000001</c:v>
                </c:pt>
                <c:pt idx="359">
                  <c:v>9444440.5899999999</c:v>
                </c:pt>
                <c:pt idx="360">
                  <c:v>9480182.5</c:v>
                </c:pt>
                <c:pt idx="361">
                  <c:v>9516034.0899999999</c:v>
                </c:pt>
                <c:pt idx="362">
                  <c:v>9551995.370000001</c:v>
                </c:pt>
                <c:pt idx="363">
                  <c:v>9588066.3399999999</c:v>
                </c:pt>
                <c:pt idx="364">
                  <c:v>9624247</c:v>
                </c:pt>
                <c:pt idx="365">
                  <c:v>9660537.3399999999</c:v>
                </c:pt>
                <c:pt idx="366">
                  <c:v>9696937.370000001</c:v>
                </c:pt>
                <c:pt idx="367">
                  <c:v>9733447.0899999999</c:v>
                </c:pt>
                <c:pt idx="368">
                  <c:v>9770066.5</c:v>
                </c:pt>
                <c:pt idx="369">
                  <c:v>9806795.5899999999</c:v>
                </c:pt>
                <c:pt idx="370">
                  <c:v>9843634.370000001</c:v>
                </c:pt>
                <c:pt idx="371">
                  <c:v>9880582.8399999999</c:v>
                </c:pt>
                <c:pt idx="372">
                  <c:v>9917641</c:v>
                </c:pt>
                <c:pt idx="373">
                  <c:v>9954808.8399999999</c:v>
                </c:pt>
                <c:pt idx="374">
                  <c:v>9992086.370000001</c:v>
                </c:pt>
                <c:pt idx="375">
                  <c:v>10029473.590020001</c:v>
                </c:pt>
                <c:pt idx="376">
                  <c:v>10066970.499979999</c:v>
                </c:pt>
                <c:pt idx="377">
                  <c:v>10104577.09003</c:v>
                </c:pt>
                <c:pt idx="378">
                  <c:v>10142293.36998</c:v>
                </c:pt>
                <c:pt idx="379">
                  <c:v>10180119.34</c:v>
                </c:pt>
                <c:pt idx="380">
                  <c:v>10218054.999990001</c:v>
                </c:pt>
                <c:pt idx="381">
                  <c:v>10256106.039960001</c:v>
                </c:pt>
                <c:pt idx="382">
                  <c:v>10294278.149970001</c:v>
                </c:pt>
                <c:pt idx="383">
                  <c:v>10332571.34</c:v>
                </c:pt>
                <c:pt idx="384">
                  <c:v>10370985.599989999</c:v>
                </c:pt>
                <c:pt idx="385">
                  <c:v>10409520.939990001</c:v>
                </c:pt>
                <c:pt idx="386">
                  <c:v>10448177.349959999</c:v>
                </c:pt>
                <c:pt idx="387">
                  <c:v>10486954.84003</c:v>
                </c:pt>
                <c:pt idx="388">
                  <c:v>10525853.399970001</c:v>
                </c:pt>
                <c:pt idx="389">
                  <c:v>10564873.04001</c:v>
                </c:pt>
                <c:pt idx="390">
                  <c:v>10604013.750019999</c:v>
                </c:pt>
                <c:pt idx="391">
                  <c:v>10643275.540039999</c:v>
                </c:pt>
                <c:pt idx="392">
                  <c:v>10682658.40002</c:v>
                </c:pt>
                <c:pt idx="393">
                  <c:v>10722162.340019999</c:v>
                </c:pt>
                <c:pt idx="394">
                  <c:v>10761787.34998</c:v>
                </c:pt>
                <c:pt idx="395">
                  <c:v>10801533.439959999</c:v>
                </c:pt>
                <c:pt idx="396">
                  <c:v>10841400.59998</c:v>
                </c:pt>
                <c:pt idx="397">
                  <c:v>10881388.840019999</c:v>
                </c:pt>
                <c:pt idx="398">
                  <c:v>10921498.15002</c:v>
                </c:pt>
                <c:pt idx="399">
                  <c:v>10961728.540030001</c:v>
                </c:pt>
                <c:pt idx="400">
                  <c:v>11002080.000010001</c:v>
                </c:pt>
                <c:pt idx="401">
                  <c:v>11042552.539999999</c:v>
                </c:pt>
                <c:pt idx="402">
                  <c:v>11083146.15003</c:v>
                </c:pt>
                <c:pt idx="403">
                  <c:v>11123860.84001</c:v>
                </c:pt>
                <c:pt idx="404">
                  <c:v>11164696.600020001</c:v>
                </c:pt>
                <c:pt idx="405">
                  <c:v>11205653.43997</c:v>
                </c:pt>
                <c:pt idx="406">
                  <c:v>11246731.349959999</c:v>
                </c:pt>
                <c:pt idx="407">
                  <c:v>11287930.33997</c:v>
                </c:pt>
                <c:pt idx="408">
                  <c:v>11329250.40002</c:v>
                </c:pt>
                <c:pt idx="409">
                  <c:v>11370691.54001</c:v>
                </c:pt>
                <c:pt idx="410">
                  <c:v>11412253.75004</c:v>
                </c:pt>
                <c:pt idx="411">
                  <c:v>11453937.039999999</c:v>
                </c:pt>
                <c:pt idx="412">
                  <c:v>11495741.400010001</c:v>
                </c:pt>
                <c:pt idx="413">
                  <c:v>11537666.84003</c:v>
                </c:pt>
                <c:pt idx="414">
                  <c:v>11579713.350020001</c:v>
                </c:pt>
                <c:pt idx="415">
                  <c:v>11621880.940020001</c:v>
                </c:pt>
                <c:pt idx="416">
                  <c:v>11664169.59998</c:v>
                </c:pt>
                <c:pt idx="417">
                  <c:v>11706579.33996</c:v>
                </c:pt>
                <c:pt idx="418">
                  <c:v>11749110.14999</c:v>
                </c:pt>
                <c:pt idx="419">
                  <c:v>11791762.04002</c:v>
                </c:pt>
                <c:pt idx="420">
                  <c:v>11834535.00003</c:v>
                </c:pt>
                <c:pt idx="421">
                  <c:v>11877429.250019999</c:v>
                </c:pt>
                <c:pt idx="422">
                  <c:v>11920445</c:v>
                </c:pt>
                <c:pt idx="423">
                  <c:v>11963582.25</c:v>
                </c:pt>
                <c:pt idx="424">
                  <c:v>12006841</c:v>
                </c:pt>
                <c:pt idx="425">
                  <c:v>12050221.25</c:v>
                </c:pt>
                <c:pt idx="426">
                  <c:v>12093723</c:v>
                </c:pt>
                <c:pt idx="427">
                  <c:v>12137346.25</c:v>
                </c:pt>
                <c:pt idx="428">
                  <c:v>12181091</c:v>
                </c:pt>
                <c:pt idx="429">
                  <c:v>12224957.25</c:v>
                </c:pt>
                <c:pt idx="430">
                  <c:v>12268945</c:v>
                </c:pt>
                <c:pt idx="431">
                  <c:v>12313054.25</c:v>
                </c:pt>
                <c:pt idx="432">
                  <c:v>12357285</c:v>
                </c:pt>
                <c:pt idx="433">
                  <c:v>12401637.25</c:v>
                </c:pt>
                <c:pt idx="434">
                  <c:v>12446111</c:v>
                </c:pt>
                <c:pt idx="435">
                  <c:v>12490706.25</c:v>
                </c:pt>
                <c:pt idx="436">
                  <c:v>12535423</c:v>
                </c:pt>
                <c:pt idx="437">
                  <c:v>12580261.25</c:v>
                </c:pt>
                <c:pt idx="438">
                  <c:v>12625221</c:v>
                </c:pt>
                <c:pt idx="439">
                  <c:v>12670302.25</c:v>
                </c:pt>
                <c:pt idx="440">
                  <c:v>12715505</c:v>
                </c:pt>
                <c:pt idx="441">
                  <c:v>12760829.25</c:v>
                </c:pt>
                <c:pt idx="442">
                  <c:v>12806275</c:v>
                </c:pt>
                <c:pt idx="443">
                  <c:v>12851842.25</c:v>
                </c:pt>
                <c:pt idx="444">
                  <c:v>12897531</c:v>
                </c:pt>
                <c:pt idx="445">
                  <c:v>12943341.25</c:v>
                </c:pt>
                <c:pt idx="446">
                  <c:v>12989273</c:v>
                </c:pt>
                <c:pt idx="447">
                  <c:v>13035326.25</c:v>
                </c:pt>
                <c:pt idx="448">
                  <c:v>13081501</c:v>
                </c:pt>
                <c:pt idx="449">
                  <c:v>13127797.25</c:v>
                </c:pt>
                <c:pt idx="450">
                  <c:v>13174215</c:v>
                </c:pt>
                <c:pt idx="451">
                  <c:v>13220754.25</c:v>
                </c:pt>
                <c:pt idx="452">
                  <c:v>13267415</c:v>
                </c:pt>
                <c:pt idx="453">
                  <c:v>13314197.25</c:v>
                </c:pt>
                <c:pt idx="454">
                  <c:v>13361101</c:v>
                </c:pt>
                <c:pt idx="455">
                  <c:v>13408126.25</c:v>
                </c:pt>
                <c:pt idx="456">
                  <c:v>13455273</c:v>
                </c:pt>
                <c:pt idx="457">
                  <c:v>13502541.25</c:v>
                </c:pt>
                <c:pt idx="458">
                  <c:v>13549931</c:v>
                </c:pt>
                <c:pt idx="459">
                  <c:v>13597442.25</c:v>
                </c:pt>
                <c:pt idx="460">
                  <c:v>13645075</c:v>
                </c:pt>
                <c:pt idx="461">
                  <c:v>13692834.390000001</c:v>
                </c:pt>
                <c:pt idx="462">
                  <c:v>13740725.550000001</c:v>
                </c:pt>
                <c:pt idx="463">
                  <c:v>13788748.49</c:v>
                </c:pt>
                <c:pt idx="464">
                  <c:v>13836903.199999999</c:v>
                </c:pt>
                <c:pt idx="465">
                  <c:v>13885189.689999999</c:v>
                </c:pt>
                <c:pt idx="466">
                  <c:v>13933607.949999999</c:v>
                </c:pt>
                <c:pt idx="467">
                  <c:v>13982157.99</c:v>
                </c:pt>
                <c:pt idx="468">
                  <c:v>14030839.800000001</c:v>
                </c:pt>
                <c:pt idx="469">
                  <c:v>14079653.390000001</c:v>
                </c:pt>
                <c:pt idx="470">
                  <c:v>14128598.75</c:v>
                </c:pt>
                <c:pt idx="471">
                  <c:v>14177675.890000001</c:v>
                </c:pt>
                <c:pt idx="472">
                  <c:v>14226884.800000001</c:v>
                </c:pt>
                <c:pt idx="473">
                  <c:v>14276225.49</c:v>
                </c:pt>
                <c:pt idx="474">
                  <c:v>14325697.949999999</c:v>
                </c:pt>
                <c:pt idx="475">
                  <c:v>14375302.189999999</c:v>
                </c:pt>
                <c:pt idx="476">
                  <c:v>14425038.199999999</c:v>
                </c:pt>
                <c:pt idx="477">
                  <c:v>14474905.99</c:v>
                </c:pt>
                <c:pt idx="478">
                  <c:v>14524905.550000001</c:v>
                </c:pt>
                <c:pt idx="479">
                  <c:v>14575036.890000001</c:v>
                </c:pt>
                <c:pt idx="480">
                  <c:v>14625300</c:v>
                </c:pt>
                <c:pt idx="481">
                  <c:v>14675694.890000001</c:v>
                </c:pt>
                <c:pt idx="482">
                  <c:v>14726221.550000001</c:v>
                </c:pt>
                <c:pt idx="483">
                  <c:v>14776879.99</c:v>
                </c:pt>
                <c:pt idx="484">
                  <c:v>14827670.199999999</c:v>
                </c:pt>
                <c:pt idx="485">
                  <c:v>14878592.189999999</c:v>
                </c:pt>
                <c:pt idx="486">
                  <c:v>14929645.949999999</c:v>
                </c:pt>
                <c:pt idx="487">
                  <c:v>14980831.49</c:v>
                </c:pt>
                <c:pt idx="488">
                  <c:v>15032148.800000001</c:v>
                </c:pt>
                <c:pt idx="489">
                  <c:v>15083597.890000001</c:v>
                </c:pt>
                <c:pt idx="490">
                  <c:v>15135178.75</c:v>
                </c:pt>
                <c:pt idx="491">
                  <c:v>15186891.390000001</c:v>
                </c:pt>
                <c:pt idx="492">
                  <c:v>15238735.800000001</c:v>
                </c:pt>
                <c:pt idx="493">
                  <c:v>15290711.99</c:v>
                </c:pt>
                <c:pt idx="494">
                  <c:v>15342819.949999999</c:v>
                </c:pt>
                <c:pt idx="495">
                  <c:v>15395059.689999999</c:v>
                </c:pt>
                <c:pt idx="496">
                  <c:v>15447431.199999999</c:v>
                </c:pt>
                <c:pt idx="497">
                  <c:v>15499934.49</c:v>
                </c:pt>
                <c:pt idx="498">
                  <c:v>15552569.550000001</c:v>
                </c:pt>
                <c:pt idx="499">
                  <c:v>15605336.390000001</c:v>
                </c:pt>
                <c:pt idx="500">
                  <c:v>15658235</c:v>
                </c:pt>
                <c:pt idx="501">
                  <c:v>15711275.279999999</c:v>
                </c:pt>
                <c:pt idx="502">
                  <c:v>15764467.119999999</c:v>
                </c:pt>
                <c:pt idx="503">
                  <c:v>15817810.529999999</c:v>
                </c:pt>
                <c:pt idx="504">
                  <c:v>15871305.5</c:v>
                </c:pt>
                <c:pt idx="505">
                  <c:v>15924952.029999999</c:v>
                </c:pt>
                <c:pt idx="506">
                  <c:v>15978750.119999999</c:v>
                </c:pt>
                <c:pt idx="507">
                  <c:v>16032699.779999999</c:v>
                </c:pt>
                <c:pt idx="508">
                  <c:v>16086801</c:v>
                </c:pt>
                <c:pt idx="509">
                  <c:v>16141053.779999999</c:v>
                </c:pt>
                <c:pt idx="510">
                  <c:v>16195458.119999999</c:v>
                </c:pt>
                <c:pt idx="511">
                  <c:v>16250014.029999999</c:v>
                </c:pt>
                <c:pt idx="512">
                  <c:v>16304721.5</c:v>
                </c:pt>
                <c:pt idx="513">
                  <c:v>16359580.529999999</c:v>
                </c:pt>
                <c:pt idx="514">
                  <c:v>16414591.119999999</c:v>
                </c:pt>
                <c:pt idx="515">
                  <c:v>16469753.279999999</c:v>
                </c:pt>
                <c:pt idx="516">
                  <c:v>16525067</c:v>
                </c:pt>
                <c:pt idx="517">
                  <c:v>16580532.279999999</c:v>
                </c:pt>
                <c:pt idx="518">
                  <c:v>16636149.119999999</c:v>
                </c:pt>
                <c:pt idx="519">
                  <c:v>16691917.529999999</c:v>
                </c:pt>
                <c:pt idx="520">
                  <c:v>16747837.5</c:v>
                </c:pt>
                <c:pt idx="521">
                  <c:v>16803909.030000001</c:v>
                </c:pt>
                <c:pt idx="522">
                  <c:v>16860132.119999997</c:v>
                </c:pt>
                <c:pt idx="523">
                  <c:v>16916506.780000001</c:v>
                </c:pt>
                <c:pt idx="524">
                  <c:v>16973033</c:v>
                </c:pt>
                <c:pt idx="525">
                  <c:v>17029710.780000001</c:v>
                </c:pt>
                <c:pt idx="526">
                  <c:v>17086540.119999997</c:v>
                </c:pt>
                <c:pt idx="527">
                  <c:v>17143521.030000001</c:v>
                </c:pt>
                <c:pt idx="528">
                  <c:v>17200653.5</c:v>
                </c:pt>
                <c:pt idx="529">
                  <c:v>17257937.530000001</c:v>
                </c:pt>
                <c:pt idx="530">
                  <c:v>17315373.119999997</c:v>
                </c:pt>
                <c:pt idx="531">
                  <c:v>17372960.280000001</c:v>
                </c:pt>
                <c:pt idx="532">
                  <c:v>17430699</c:v>
                </c:pt>
                <c:pt idx="533">
                  <c:v>17488589.280000001</c:v>
                </c:pt>
                <c:pt idx="534">
                  <c:v>17546631.119999997</c:v>
                </c:pt>
                <c:pt idx="535">
                  <c:v>17604824.530000001</c:v>
                </c:pt>
                <c:pt idx="536">
                  <c:v>17663169.5</c:v>
                </c:pt>
                <c:pt idx="537">
                  <c:v>17721666.030000001</c:v>
                </c:pt>
                <c:pt idx="538">
                  <c:v>17780314.119999997</c:v>
                </c:pt>
                <c:pt idx="539">
                  <c:v>17839113.780000001</c:v>
                </c:pt>
                <c:pt idx="540">
                  <c:v>17898065</c:v>
                </c:pt>
                <c:pt idx="541">
                  <c:v>17957172.280000001</c:v>
                </c:pt>
                <c:pt idx="542">
                  <c:v>18016440.119999997</c:v>
                </c:pt>
                <c:pt idx="543">
                  <c:v>18075868.530000001</c:v>
                </c:pt>
                <c:pt idx="544">
                  <c:v>18135457.5</c:v>
                </c:pt>
                <c:pt idx="545">
                  <c:v>18195207.030000001</c:v>
                </c:pt>
                <c:pt idx="546">
                  <c:v>18255117.119999997</c:v>
                </c:pt>
                <c:pt idx="547">
                  <c:v>18315187.780000001</c:v>
                </c:pt>
                <c:pt idx="548">
                  <c:v>18375419</c:v>
                </c:pt>
                <c:pt idx="549">
                  <c:v>18435810.780000001</c:v>
                </c:pt>
                <c:pt idx="550">
                  <c:v>18496363.119999997</c:v>
                </c:pt>
                <c:pt idx="551">
                  <c:v>18557076.030000001</c:v>
                </c:pt>
                <c:pt idx="552">
                  <c:v>18617949.5</c:v>
                </c:pt>
                <c:pt idx="553">
                  <c:v>18678983.530000001</c:v>
                </c:pt>
                <c:pt idx="554">
                  <c:v>18740178.120000001</c:v>
                </c:pt>
                <c:pt idx="555">
                  <c:v>18801533.280000001</c:v>
                </c:pt>
                <c:pt idx="556">
                  <c:v>18863049</c:v>
                </c:pt>
                <c:pt idx="557">
                  <c:v>18924725.280000001</c:v>
                </c:pt>
                <c:pt idx="558">
                  <c:v>18986562.120000001</c:v>
                </c:pt>
                <c:pt idx="559">
                  <c:v>19048559.530000001</c:v>
                </c:pt>
                <c:pt idx="560">
                  <c:v>19110717.5</c:v>
                </c:pt>
                <c:pt idx="561">
                  <c:v>19173036.030000001</c:v>
                </c:pt>
                <c:pt idx="562">
                  <c:v>19235515.120000001</c:v>
                </c:pt>
                <c:pt idx="563">
                  <c:v>19298154.780000001</c:v>
                </c:pt>
                <c:pt idx="564">
                  <c:v>19360955</c:v>
                </c:pt>
                <c:pt idx="565">
                  <c:v>19423915.780000001</c:v>
                </c:pt>
                <c:pt idx="566">
                  <c:v>19487037.120000001</c:v>
                </c:pt>
                <c:pt idx="567">
                  <c:v>19550319.030000001</c:v>
                </c:pt>
                <c:pt idx="568">
                  <c:v>19613761.5</c:v>
                </c:pt>
                <c:pt idx="569">
                  <c:v>19677364.530000001</c:v>
                </c:pt>
                <c:pt idx="570">
                  <c:v>19741128.120000001</c:v>
                </c:pt>
                <c:pt idx="571">
                  <c:v>19805052.280000001</c:v>
                </c:pt>
                <c:pt idx="572">
                  <c:v>19869137</c:v>
                </c:pt>
                <c:pt idx="573">
                  <c:v>19933382.280000001</c:v>
                </c:pt>
                <c:pt idx="574">
                  <c:v>19997788.120000001</c:v>
                </c:pt>
                <c:pt idx="575">
                  <c:v>20062354.530000001</c:v>
                </c:pt>
                <c:pt idx="576">
                  <c:v>20127081.5</c:v>
                </c:pt>
                <c:pt idx="577">
                  <c:v>20191969.030000001</c:v>
                </c:pt>
                <c:pt idx="578">
                  <c:v>20257017.120000001</c:v>
                </c:pt>
                <c:pt idx="579">
                  <c:v>20322225.780000001</c:v>
                </c:pt>
                <c:pt idx="580">
                  <c:v>20387595</c:v>
                </c:pt>
                <c:pt idx="581">
                  <c:v>20453136.670000002</c:v>
                </c:pt>
                <c:pt idx="582">
                  <c:v>20518862.699999999</c:v>
                </c:pt>
                <c:pt idx="583">
                  <c:v>20584773.07</c:v>
                </c:pt>
                <c:pt idx="584">
                  <c:v>20650867.800000001</c:v>
                </c:pt>
                <c:pt idx="585">
                  <c:v>20717146.870000001</c:v>
                </c:pt>
                <c:pt idx="586">
                  <c:v>20783610.300000001</c:v>
                </c:pt>
                <c:pt idx="587">
                  <c:v>20850258.07</c:v>
                </c:pt>
                <c:pt idx="588">
                  <c:v>20917090.199999999</c:v>
                </c:pt>
                <c:pt idx="589">
                  <c:v>20984106.670000002</c:v>
                </c:pt>
                <c:pt idx="590">
                  <c:v>21051307.5</c:v>
                </c:pt>
                <c:pt idx="591">
                  <c:v>21118692.670000002</c:v>
                </c:pt>
                <c:pt idx="592">
                  <c:v>21186262.199999999</c:v>
                </c:pt>
                <c:pt idx="593">
                  <c:v>21254016.07</c:v>
                </c:pt>
                <c:pt idx="594">
                  <c:v>21321954.300000001</c:v>
                </c:pt>
                <c:pt idx="595">
                  <c:v>21390076.870000001</c:v>
                </c:pt>
                <c:pt idx="596">
                  <c:v>21458383.800000001</c:v>
                </c:pt>
                <c:pt idx="597">
                  <c:v>21526875.07</c:v>
                </c:pt>
                <c:pt idx="598">
                  <c:v>21595550.699999999</c:v>
                </c:pt>
                <c:pt idx="599">
                  <c:v>21664410.670000002</c:v>
                </c:pt>
                <c:pt idx="600">
                  <c:v>21733455</c:v>
                </c:pt>
                <c:pt idx="601">
                  <c:v>21802683.670000002</c:v>
                </c:pt>
                <c:pt idx="602">
                  <c:v>21872096.699999999</c:v>
                </c:pt>
                <c:pt idx="603">
                  <c:v>21941694.07</c:v>
                </c:pt>
                <c:pt idx="604">
                  <c:v>22011475.800000001</c:v>
                </c:pt>
                <c:pt idx="605">
                  <c:v>22081441.870000001</c:v>
                </c:pt>
                <c:pt idx="606">
                  <c:v>22151592.300000001</c:v>
                </c:pt>
                <c:pt idx="607">
                  <c:v>22221927.07</c:v>
                </c:pt>
                <c:pt idx="608">
                  <c:v>22292446.199999999</c:v>
                </c:pt>
                <c:pt idx="609">
                  <c:v>22363149.670000002</c:v>
                </c:pt>
                <c:pt idx="610">
                  <c:v>22434037.5</c:v>
                </c:pt>
                <c:pt idx="611">
                  <c:v>22505109.670000002</c:v>
                </c:pt>
                <c:pt idx="612">
                  <c:v>22576366.199999999</c:v>
                </c:pt>
                <c:pt idx="613">
                  <c:v>22647807.07</c:v>
                </c:pt>
                <c:pt idx="614">
                  <c:v>22719432.300000001</c:v>
                </c:pt>
                <c:pt idx="615">
                  <c:v>22791241.870000001</c:v>
                </c:pt>
                <c:pt idx="616">
                  <c:v>22863235.800000001</c:v>
                </c:pt>
                <c:pt idx="617">
                  <c:v>22935414.07</c:v>
                </c:pt>
                <c:pt idx="618">
                  <c:v>23007776.699999999</c:v>
                </c:pt>
                <c:pt idx="619">
                  <c:v>23080323.670000002</c:v>
                </c:pt>
                <c:pt idx="620">
                  <c:v>23153055</c:v>
                </c:pt>
                <c:pt idx="621">
                  <c:v>23225973.109999999</c:v>
                </c:pt>
                <c:pt idx="622">
                  <c:v>23299080.420000002</c:v>
                </c:pt>
                <c:pt idx="623">
                  <c:v>23372376.960000001</c:v>
                </c:pt>
                <c:pt idx="624">
                  <c:v>23445862.699999999</c:v>
                </c:pt>
                <c:pt idx="625">
                  <c:v>23519537.66</c:v>
                </c:pt>
                <c:pt idx="626">
                  <c:v>23593401.82</c:v>
                </c:pt>
                <c:pt idx="627">
                  <c:v>23667455.210000001</c:v>
                </c:pt>
                <c:pt idx="628">
                  <c:v>23741697.800000001</c:v>
                </c:pt>
                <c:pt idx="629">
                  <c:v>23816129.609999999</c:v>
                </c:pt>
                <c:pt idx="630">
                  <c:v>23890750.620000001</c:v>
                </c:pt>
                <c:pt idx="631">
                  <c:v>23965560.859999999</c:v>
                </c:pt>
                <c:pt idx="632">
                  <c:v>24040560.300000001</c:v>
                </c:pt>
                <c:pt idx="633">
                  <c:v>24115748.960000001</c:v>
                </c:pt>
                <c:pt idx="634">
                  <c:v>24191126.82</c:v>
                </c:pt>
                <c:pt idx="635">
                  <c:v>24266693.91</c:v>
                </c:pt>
                <c:pt idx="636">
                  <c:v>24342450.199999999</c:v>
                </c:pt>
                <c:pt idx="637">
                  <c:v>24418395.710000001</c:v>
                </c:pt>
                <c:pt idx="638">
                  <c:v>24494530.420000002</c:v>
                </c:pt>
                <c:pt idx="639">
                  <c:v>24570854.359999999</c:v>
                </c:pt>
                <c:pt idx="640">
                  <c:v>24647367.5</c:v>
                </c:pt>
                <c:pt idx="641">
                  <c:v>24724069.859999999</c:v>
                </c:pt>
                <c:pt idx="642">
                  <c:v>24800961.420000002</c:v>
                </c:pt>
                <c:pt idx="643">
                  <c:v>24878042.210000001</c:v>
                </c:pt>
                <c:pt idx="644">
                  <c:v>24955312.199999999</c:v>
                </c:pt>
                <c:pt idx="645">
                  <c:v>25032771.41</c:v>
                </c:pt>
                <c:pt idx="646">
                  <c:v>25110419.82</c:v>
                </c:pt>
                <c:pt idx="647">
                  <c:v>25188257.460000001</c:v>
                </c:pt>
                <c:pt idx="648">
                  <c:v>25266284.300000001</c:v>
                </c:pt>
                <c:pt idx="649">
                  <c:v>25344500.359999999</c:v>
                </c:pt>
                <c:pt idx="650">
                  <c:v>25422905.620000001</c:v>
                </c:pt>
                <c:pt idx="651">
                  <c:v>25501500.109999999</c:v>
                </c:pt>
                <c:pt idx="652">
                  <c:v>25580283.800000001</c:v>
                </c:pt>
                <c:pt idx="653">
                  <c:v>25659256.710000001</c:v>
                </c:pt>
                <c:pt idx="654">
                  <c:v>25738418.82</c:v>
                </c:pt>
                <c:pt idx="655">
                  <c:v>25817770.16</c:v>
                </c:pt>
                <c:pt idx="656">
                  <c:v>25897310.699999999</c:v>
                </c:pt>
                <c:pt idx="657">
                  <c:v>25977040.460000001</c:v>
                </c:pt>
                <c:pt idx="658">
                  <c:v>26056959.420000002</c:v>
                </c:pt>
                <c:pt idx="659">
                  <c:v>26137067.609999999</c:v>
                </c:pt>
                <c:pt idx="660">
                  <c:v>26217365</c:v>
                </c:pt>
                <c:pt idx="661">
                  <c:v>26297858.780000001</c:v>
                </c:pt>
                <c:pt idx="662">
                  <c:v>26378556.120000001</c:v>
                </c:pt>
                <c:pt idx="663">
                  <c:v>26459457.030000001</c:v>
                </c:pt>
                <c:pt idx="664">
                  <c:v>26540561.5</c:v>
                </c:pt>
                <c:pt idx="665">
                  <c:v>26621869.530000001</c:v>
                </c:pt>
                <c:pt idx="666">
                  <c:v>26703381.120000001</c:v>
                </c:pt>
                <c:pt idx="667">
                  <c:v>26785096.280000001</c:v>
                </c:pt>
                <c:pt idx="668">
                  <c:v>26867015</c:v>
                </c:pt>
                <c:pt idx="669">
                  <c:v>26949137.280000001</c:v>
                </c:pt>
                <c:pt idx="670">
                  <c:v>27031463.120000001</c:v>
                </c:pt>
                <c:pt idx="671">
                  <c:v>27113992.530000001</c:v>
                </c:pt>
                <c:pt idx="672">
                  <c:v>27196725.5</c:v>
                </c:pt>
                <c:pt idx="673">
                  <c:v>27279662.030000001</c:v>
                </c:pt>
                <c:pt idx="674">
                  <c:v>27362802.120000001</c:v>
                </c:pt>
                <c:pt idx="675">
                  <c:v>27446145.780000001</c:v>
                </c:pt>
                <c:pt idx="676">
                  <c:v>27529693</c:v>
                </c:pt>
                <c:pt idx="677">
                  <c:v>27613443.780000001</c:v>
                </c:pt>
                <c:pt idx="678">
                  <c:v>27697398.120000001</c:v>
                </c:pt>
                <c:pt idx="679">
                  <c:v>27781556.030000001</c:v>
                </c:pt>
                <c:pt idx="680">
                  <c:v>27865917.5</c:v>
                </c:pt>
                <c:pt idx="681">
                  <c:v>27950482.530000001</c:v>
                </c:pt>
                <c:pt idx="682">
                  <c:v>28035251.120000001</c:v>
                </c:pt>
                <c:pt idx="683">
                  <c:v>28120223.280000001</c:v>
                </c:pt>
              </c:numCache>
            </c:numRef>
          </c:xVal>
          <c:yVal>
            <c:numRef>
              <c:f>'Powell-Elevation-Area'!$D$5:$D$688</c:f>
              <c:numCache>
                <c:formatCode>_(* #,##0_);_(* \(#,##0\);_(* "-"??_);_(@_)</c:formatCode>
                <c:ptCount val="684"/>
                <c:pt idx="0">
                  <c:v>20303</c:v>
                </c:pt>
                <c:pt idx="1">
                  <c:v>20392.95</c:v>
                </c:pt>
                <c:pt idx="2">
                  <c:v>20482.900000000001</c:v>
                </c:pt>
                <c:pt idx="3">
                  <c:v>20572.849999999999</c:v>
                </c:pt>
                <c:pt idx="4">
                  <c:v>20662.8</c:v>
                </c:pt>
                <c:pt idx="5">
                  <c:v>20752.75</c:v>
                </c:pt>
                <c:pt idx="6">
                  <c:v>20842.7</c:v>
                </c:pt>
                <c:pt idx="7">
                  <c:v>20932.650000000001</c:v>
                </c:pt>
                <c:pt idx="8">
                  <c:v>21022.6</c:v>
                </c:pt>
                <c:pt idx="9">
                  <c:v>21112.55</c:v>
                </c:pt>
                <c:pt idx="10">
                  <c:v>21202.5</c:v>
                </c:pt>
                <c:pt idx="11">
                  <c:v>21292.45</c:v>
                </c:pt>
                <c:pt idx="12">
                  <c:v>21382.400000000001</c:v>
                </c:pt>
                <c:pt idx="13">
                  <c:v>21472.35</c:v>
                </c:pt>
                <c:pt idx="14">
                  <c:v>21562.3</c:v>
                </c:pt>
                <c:pt idx="15">
                  <c:v>21652.25</c:v>
                </c:pt>
                <c:pt idx="16">
                  <c:v>21742.2</c:v>
                </c:pt>
                <c:pt idx="17">
                  <c:v>21832.15</c:v>
                </c:pt>
                <c:pt idx="18">
                  <c:v>21922.1</c:v>
                </c:pt>
                <c:pt idx="19">
                  <c:v>22012.05</c:v>
                </c:pt>
                <c:pt idx="20">
                  <c:v>22102</c:v>
                </c:pt>
                <c:pt idx="21">
                  <c:v>22201</c:v>
                </c:pt>
                <c:pt idx="22">
                  <c:v>22300</c:v>
                </c:pt>
                <c:pt idx="23">
                  <c:v>22399</c:v>
                </c:pt>
                <c:pt idx="24">
                  <c:v>22498</c:v>
                </c:pt>
                <c:pt idx="25">
                  <c:v>22597</c:v>
                </c:pt>
                <c:pt idx="26">
                  <c:v>22696</c:v>
                </c:pt>
                <c:pt idx="27">
                  <c:v>22795</c:v>
                </c:pt>
                <c:pt idx="28">
                  <c:v>22894</c:v>
                </c:pt>
                <c:pt idx="29">
                  <c:v>22993</c:v>
                </c:pt>
                <c:pt idx="30">
                  <c:v>23092</c:v>
                </c:pt>
                <c:pt idx="31">
                  <c:v>23191</c:v>
                </c:pt>
                <c:pt idx="32">
                  <c:v>23290</c:v>
                </c:pt>
                <c:pt idx="33">
                  <c:v>23389</c:v>
                </c:pt>
                <c:pt idx="34">
                  <c:v>23488</c:v>
                </c:pt>
                <c:pt idx="35">
                  <c:v>23587</c:v>
                </c:pt>
                <c:pt idx="36">
                  <c:v>23686</c:v>
                </c:pt>
                <c:pt idx="37">
                  <c:v>23785</c:v>
                </c:pt>
                <c:pt idx="38">
                  <c:v>23884</c:v>
                </c:pt>
                <c:pt idx="39">
                  <c:v>23983</c:v>
                </c:pt>
                <c:pt idx="40">
                  <c:v>24082</c:v>
                </c:pt>
                <c:pt idx="41">
                  <c:v>24181</c:v>
                </c:pt>
                <c:pt idx="42">
                  <c:v>24280</c:v>
                </c:pt>
                <c:pt idx="43">
                  <c:v>24379</c:v>
                </c:pt>
                <c:pt idx="44">
                  <c:v>24478</c:v>
                </c:pt>
                <c:pt idx="45">
                  <c:v>24577</c:v>
                </c:pt>
                <c:pt idx="46">
                  <c:v>24676</c:v>
                </c:pt>
                <c:pt idx="47">
                  <c:v>24775</c:v>
                </c:pt>
                <c:pt idx="48">
                  <c:v>24874.000000100001</c:v>
                </c:pt>
                <c:pt idx="49">
                  <c:v>24973.000000100001</c:v>
                </c:pt>
                <c:pt idx="50">
                  <c:v>25071.999999899999</c:v>
                </c:pt>
                <c:pt idx="51">
                  <c:v>25170.999999899999</c:v>
                </c:pt>
                <c:pt idx="52">
                  <c:v>25270</c:v>
                </c:pt>
                <c:pt idx="53">
                  <c:v>25369</c:v>
                </c:pt>
                <c:pt idx="54">
                  <c:v>25468.000000100001</c:v>
                </c:pt>
                <c:pt idx="55">
                  <c:v>25567.000000100001</c:v>
                </c:pt>
                <c:pt idx="56">
                  <c:v>25665.999999899999</c:v>
                </c:pt>
                <c:pt idx="57">
                  <c:v>25765</c:v>
                </c:pt>
                <c:pt idx="58">
                  <c:v>25864</c:v>
                </c:pt>
                <c:pt idx="59">
                  <c:v>25963.000000100001</c:v>
                </c:pt>
                <c:pt idx="60">
                  <c:v>26062.000000100001</c:v>
                </c:pt>
                <c:pt idx="61">
                  <c:v>26161.5700001</c:v>
                </c:pt>
                <c:pt idx="62">
                  <c:v>26261.15</c:v>
                </c:pt>
                <c:pt idx="63">
                  <c:v>26360.720000000001</c:v>
                </c:pt>
                <c:pt idx="64">
                  <c:v>26460.3000001</c:v>
                </c:pt>
                <c:pt idx="65">
                  <c:v>26559.8700001</c:v>
                </c:pt>
                <c:pt idx="66">
                  <c:v>26659.45</c:v>
                </c:pt>
                <c:pt idx="67">
                  <c:v>26759.02</c:v>
                </c:pt>
                <c:pt idx="68">
                  <c:v>26858.600000099999</c:v>
                </c:pt>
                <c:pt idx="69">
                  <c:v>26958.170000099999</c:v>
                </c:pt>
                <c:pt idx="70">
                  <c:v>27057.75</c:v>
                </c:pt>
                <c:pt idx="71">
                  <c:v>27157.32</c:v>
                </c:pt>
                <c:pt idx="72">
                  <c:v>27256.900000099999</c:v>
                </c:pt>
                <c:pt idx="73">
                  <c:v>27356.470000099998</c:v>
                </c:pt>
                <c:pt idx="74">
                  <c:v>27456.049999899999</c:v>
                </c:pt>
                <c:pt idx="75">
                  <c:v>27555.619999899998</c:v>
                </c:pt>
                <c:pt idx="76">
                  <c:v>27655.200000100001</c:v>
                </c:pt>
                <c:pt idx="77">
                  <c:v>27754.770000100001</c:v>
                </c:pt>
                <c:pt idx="78">
                  <c:v>27854.349999900001</c:v>
                </c:pt>
                <c:pt idx="79">
                  <c:v>27953.919999900001</c:v>
                </c:pt>
                <c:pt idx="80">
                  <c:v>28053.5</c:v>
                </c:pt>
                <c:pt idx="81">
                  <c:v>28153.0700001</c:v>
                </c:pt>
                <c:pt idx="82">
                  <c:v>28252.649999900001</c:v>
                </c:pt>
                <c:pt idx="83">
                  <c:v>28352.2199999</c:v>
                </c:pt>
                <c:pt idx="84">
                  <c:v>28451.8</c:v>
                </c:pt>
                <c:pt idx="85">
                  <c:v>28551.37</c:v>
                </c:pt>
                <c:pt idx="86">
                  <c:v>28650.9499999</c:v>
                </c:pt>
                <c:pt idx="87">
                  <c:v>28750.5199999</c:v>
                </c:pt>
                <c:pt idx="88">
                  <c:v>28850.1</c:v>
                </c:pt>
                <c:pt idx="89">
                  <c:v>28949.67</c:v>
                </c:pt>
                <c:pt idx="90">
                  <c:v>29049.249999899999</c:v>
                </c:pt>
                <c:pt idx="91">
                  <c:v>29148.819999899999</c:v>
                </c:pt>
                <c:pt idx="92">
                  <c:v>29248.400000000001</c:v>
                </c:pt>
                <c:pt idx="93">
                  <c:v>29347.97</c:v>
                </c:pt>
                <c:pt idx="94">
                  <c:v>29447.549999899999</c:v>
                </c:pt>
                <c:pt idx="95">
                  <c:v>29547.119999899998</c:v>
                </c:pt>
                <c:pt idx="96">
                  <c:v>29646.7</c:v>
                </c:pt>
                <c:pt idx="97">
                  <c:v>29746.27</c:v>
                </c:pt>
                <c:pt idx="98">
                  <c:v>29845.849999900001</c:v>
                </c:pt>
                <c:pt idx="99">
                  <c:v>29945.419999900001</c:v>
                </c:pt>
                <c:pt idx="100">
                  <c:v>30045</c:v>
                </c:pt>
                <c:pt idx="101">
                  <c:v>30161.350000099999</c:v>
                </c:pt>
                <c:pt idx="102">
                  <c:v>30277.700000100001</c:v>
                </c:pt>
                <c:pt idx="103">
                  <c:v>30394.049999899999</c:v>
                </c:pt>
                <c:pt idx="104">
                  <c:v>30510.400000000001</c:v>
                </c:pt>
                <c:pt idx="105">
                  <c:v>30626.750000100001</c:v>
                </c:pt>
                <c:pt idx="106">
                  <c:v>30743.099999900001</c:v>
                </c:pt>
                <c:pt idx="107">
                  <c:v>30859.4499999</c:v>
                </c:pt>
                <c:pt idx="108">
                  <c:v>30975.8</c:v>
                </c:pt>
                <c:pt idx="109">
                  <c:v>31092.150000099999</c:v>
                </c:pt>
                <c:pt idx="110">
                  <c:v>31208.499999899999</c:v>
                </c:pt>
                <c:pt idx="111">
                  <c:v>31324.849999900001</c:v>
                </c:pt>
                <c:pt idx="112">
                  <c:v>31441.200000000001</c:v>
                </c:pt>
                <c:pt idx="113">
                  <c:v>31557.5500001</c:v>
                </c:pt>
                <c:pt idx="114">
                  <c:v>31673.899999900001</c:v>
                </c:pt>
                <c:pt idx="115">
                  <c:v>31790.25</c:v>
                </c:pt>
                <c:pt idx="116">
                  <c:v>31906.6</c:v>
                </c:pt>
                <c:pt idx="117">
                  <c:v>32022.950000100001</c:v>
                </c:pt>
                <c:pt idx="118">
                  <c:v>32139.299999899999</c:v>
                </c:pt>
                <c:pt idx="119">
                  <c:v>32255.65</c:v>
                </c:pt>
                <c:pt idx="120">
                  <c:v>32372</c:v>
                </c:pt>
                <c:pt idx="121">
                  <c:v>32488.350000099999</c:v>
                </c:pt>
                <c:pt idx="122">
                  <c:v>32604.6999999</c:v>
                </c:pt>
                <c:pt idx="123">
                  <c:v>32721.05</c:v>
                </c:pt>
                <c:pt idx="124">
                  <c:v>32837.4</c:v>
                </c:pt>
                <c:pt idx="125">
                  <c:v>32953.750000100001</c:v>
                </c:pt>
                <c:pt idx="126">
                  <c:v>33070.099999899998</c:v>
                </c:pt>
                <c:pt idx="127">
                  <c:v>33186.449999999997</c:v>
                </c:pt>
                <c:pt idx="128">
                  <c:v>33302.800000000003</c:v>
                </c:pt>
                <c:pt idx="129">
                  <c:v>33419.150000100002</c:v>
                </c:pt>
                <c:pt idx="130">
                  <c:v>33535.499999899999</c:v>
                </c:pt>
                <c:pt idx="131">
                  <c:v>33651.85</c:v>
                </c:pt>
                <c:pt idx="132">
                  <c:v>33768.199999999997</c:v>
                </c:pt>
                <c:pt idx="133">
                  <c:v>33884.550000099996</c:v>
                </c:pt>
                <c:pt idx="134">
                  <c:v>34000.899999900001</c:v>
                </c:pt>
                <c:pt idx="135">
                  <c:v>34117.25</c:v>
                </c:pt>
                <c:pt idx="136">
                  <c:v>34233.599999999999</c:v>
                </c:pt>
                <c:pt idx="137">
                  <c:v>34349.950000099998</c:v>
                </c:pt>
                <c:pt idx="138">
                  <c:v>34466.299999900002</c:v>
                </c:pt>
                <c:pt idx="139">
                  <c:v>34582.65</c:v>
                </c:pt>
                <c:pt idx="140">
                  <c:v>34699</c:v>
                </c:pt>
                <c:pt idx="141">
                  <c:v>34840.549999900002</c:v>
                </c:pt>
                <c:pt idx="142">
                  <c:v>34982.1</c:v>
                </c:pt>
                <c:pt idx="143">
                  <c:v>35123.650000100002</c:v>
                </c:pt>
                <c:pt idx="144">
                  <c:v>35265.199999900004</c:v>
                </c:pt>
                <c:pt idx="145">
                  <c:v>35406.75</c:v>
                </c:pt>
                <c:pt idx="146">
                  <c:v>35548.299999900002</c:v>
                </c:pt>
                <c:pt idx="147">
                  <c:v>35689.85</c:v>
                </c:pt>
                <c:pt idx="148">
                  <c:v>35831.400000100002</c:v>
                </c:pt>
                <c:pt idx="149">
                  <c:v>35972.949999999997</c:v>
                </c:pt>
                <c:pt idx="150">
                  <c:v>36114.500000100001</c:v>
                </c:pt>
                <c:pt idx="151">
                  <c:v>36256.049999900002</c:v>
                </c:pt>
                <c:pt idx="152">
                  <c:v>36397.599999999999</c:v>
                </c:pt>
                <c:pt idx="153">
                  <c:v>36539.150000100002</c:v>
                </c:pt>
                <c:pt idx="154">
                  <c:v>36680.699999999997</c:v>
                </c:pt>
                <c:pt idx="155">
                  <c:v>36822.250000100001</c:v>
                </c:pt>
                <c:pt idx="156">
                  <c:v>36963.799999900002</c:v>
                </c:pt>
                <c:pt idx="157">
                  <c:v>37105.35</c:v>
                </c:pt>
                <c:pt idx="158">
                  <c:v>37246.899999900001</c:v>
                </c:pt>
                <c:pt idx="159">
                  <c:v>37388.449999999997</c:v>
                </c:pt>
                <c:pt idx="160">
                  <c:v>37530.000000100001</c:v>
                </c:pt>
                <c:pt idx="161">
                  <c:v>37671.549999900002</c:v>
                </c:pt>
                <c:pt idx="162">
                  <c:v>37813.1</c:v>
                </c:pt>
                <c:pt idx="163">
                  <c:v>37954.649999900001</c:v>
                </c:pt>
                <c:pt idx="164">
                  <c:v>38096.199999999997</c:v>
                </c:pt>
                <c:pt idx="165">
                  <c:v>38237.750000100001</c:v>
                </c:pt>
                <c:pt idx="166">
                  <c:v>38379.299999900002</c:v>
                </c:pt>
                <c:pt idx="167">
                  <c:v>38520.85</c:v>
                </c:pt>
                <c:pt idx="168">
                  <c:v>38662.399999900001</c:v>
                </c:pt>
                <c:pt idx="169">
                  <c:v>38803.949999999997</c:v>
                </c:pt>
                <c:pt idx="170">
                  <c:v>38945.500000100001</c:v>
                </c:pt>
                <c:pt idx="171">
                  <c:v>39087.050000000003</c:v>
                </c:pt>
                <c:pt idx="172">
                  <c:v>39228.600000099999</c:v>
                </c:pt>
                <c:pt idx="173">
                  <c:v>39370.149999900001</c:v>
                </c:pt>
                <c:pt idx="174">
                  <c:v>39511.699999999997</c:v>
                </c:pt>
                <c:pt idx="175">
                  <c:v>39653.250000100001</c:v>
                </c:pt>
                <c:pt idx="176">
                  <c:v>39794.800000000003</c:v>
                </c:pt>
                <c:pt idx="177">
                  <c:v>39936.350000099999</c:v>
                </c:pt>
                <c:pt idx="178">
                  <c:v>40077.899999900001</c:v>
                </c:pt>
                <c:pt idx="179">
                  <c:v>40219.449999999997</c:v>
                </c:pt>
                <c:pt idx="180">
                  <c:v>40360.999999899999</c:v>
                </c:pt>
                <c:pt idx="181">
                  <c:v>40508.850000099999</c:v>
                </c:pt>
                <c:pt idx="182">
                  <c:v>40656.700000099998</c:v>
                </c:pt>
                <c:pt idx="183">
                  <c:v>40804.550000099996</c:v>
                </c:pt>
                <c:pt idx="184">
                  <c:v>40952.400000100002</c:v>
                </c:pt>
                <c:pt idx="185">
                  <c:v>41100.250000100001</c:v>
                </c:pt>
                <c:pt idx="186">
                  <c:v>41248.1</c:v>
                </c:pt>
                <c:pt idx="187">
                  <c:v>41395.949999999997</c:v>
                </c:pt>
                <c:pt idx="188">
                  <c:v>41543.800000000003</c:v>
                </c:pt>
                <c:pt idx="189">
                  <c:v>41691.65</c:v>
                </c:pt>
                <c:pt idx="190">
                  <c:v>41839.5</c:v>
                </c:pt>
                <c:pt idx="191">
                  <c:v>41987.35</c:v>
                </c:pt>
                <c:pt idx="192">
                  <c:v>42135.199999999997</c:v>
                </c:pt>
                <c:pt idx="193">
                  <c:v>42283.05</c:v>
                </c:pt>
                <c:pt idx="194">
                  <c:v>42430.899999900001</c:v>
                </c:pt>
                <c:pt idx="195">
                  <c:v>42578.749999899999</c:v>
                </c:pt>
                <c:pt idx="196">
                  <c:v>42726.599999899998</c:v>
                </c:pt>
                <c:pt idx="197">
                  <c:v>42874.449999900004</c:v>
                </c:pt>
                <c:pt idx="198">
                  <c:v>43022.299999900002</c:v>
                </c:pt>
                <c:pt idx="199">
                  <c:v>43170.149999900001</c:v>
                </c:pt>
                <c:pt idx="200">
                  <c:v>43318.000000100001</c:v>
                </c:pt>
                <c:pt idx="201">
                  <c:v>43465.850000099999</c:v>
                </c:pt>
                <c:pt idx="202">
                  <c:v>43613.700000099998</c:v>
                </c:pt>
                <c:pt idx="203">
                  <c:v>43761.550000099996</c:v>
                </c:pt>
                <c:pt idx="204">
                  <c:v>43909.400000100002</c:v>
                </c:pt>
                <c:pt idx="205">
                  <c:v>44057.250000100001</c:v>
                </c:pt>
                <c:pt idx="206">
                  <c:v>44205.1</c:v>
                </c:pt>
                <c:pt idx="207">
                  <c:v>44352.95</c:v>
                </c:pt>
                <c:pt idx="208">
                  <c:v>44500.800000000003</c:v>
                </c:pt>
                <c:pt idx="209">
                  <c:v>44648.65</c:v>
                </c:pt>
                <c:pt idx="210">
                  <c:v>44796.5</c:v>
                </c:pt>
                <c:pt idx="211">
                  <c:v>44944.35</c:v>
                </c:pt>
                <c:pt idx="212">
                  <c:v>45092.2</c:v>
                </c:pt>
                <c:pt idx="213">
                  <c:v>45240.05</c:v>
                </c:pt>
                <c:pt idx="214">
                  <c:v>45387.899999900001</c:v>
                </c:pt>
                <c:pt idx="215">
                  <c:v>45535.749999899999</c:v>
                </c:pt>
                <c:pt idx="216">
                  <c:v>45683.599999899998</c:v>
                </c:pt>
                <c:pt idx="217">
                  <c:v>45831.449999900004</c:v>
                </c:pt>
                <c:pt idx="218">
                  <c:v>45979.299999900002</c:v>
                </c:pt>
                <c:pt idx="219">
                  <c:v>46127.150000100002</c:v>
                </c:pt>
                <c:pt idx="220">
                  <c:v>46275.000000100001</c:v>
                </c:pt>
                <c:pt idx="221">
                  <c:v>46427.769999900003</c:v>
                </c:pt>
                <c:pt idx="222">
                  <c:v>46580.549999900002</c:v>
                </c:pt>
                <c:pt idx="223">
                  <c:v>46733.32</c:v>
                </c:pt>
                <c:pt idx="224">
                  <c:v>46886.099999899998</c:v>
                </c:pt>
                <c:pt idx="225">
                  <c:v>47038.87</c:v>
                </c:pt>
                <c:pt idx="226">
                  <c:v>47191.65</c:v>
                </c:pt>
                <c:pt idx="227">
                  <c:v>47344.42</c:v>
                </c:pt>
                <c:pt idx="228">
                  <c:v>47497.2</c:v>
                </c:pt>
                <c:pt idx="229">
                  <c:v>47649.970000100002</c:v>
                </c:pt>
                <c:pt idx="230">
                  <c:v>47802.75</c:v>
                </c:pt>
                <c:pt idx="231">
                  <c:v>47955.520000099998</c:v>
                </c:pt>
                <c:pt idx="232">
                  <c:v>48108.300000099996</c:v>
                </c:pt>
                <c:pt idx="233">
                  <c:v>48261.069999899999</c:v>
                </c:pt>
                <c:pt idx="234">
                  <c:v>48413.850000099999</c:v>
                </c:pt>
                <c:pt idx="235">
                  <c:v>48566.619999900002</c:v>
                </c:pt>
                <c:pt idx="236">
                  <c:v>48719.399999900001</c:v>
                </c:pt>
                <c:pt idx="237">
                  <c:v>48872.17</c:v>
                </c:pt>
                <c:pt idx="238">
                  <c:v>49024.949999900004</c:v>
                </c:pt>
                <c:pt idx="239">
                  <c:v>49177.72</c:v>
                </c:pt>
                <c:pt idx="240">
                  <c:v>49330.499999899999</c:v>
                </c:pt>
                <c:pt idx="241">
                  <c:v>49483.27</c:v>
                </c:pt>
                <c:pt idx="242">
                  <c:v>49636.05</c:v>
                </c:pt>
                <c:pt idx="243">
                  <c:v>49788.8200001</c:v>
                </c:pt>
                <c:pt idx="244">
                  <c:v>49941.599999999999</c:v>
                </c:pt>
                <c:pt idx="245">
                  <c:v>50094.370000100003</c:v>
                </c:pt>
                <c:pt idx="246">
                  <c:v>50247.150000100002</c:v>
                </c:pt>
                <c:pt idx="247">
                  <c:v>50399.919999899997</c:v>
                </c:pt>
                <c:pt idx="248">
                  <c:v>50552.700000099998</c:v>
                </c:pt>
                <c:pt idx="249">
                  <c:v>50705.4699999</c:v>
                </c:pt>
                <c:pt idx="250">
                  <c:v>50858.250000100001</c:v>
                </c:pt>
                <c:pt idx="251">
                  <c:v>51011.02</c:v>
                </c:pt>
                <c:pt idx="252">
                  <c:v>51163.799999900002</c:v>
                </c:pt>
                <c:pt idx="253">
                  <c:v>51316.57</c:v>
                </c:pt>
                <c:pt idx="254">
                  <c:v>51469.349999899998</c:v>
                </c:pt>
                <c:pt idx="255">
                  <c:v>51622.12</c:v>
                </c:pt>
                <c:pt idx="256">
                  <c:v>51774.9</c:v>
                </c:pt>
                <c:pt idx="257">
                  <c:v>51927.670000099999</c:v>
                </c:pt>
                <c:pt idx="258">
                  <c:v>52080.45</c:v>
                </c:pt>
                <c:pt idx="259">
                  <c:v>52233.220000100002</c:v>
                </c:pt>
                <c:pt idx="260">
                  <c:v>52386</c:v>
                </c:pt>
                <c:pt idx="261">
                  <c:v>52563.250000100001</c:v>
                </c:pt>
                <c:pt idx="262">
                  <c:v>52740.500000100001</c:v>
                </c:pt>
                <c:pt idx="263">
                  <c:v>52917.749999899999</c:v>
                </c:pt>
                <c:pt idx="264">
                  <c:v>53094.999999899999</c:v>
                </c:pt>
                <c:pt idx="265">
                  <c:v>53272.25</c:v>
                </c:pt>
                <c:pt idx="266">
                  <c:v>53449.5</c:v>
                </c:pt>
                <c:pt idx="267">
                  <c:v>53626.75</c:v>
                </c:pt>
                <c:pt idx="268">
                  <c:v>53804</c:v>
                </c:pt>
                <c:pt idx="269">
                  <c:v>53981.250000100001</c:v>
                </c:pt>
                <c:pt idx="270">
                  <c:v>54158.500000100001</c:v>
                </c:pt>
                <c:pt idx="271">
                  <c:v>54335.749999899999</c:v>
                </c:pt>
                <c:pt idx="272">
                  <c:v>54512.999999899999</c:v>
                </c:pt>
                <c:pt idx="273">
                  <c:v>54690.25</c:v>
                </c:pt>
                <c:pt idx="274">
                  <c:v>54867.5</c:v>
                </c:pt>
                <c:pt idx="275">
                  <c:v>55044.75</c:v>
                </c:pt>
                <c:pt idx="276">
                  <c:v>55222.000000100001</c:v>
                </c:pt>
                <c:pt idx="277">
                  <c:v>55399.250000100001</c:v>
                </c:pt>
                <c:pt idx="278">
                  <c:v>55576.500000100001</c:v>
                </c:pt>
                <c:pt idx="279">
                  <c:v>55753.749999899999</c:v>
                </c:pt>
                <c:pt idx="280">
                  <c:v>55930.999999899999</c:v>
                </c:pt>
                <c:pt idx="281">
                  <c:v>56108.25</c:v>
                </c:pt>
                <c:pt idx="282">
                  <c:v>56285.5</c:v>
                </c:pt>
                <c:pt idx="283">
                  <c:v>56462.75</c:v>
                </c:pt>
                <c:pt idx="284">
                  <c:v>56640.000000100001</c:v>
                </c:pt>
                <c:pt idx="285">
                  <c:v>56817.250000100001</c:v>
                </c:pt>
                <c:pt idx="286">
                  <c:v>56994.499999899999</c:v>
                </c:pt>
                <c:pt idx="287">
                  <c:v>57171.749999899999</c:v>
                </c:pt>
                <c:pt idx="288">
                  <c:v>57348.999999899999</c:v>
                </c:pt>
                <c:pt idx="289">
                  <c:v>57526.25</c:v>
                </c:pt>
                <c:pt idx="290">
                  <c:v>57703.5</c:v>
                </c:pt>
                <c:pt idx="291">
                  <c:v>57880.75</c:v>
                </c:pt>
                <c:pt idx="292">
                  <c:v>58058.000000100001</c:v>
                </c:pt>
                <c:pt idx="293">
                  <c:v>58235.250000100001</c:v>
                </c:pt>
                <c:pt idx="294">
                  <c:v>58412.499999899999</c:v>
                </c:pt>
                <c:pt idx="295">
                  <c:v>58589.749999899999</c:v>
                </c:pt>
                <c:pt idx="296">
                  <c:v>58767</c:v>
                </c:pt>
                <c:pt idx="297">
                  <c:v>58944.25</c:v>
                </c:pt>
                <c:pt idx="298">
                  <c:v>59121.5</c:v>
                </c:pt>
                <c:pt idx="299">
                  <c:v>59298.750000100001</c:v>
                </c:pt>
                <c:pt idx="300">
                  <c:v>59476.000000100001</c:v>
                </c:pt>
                <c:pt idx="301">
                  <c:v>59669.249999899999</c:v>
                </c:pt>
                <c:pt idx="302">
                  <c:v>59862.5</c:v>
                </c:pt>
                <c:pt idx="303">
                  <c:v>60055.750000100001</c:v>
                </c:pt>
                <c:pt idx="304">
                  <c:v>60249</c:v>
                </c:pt>
                <c:pt idx="305">
                  <c:v>60442.25</c:v>
                </c:pt>
                <c:pt idx="306">
                  <c:v>60635.499999899999</c:v>
                </c:pt>
                <c:pt idx="307">
                  <c:v>60828.75</c:v>
                </c:pt>
                <c:pt idx="308">
                  <c:v>61022.000000100001</c:v>
                </c:pt>
                <c:pt idx="309">
                  <c:v>61215.249999899999</c:v>
                </c:pt>
                <c:pt idx="310">
                  <c:v>61408.5</c:v>
                </c:pt>
                <c:pt idx="311">
                  <c:v>61601.750000100001</c:v>
                </c:pt>
                <c:pt idx="312">
                  <c:v>61794.999999899999</c:v>
                </c:pt>
                <c:pt idx="313">
                  <c:v>61988.25</c:v>
                </c:pt>
                <c:pt idx="314">
                  <c:v>62181.499999899999</c:v>
                </c:pt>
                <c:pt idx="315">
                  <c:v>62374.75</c:v>
                </c:pt>
                <c:pt idx="316">
                  <c:v>62568.000000100001</c:v>
                </c:pt>
                <c:pt idx="317">
                  <c:v>62761.249999899999</c:v>
                </c:pt>
                <c:pt idx="318">
                  <c:v>62954.5</c:v>
                </c:pt>
                <c:pt idx="319">
                  <c:v>63147.750000100001</c:v>
                </c:pt>
                <c:pt idx="320">
                  <c:v>63340.999999899999</c:v>
                </c:pt>
                <c:pt idx="321">
                  <c:v>63534.25</c:v>
                </c:pt>
                <c:pt idx="322">
                  <c:v>63727.499999899999</c:v>
                </c:pt>
                <c:pt idx="323">
                  <c:v>63920.75</c:v>
                </c:pt>
                <c:pt idx="324">
                  <c:v>64114.000000100001</c:v>
                </c:pt>
                <c:pt idx="325">
                  <c:v>64307.249999899999</c:v>
                </c:pt>
                <c:pt idx="326">
                  <c:v>64500.5</c:v>
                </c:pt>
                <c:pt idx="327">
                  <c:v>64693.750000100001</c:v>
                </c:pt>
                <c:pt idx="328">
                  <c:v>64886.999999899999</c:v>
                </c:pt>
                <c:pt idx="329">
                  <c:v>65080.25</c:v>
                </c:pt>
                <c:pt idx="330">
                  <c:v>65273.500000100001</c:v>
                </c:pt>
                <c:pt idx="331">
                  <c:v>65466.75</c:v>
                </c:pt>
                <c:pt idx="332">
                  <c:v>65660.000000100001</c:v>
                </c:pt>
                <c:pt idx="333">
                  <c:v>65853.249999899999</c:v>
                </c:pt>
                <c:pt idx="334">
                  <c:v>66046.5</c:v>
                </c:pt>
                <c:pt idx="335">
                  <c:v>66239.750000100001</c:v>
                </c:pt>
                <c:pt idx="336">
                  <c:v>66432.999999899999</c:v>
                </c:pt>
                <c:pt idx="337">
                  <c:v>66626.25</c:v>
                </c:pt>
                <c:pt idx="338">
                  <c:v>66819.500000100001</c:v>
                </c:pt>
                <c:pt idx="339">
                  <c:v>67012.75</c:v>
                </c:pt>
                <c:pt idx="340">
                  <c:v>67206</c:v>
                </c:pt>
                <c:pt idx="341">
                  <c:v>67425.37</c:v>
                </c:pt>
                <c:pt idx="342">
                  <c:v>67644.75</c:v>
                </c:pt>
                <c:pt idx="343">
                  <c:v>67864.120000099996</c:v>
                </c:pt>
                <c:pt idx="344">
                  <c:v>68083.499999899999</c:v>
                </c:pt>
                <c:pt idx="345">
                  <c:v>68302.87</c:v>
                </c:pt>
                <c:pt idx="346">
                  <c:v>68522.25</c:v>
                </c:pt>
                <c:pt idx="347">
                  <c:v>68741.62</c:v>
                </c:pt>
                <c:pt idx="348">
                  <c:v>68961</c:v>
                </c:pt>
                <c:pt idx="349">
                  <c:v>69180.370000099996</c:v>
                </c:pt>
                <c:pt idx="350">
                  <c:v>69399.749999899999</c:v>
                </c:pt>
                <c:pt idx="351">
                  <c:v>69619.12</c:v>
                </c:pt>
                <c:pt idx="352">
                  <c:v>69838.500000100001</c:v>
                </c:pt>
                <c:pt idx="353">
                  <c:v>70057.87</c:v>
                </c:pt>
                <c:pt idx="354">
                  <c:v>70277.25</c:v>
                </c:pt>
                <c:pt idx="355">
                  <c:v>70496.619999899995</c:v>
                </c:pt>
                <c:pt idx="356">
                  <c:v>70715.999999899999</c:v>
                </c:pt>
                <c:pt idx="357">
                  <c:v>70935.37</c:v>
                </c:pt>
                <c:pt idx="358">
                  <c:v>71154.750000100001</c:v>
                </c:pt>
                <c:pt idx="359">
                  <c:v>71374.12</c:v>
                </c:pt>
                <c:pt idx="360">
                  <c:v>71593.5</c:v>
                </c:pt>
                <c:pt idx="361">
                  <c:v>71812.869999899995</c:v>
                </c:pt>
                <c:pt idx="362">
                  <c:v>72032.249999899999</c:v>
                </c:pt>
                <c:pt idx="363">
                  <c:v>72251.62</c:v>
                </c:pt>
                <c:pt idx="364">
                  <c:v>72471.000000100001</c:v>
                </c:pt>
                <c:pt idx="365">
                  <c:v>72690.37</c:v>
                </c:pt>
                <c:pt idx="366">
                  <c:v>72909.75</c:v>
                </c:pt>
                <c:pt idx="367">
                  <c:v>73129.119999899995</c:v>
                </c:pt>
                <c:pt idx="368">
                  <c:v>73348.499999899999</c:v>
                </c:pt>
                <c:pt idx="369">
                  <c:v>73567.870000099996</c:v>
                </c:pt>
                <c:pt idx="370">
                  <c:v>73787.250000100001</c:v>
                </c:pt>
                <c:pt idx="371">
                  <c:v>74006.62</c:v>
                </c:pt>
                <c:pt idx="372">
                  <c:v>74226</c:v>
                </c:pt>
                <c:pt idx="373">
                  <c:v>74445.369999899995</c:v>
                </c:pt>
                <c:pt idx="374">
                  <c:v>74664.749999899999</c:v>
                </c:pt>
                <c:pt idx="375">
                  <c:v>74884.120000099996</c:v>
                </c:pt>
                <c:pt idx="376">
                  <c:v>75103.500000100001</c:v>
                </c:pt>
                <c:pt idx="377">
                  <c:v>75322.87</c:v>
                </c:pt>
                <c:pt idx="378">
                  <c:v>75542.25</c:v>
                </c:pt>
                <c:pt idx="379">
                  <c:v>75761.619999899995</c:v>
                </c:pt>
                <c:pt idx="380">
                  <c:v>75980.999999899999</c:v>
                </c:pt>
                <c:pt idx="381">
                  <c:v>76223.149999999994</c:v>
                </c:pt>
                <c:pt idx="382">
                  <c:v>76465.300000100004</c:v>
                </c:pt>
                <c:pt idx="383">
                  <c:v>76707.449999899996</c:v>
                </c:pt>
                <c:pt idx="384">
                  <c:v>76949.600000000006</c:v>
                </c:pt>
                <c:pt idx="385">
                  <c:v>77191.750000100001</c:v>
                </c:pt>
                <c:pt idx="386">
                  <c:v>77433.899999899993</c:v>
                </c:pt>
                <c:pt idx="387">
                  <c:v>77676.05</c:v>
                </c:pt>
                <c:pt idx="388">
                  <c:v>77918.2</c:v>
                </c:pt>
                <c:pt idx="389">
                  <c:v>78160.350000100007</c:v>
                </c:pt>
                <c:pt idx="390">
                  <c:v>78402.499999899999</c:v>
                </c:pt>
                <c:pt idx="391">
                  <c:v>78644.649999999994</c:v>
                </c:pt>
                <c:pt idx="392">
                  <c:v>78886.800000100004</c:v>
                </c:pt>
                <c:pt idx="393">
                  <c:v>79128.949999899996</c:v>
                </c:pt>
                <c:pt idx="394">
                  <c:v>79371.100000000006</c:v>
                </c:pt>
                <c:pt idx="395">
                  <c:v>79613.250000100001</c:v>
                </c:pt>
                <c:pt idx="396">
                  <c:v>79855.399999899993</c:v>
                </c:pt>
                <c:pt idx="397">
                  <c:v>80097.55</c:v>
                </c:pt>
                <c:pt idx="398">
                  <c:v>80339.700000099998</c:v>
                </c:pt>
                <c:pt idx="399">
                  <c:v>80581.849999900005</c:v>
                </c:pt>
                <c:pt idx="400">
                  <c:v>80824</c:v>
                </c:pt>
                <c:pt idx="401">
                  <c:v>81066.150000099995</c:v>
                </c:pt>
                <c:pt idx="402">
                  <c:v>81308.299999900002</c:v>
                </c:pt>
                <c:pt idx="403">
                  <c:v>81550.45</c:v>
                </c:pt>
                <c:pt idx="404">
                  <c:v>81792.600000100007</c:v>
                </c:pt>
                <c:pt idx="405">
                  <c:v>82034.749999899999</c:v>
                </c:pt>
                <c:pt idx="406">
                  <c:v>82276.899999999994</c:v>
                </c:pt>
                <c:pt idx="407">
                  <c:v>82519.05</c:v>
                </c:pt>
                <c:pt idx="408">
                  <c:v>82761.200000099998</c:v>
                </c:pt>
                <c:pt idx="409">
                  <c:v>83003.349999900005</c:v>
                </c:pt>
                <c:pt idx="410">
                  <c:v>83245.5</c:v>
                </c:pt>
                <c:pt idx="411">
                  <c:v>83487.650000099995</c:v>
                </c:pt>
                <c:pt idx="412">
                  <c:v>83729.799999900002</c:v>
                </c:pt>
                <c:pt idx="413">
                  <c:v>83971.95</c:v>
                </c:pt>
                <c:pt idx="414">
                  <c:v>84214.100000100007</c:v>
                </c:pt>
                <c:pt idx="415">
                  <c:v>84456.249999899999</c:v>
                </c:pt>
                <c:pt idx="416">
                  <c:v>84698.4</c:v>
                </c:pt>
                <c:pt idx="417">
                  <c:v>84940.550000100004</c:v>
                </c:pt>
                <c:pt idx="418">
                  <c:v>85182.699999899996</c:v>
                </c:pt>
                <c:pt idx="419">
                  <c:v>85424.85</c:v>
                </c:pt>
                <c:pt idx="420">
                  <c:v>85667.000000100001</c:v>
                </c:pt>
                <c:pt idx="421">
                  <c:v>85909.999999899999</c:v>
                </c:pt>
                <c:pt idx="422">
                  <c:v>86153</c:v>
                </c:pt>
                <c:pt idx="423">
                  <c:v>86396.000000100001</c:v>
                </c:pt>
                <c:pt idx="424">
                  <c:v>86638.999999899999</c:v>
                </c:pt>
                <c:pt idx="425">
                  <c:v>86882</c:v>
                </c:pt>
                <c:pt idx="426">
                  <c:v>87125.000000100001</c:v>
                </c:pt>
                <c:pt idx="427">
                  <c:v>87367.999999899999</c:v>
                </c:pt>
                <c:pt idx="428">
                  <c:v>87611</c:v>
                </c:pt>
                <c:pt idx="429">
                  <c:v>87854.000000100001</c:v>
                </c:pt>
                <c:pt idx="430">
                  <c:v>88097</c:v>
                </c:pt>
                <c:pt idx="431">
                  <c:v>88340</c:v>
                </c:pt>
                <c:pt idx="432">
                  <c:v>88582.999999899999</c:v>
                </c:pt>
                <c:pt idx="433">
                  <c:v>88826</c:v>
                </c:pt>
                <c:pt idx="434">
                  <c:v>89069.000000100001</c:v>
                </c:pt>
                <c:pt idx="435">
                  <c:v>89311.999999899999</c:v>
                </c:pt>
                <c:pt idx="436">
                  <c:v>89555</c:v>
                </c:pt>
                <c:pt idx="437">
                  <c:v>89798.000000100001</c:v>
                </c:pt>
                <c:pt idx="438">
                  <c:v>90040.999999899999</c:v>
                </c:pt>
                <c:pt idx="439">
                  <c:v>90284</c:v>
                </c:pt>
                <c:pt idx="440">
                  <c:v>90527.000000100001</c:v>
                </c:pt>
                <c:pt idx="441">
                  <c:v>90769.999999899999</c:v>
                </c:pt>
                <c:pt idx="442">
                  <c:v>91013</c:v>
                </c:pt>
                <c:pt idx="443">
                  <c:v>91256.000000100001</c:v>
                </c:pt>
                <c:pt idx="444">
                  <c:v>91499</c:v>
                </c:pt>
                <c:pt idx="445">
                  <c:v>91742</c:v>
                </c:pt>
                <c:pt idx="446">
                  <c:v>91984.999999899999</c:v>
                </c:pt>
                <c:pt idx="447">
                  <c:v>92228</c:v>
                </c:pt>
                <c:pt idx="448">
                  <c:v>92471.000000100001</c:v>
                </c:pt>
                <c:pt idx="449">
                  <c:v>92713.999999899999</c:v>
                </c:pt>
                <c:pt idx="450">
                  <c:v>92957</c:v>
                </c:pt>
                <c:pt idx="451">
                  <c:v>93200.000000100001</c:v>
                </c:pt>
                <c:pt idx="452">
                  <c:v>93442.999999899999</c:v>
                </c:pt>
                <c:pt idx="453">
                  <c:v>93686</c:v>
                </c:pt>
                <c:pt idx="454">
                  <c:v>93929.000000100001</c:v>
                </c:pt>
                <c:pt idx="455">
                  <c:v>94171.999999899999</c:v>
                </c:pt>
                <c:pt idx="456">
                  <c:v>94415</c:v>
                </c:pt>
                <c:pt idx="457">
                  <c:v>94658.000000100001</c:v>
                </c:pt>
                <c:pt idx="458">
                  <c:v>94901</c:v>
                </c:pt>
                <c:pt idx="459">
                  <c:v>95144</c:v>
                </c:pt>
                <c:pt idx="460">
                  <c:v>95386.999999899999</c:v>
                </c:pt>
                <c:pt idx="461">
                  <c:v>95650.550000100004</c:v>
                </c:pt>
                <c:pt idx="462">
                  <c:v>95914.100000100007</c:v>
                </c:pt>
                <c:pt idx="463">
                  <c:v>96177.65</c:v>
                </c:pt>
                <c:pt idx="464">
                  <c:v>96441.2</c:v>
                </c:pt>
                <c:pt idx="465">
                  <c:v>96704.75</c:v>
                </c:pt>
                <c:pt idx="466">
                  <c:v>96968.299999900002</c:v>
                </c:pt>
                <c:pt idx="467">
                  <c:v>97231.849999900005</c:v>
                </c:pt>
                <c:pt idx="468">
                  <c:v>97495.399999899993</c:v>
                </c:pt>
                <c:pt idx="469">
                  <c:v>97758.950000099998</c:v>
                </c:pt>
                <c:pt idx="470">
                  <c:v>98022.500000100001</c:v>
                </c:pt>
                <c:pt idx="471">
                  <c:v>98286.05</c:v>
                </c:pt>
                <c:pt idx="472">
                  <c:v>98549.6</c:v>
                </c:pt>
                <c:pt idx="473">
                  <c:v>98813.15</c:v>
                </c:pt>
                <c:pt idx="474">
                  <c:v>99076.7</c:v>
                </c:pt>
                <c:pt idx="475">
                  <c:v>99340.249999899999</c:v>
                </c:pt>
                <c:pt idx="476">
                  <c:v>99603.799999900002</c:v>
                </c:pt>
                <c:pt idx="477">
                  <c:v>99867.350000100007</c:v>
                </c:pt>
                <c:pt idx="478">
                  <c:v>100130.9</c:v>
                </c:pt>
                <c:pt idx="479">
                  <c:v>100394.45</c:v>
                </c:pt>
                <c:pt idx="480">
                  <c:v>100658</c:v>
                </c:pt>
                <c:pt idx="481">
                  <c:v>100921.55</c:v>
                </c:pt>
                <c:pt idx="482">
                  <c:v>101185.1</c:v>
                </c:pt>
                <c:pt idx="483">
                  <c:v>101448.65</c:v>
                </c:pt>
                <c:pt idx="484">
                  <c:v>101712.2</c:v>
                </c:pt>
                <c:pt idx="485">
                  <c:v>101975.75</c:v>
                </c:pt>
                <c:pt idx="486">
                  <c:v>102239.3</c:v>
                </c:pt>
                <c:pt idx="487">
                  <c:v>102502.85</c:v>
                </c:pt>
                <c:pt idx="488">
                  <c:v>102766.39999999999</c:v>
                </c:pt>
                <c:pt idx="489">
                  <c:v>103029.95</c:v>
                </c:pt>
                <c:pt idx="490">
                  <c:v>103293.5</c:v>
                </c:pt>
                <c:pt idx="491">
                  <c:v>103557.05</c:v>
                </c:pt>
                <c:pt idx="492">
                  <c:v>103820.6</c:v>
                </c:pt>
                <c:pt idx="493">
                  <c:v>104084.15</c:v>
                </c:pt>
                <c:pt idx="494">
                  <c:v>104347.7</c:v>
                </c:pt>
                <c:pt idx="495">
                  <c:v>104611.25</c:v>
                </c:pt>
                <c:pt idx="496">
                  <c:v>104874.8</c:v>
                </c:pt>
                <c:pt idx="497">
                  <c:v>105138.35</c:v>
                </c:pt>
                <c:pt idx="498">
                  <c:v>105401.9</c:v>
                </c:pt>
                <c:pt idx="499">
                  <c:v>105665.45</c:v>
                </c:pt>
                <c:pt idx="500">
                  <c:v>105929</c:v>
                </c:pt>
                <c:pt idx="501">
                  <c:v>106232.12</c:v>
                </c:pt>
                <c:pt idx="502">
                  <c:v>106535.25</c:v>
                </c:pt>
                <c:pt idx="503">
                  <c:v>106838.37</c:v>
                </c:pt>
                <c:pt idx="504">
                  <c:v>107141.5</c:v>
                </c:pt>
                <c:pt idx="505">
                  <c:v>107444.62</c:v>
                </c:pt>
                <c:pt idx="506">
                  <c:v>107747.75</c:v>
                </c:pt>
                <c:pt idx="507">
                  <c:v>108050.87</c:v>
                </c:pt>
                <c:pt idx="508">
                  <c:v>108354</c:v>
                </c:pt>
                <c:pt idx="509">
                  <c:v>108657.12</c:v>
                </c:pt>
                <c:pt idx="510">
                  <c:v>108960.25</c:v>
                </c:pt>
                <c:pt idx="511">
                  <c:v>109263.37</c:v>
                </c:pt>
                <c:pt idx="512">
                  <c:v>109566.5</c:v>
                </c:pt>
                <c:pt idx="513">
                  <c:v>109869.62</c:v>
                </c:pt>
                <c:pt idx="514">
                  <c:v>110172.75</c:v>
                </c:pt>
                <c:pt idx="515">
                  <c:v>110475.87</c:v>
                </c:pt>
                <c:pt idx="516">
                  <c:v>110779</c:v>
                </c:pt>
                <c:pt idx="517">
                  <c:v>111082.12</c:v>
                </c:pt>
                <c:pt idx="518">
                  <c:v>111385.25</c:v>
                </c:pt>
                <c:pt idx="519">
                  <c:v>111688.37</c:v>
                </c:pt>
                <c:pt idx="520">
                  <c:v>111991.5</c:v>
                </c:pt>
                <c:pt idx="521">
                  <c:v>112294.62</c:v>
                </c:pt>
                <c:pt idx="522">
                  <c:v>112597.75</c:v>
                </c:pt>
                <c:pt idx="523">
                  <c:v>112900.87</c:v>
                </c:pt>
                <c:pt idx="524">
                  <c:v>113204</c:v>
                </c:pt>
                <c:pt idx="525">
                  <c:v>113507.12</c:v>
                </c:pt>
                <c:pt idx="526">
                  <c:v>113810.25</c:v>
                </c:pt>
                <c:pt idx="527">
                  <c:v>114113.37</c:v>
                </c:pt>
                <c:pt idx="528">
                  <c:v>114416.5</c:v>
                </c:pt>
                <c:pt idx="529">
                  <c:v>114719.62</c:v>
                </c:pt>
                <c:pt idx="530">
                  <c:v>115022.75</c:v>
                </c:pt>
                <c:pt idx="531">
                  <c:v>115325.87</c:v>
                </c:pt>
                <c:pt idx="532">
                  <c:v>115629</c:v>
                </c:pt>
                <c:pt idx="533">
                  <c:v>115932.12</c:v>
                </c:pt>
                <c:pt idx="534">
                  <c:v>116235.25</c:v>
                </c:pt>
                <c:pt idx="535">
                  <c:v>116538.37</c:v>
                </c:pt>
                <c:pt idx="536">
                  <c:v>116841.5</c:v>
                </c:pt>
                <c:pt idx="537">
                  <c:v>117144.62</c:v>
                </c:pt>
                <c:pt idx="538">
                  <c:v>117447.75</c:v>
                </c:pt>
                <c:pt idx="539">
                  <c:v>117750.87</c:v>
                </c:pt>
                <c:pt idx="540">
                  <c:v>118054</c:v>
                </c:pt>
                <c:pt idx="541">
                  <c:v>118375.12</c:v>
                </c:pt>
                <c:pt idx="542">
                  <c:v>118696.25</c:v>
                </c:pt>
                <c:pt idx="543">
                  <c:v>119017.37</c:v>
                </c:pt>
                <c:pt idx="544">
                  <c:v>119338.5</c:v>
                </c:pt>
                <c:pt idx="545">
                  <c:v>119659.62</c:v>
                </c:pt>
                <c:pt idx="546">
                  <c:v>119980.75</c:v>
                </c:pt>
                <c:pt idx="547">
                  <c:v>120301.87</c:v>
                </c:pt>
                <c:pt idx="548">
                  <c:v>120623</c:v>
                </c:pt>
                <c:pt idx="549">
                  <c:v>120944.12</c:v>
                </c:pt>
                <c:pt idx="550">
                  <c:v>121265.25</c:v>
                </c:pt>
                <c:pt idx="551">
                  <c:v>121586.37</c:v>
                </c:pt>
                <c:pt idx="552">
                  <c:v>121907.5</c:v>
                </c:pt>
                <c:pt idx="553">
                  <c:v>122228.62</c:v>
                </c:pt>
                <c:pt idx="554">
                  <c:v>122549.75</c:v>
                </c:pt>
                <c:pt idx="555">
                  <c:v>122870.87</c:v>
                </c:pt>
                <c:pt idx="556">
                  <c:v>123192</c:v>
                </c:pt>
                <c:pt idx="557">
                  <c:v>123513.12</c:v>
                </c:pt>
                <c:pt idx="558">
                  <c:v>123834.25</c:v>
                </c:pt>
                <c:pt idx="559">
                  <c:v>124155.37</c:v>
                </c:pt>
                <c:pt idx="560">
                  <c:v>124476.5</c:v>
                </c:pt>
                <c:pt idx="561">
                  <c:v>124797.62</c:v>
                </c:pt>
                <c:pt idx="562">
                  <c:v>125118.75</c:v>
                </c:pt>
                <c:pt idx="563">
                  <c:v>125439.87</c:v>
                </c:pt>
                <c:pt idx="564">
                  <c:v>125761</c:v>
                </c:pt>
                <c:pt idx="565">
                  <c:v>126082.12</c:v>
                </c:pt>
                <c:pt idx="566">
                  <c:v>126403.25</c:v>
                </c:pt>
                <c:pt idx="567">
                  <c:v>126724.37</c:v>
                </c:pt>
                <c:pt idx="568">
                  <c:v>127045.5</c:v>
                </c:pt>
                <c:pt idx="569">
                  <c:v>127366.62</c:v>
                </c:pt>
                <c:pt idx="570">
                  <c:v>127687.75</c:v>
                </c:pt>
                <c:pt idx="571">
                  <c:v>128008.87</c:v>
                </c:pt>
                <c:pt idx="572">
                  <c:v>128330</c:v>
                </c:pt>
                <c:pt idx="573">
                  <c:v>128651.12</c:v>
                </c:pt>
                <c:pt idx="574">
                  <c:v>128972.25</c:v>
                </c:pt>
                <c:pt idx="575">
                  <c:v>129293.37</c:v>
                </c:pt>
                <c:pt idx="576">
                  <c:v>129614.5</c:v>
                </c:pt>
                <c:pt idx="577">
                  <c:v>129935.62</c:v>
                </c:pt>
                <c:pt idx="578">
                  <c:v>130256.75</c:v>
                </c:pt>
                <c:pt idx="579">
                  <c:v>130577.87</c:v>
                </c:pt>
                <c:pt idx="580">
                  <c:v>130899</c:v>
                </c:pt>
                <c:pt idx="581">
                  <c:v>131267.70000000001</c:v>
                </c:pt>
                <c:pt idx="582">
                  <c:v>131636.4</c:v>
                </c:pt>
                <c:pt idx="583">
                  <c:v>132005.1</c:v>
                </c:pt>
                <c:pt idx="584">
                  <c:v>132373.79999999999</c:v>
                </c:pt>
                <c:pt idx="585">
                  <c:v>132742.5</c:v>
                </c:pt>
                <c:pt idx="586">
                  <c:v>133111.20000000001</c:v>
                </c:pt>
                <c:pt idx="587">
                  <c:v>133479.9</c:v>
                </c:pt>
                <c:pt idx="588">
                  <c:v>133848.6</c:v>
                </c:pt>
                <c:pt idx="589">
                  <c:v>134217.29999999999</c:v>
                </c:pt>
                <c:pt idx="590">
                  <c:v>134586</c:v>
                </c:pt>
                <c:pt idx="591">
                  <c:v>134954.70000000001</c:v>
                </c:pt>
                <c:pt idx="592">
                  <c:v>135323.4</c:v>
                </c:pt>
                <c:pt idx="593">
                  <c:v>135692.1</c:v>
                </c:pt>
                <c:pt idx="594">
                  <c:v>136060.79999999999</c:v>
                </c:pt>
                <c:pt idx="595">
                  <c:v>136429.5</c:v>
                </c:pt>
                <c:pt idx="596">
                  <c:v>136798.20000000001</c:v>
                </c:pt>
                <c:pt idx="597">
                  <c:v>137166.9</c:v>
                </c:pt>
                <c:pt idx="598">
                  <c:v>137535.6</c:v>
                </c:pt>
                <c:pt idx="599">
                  <c:v>137904.29999999999</c:v>
                </c:pt>
                <c:pt idx="600">
                  <c:v>138273</c:v>
                </c:pt>
                <c:pt idx="601">
                  <c:v>138641.70000000001</c:v>
                </c:pt>
                <c:pt idx="602">
                  <c:v>139010.4</c:v>
                </c:pt>
                <c:pt idx="603">
                  <c:v>139379.1</c:v>
                </c:pt>
                <c:pt idx="604">
                  <c:v>139747.79999999999</c:v>
                </c:pt>
                <c:pt idx="605">
                  <c:v>140116.5</c:v>
                </c:pt>
                <c:pt idx="606">
                  <c:v>140485.20000000001</c:v>
                </c:pt>
                <c:pt idx="607">
                  <c:v>140853.9</c:v>
                </c:pt>
                <c:pt idx="608">
                  <c:v>141222.6</c:v>
                </c:pt>
                <c:pt idx="609">
                  <c:v>141591.29999999999</c:v>
                </c:pt>
                <c:pt idx="610">
                  <c:v>141960</c:v>
                </c:pt>
                <c:pt idx="611">
                  <c:v>142328.70000000001</c:v>
                </c:pt>
                <c:pt idx="612">
                  <c:v>142697.4</c:v>
                </c:pt>
                <c:pt idx="613">
                  <c:v>143066.1</c:v>
                </c:pt>
                <c:pt idx="614">
                  <c:v>143434.79999999999</c:v>
                </c:pt>
                <c:pt idx="615">
                  <c:v>143803.5</c:v>
                </c:pt>
                <c:pt idx="616">
                  <c:v>144172.20000000001</c:v>
                </c:pt>
                <c:pt idx="617">
                  <c:v>144540.9</c:v>
                </c:pt>
                <c:pt idx="618">
                  <c:v>144909.6</c:v>
                </c:pt>
                <c:pt idx="619">
                  <c:v>145278.29999999999</c:v>
                </c:pt>
                <c:pt idx="620">
                  <c:v>145647</c:v>
                </c:pt>
                <c:pt idx="621">
                  <c:v>146025.42000000001</c:v>
                </c:pt>
                <c:pt idx="622">
                  <c:v>146403.85</c:v>
                </c:pt>
                <c:pt idx="623">
                  <c:v>146782.26999999999</c:v>
                </c:pt>
                <c:pt idx="624">
                  <c:v>147160.70000000001</c:v>
                </c:pt>
                <c:pt idx="625">
                  <c:v>147539.12</c:v>
                </c:pt>
                <c:pt idx="626">
                  <c:v>147917.54999999999</c:v>
                </c:pt>
                <c:pt idx="627">
                  <c:v>148295.97</c:v>
                </c:pt>
                <c:pt idx="628">
                  <c:v>148674.4</c:v>
                </c:pt>
                <c:pt idx="629">
                  <c:v>149052.82</c:v>
                </c:pt>
                <c:pt idx="630">
                  <c:v>149431.25</c:v>
                </c:pt>
                <c:pt idx="631">
                  <c:v>149809.67000000001</c:v>
                </c:pt>
                <c:pt idx="632">
                  <c:v>150188.1</c:v>
                </c:pt>
                <c:pt idx="633">
                  <c:v>150566.51999999999</c:v>
                </c:pt>
                <c:pt idx="634">
                  <c:v>150944.95000000001</c:v>
                </c:pt>
                <c:pt idx="635">
                  <c:v>151323.37</c:v>
                </c:pt>
                <c:pt idx="636">
                  <c:v>151701.79999999999</c:v>
                </c:pt>
                <c:pt idx="637">
                  <c:v>152080.22</c:v>
                </c:pt>
                <c:pt idx="638">
                  <c:v>152458.65</c:v>
                </c:pt>
                <c:pt idx="639">
                  <c:v>152837.07</c:v>
                </c:pt>
                <c:pt idx="640">
                  <c:v>153215.5</c:v>
                </c:pt>
                <c:pt idx="641">
                  <c:v>153593.92000000001</c:v>
                </c:pt>
                <c:pt idx="642">
                  <c:v>153972.35</c:v>
                </c:pt>
                <c:pt idx="643">
                  <c:v>154350.76999999999</c:v>
                </c:pt>
                <c:pt idx="644">
                  <c:v>154729.20000000001</c:v>
                </c:pt>
                <c:pt idx="645">
                  <c:v>155107.62</c:v>
                </c:pt>
                <c:pt idx="646">
                  <c:v>155486.04999999999</c:v>
                </c:pt>
                <c:pt idx="647">
                  <c:v>155864.47</c:v>
                </c:pt>
                <c:pt idx="648">
                  <c:v>156242.9</c:v>
                </c:pt>
                <c:pt idx="649">
                  <c:v>156621.32</c:v>
                </c:pt>
                <c:pt idx="650">
                  <c:v>156999.75</c:v>
                </c:pt>
                <c:pt idx="651">
                  <c:v>157378.17000000001</c:v>
                </c:pt>
                <c:pt idx="652">
                  <c:v>157756.6</c:v>
                </c:pt>
                <c:pt idx="653">
                  <c:v>158135.01999999999</c:v>
                </c:pt>
                <c:pt idx="654">
                  <c:v>158513.45000000001</c:v>
                </c:pt>
                <c:pt idx="655">
                  <c:v>158891.87</c:v>
                </c:pt>
                <c:pt idx="656">
                  <c:v>159270.29999999999</c:v>
                </c:pt>
                <c:pt idx="657">
                  <c:v>159648.72</c:v>
                </c:pt>
                <c:pt idx="658">
                  <c:v>160027.15</c:v>
                </c:pt>
                <c:pt idx="659">
                  <c:v>160405.57</c:v>
                </c:pt>
                <c:pt idx="660">
                  <c:v>160784</c:v>
                </c:pt>
                <c:pt idx="661">
                  <c:v>161191.12</c:v>
                </c:pt>
                <c:pt idx="662">
                  <c:v>161598.25</c:v>
                </c:pt>
                <c:pt idx="663">
                  <c:v>162005.37</c:v>
                </c:pt>
                <c:pt idx="664">
                  <c:v>162412.5</c:v>
                </c:pt>
                <c:pt idx="665">
                  <c:v>162819.62</c:v>
                </c:pt>
                <c:pt idx="666">
                  <c:v>163226.75</c:v>
                </c:pt>
                <c:pt idx="667">
                  <c:v>163633.87</c:v>
                </c:pt>
                <c:pt idx="668">
                  <c:v>164041</c:v>
                </c:pt>
                <c:pt idx="669">
                  <c:v>164448.12</c:v>
                </c:pt>
                <c:pt idx="670">
                  <c:v>164855.25</c:v>
                </c:pt>
                <c:pt idx="671">
                  <c:v>165262.37</c:v>
                </c:pt>
                <c:pt idx="672">
                  <c:v>165669.5</c:v>
                </c:pt>
                <c:pt idx="673">
                  <c:v>166076.62</c:v>
                </c:pt>
                <c:pt idx="674">
                  <c:v>166483.75</c:v>
                </c:pt>
                <c:pt idx="675">
                  <c:v>166890.87</c:v>
                </c:pt>
                <c:pt idx="676">
                  <c:v>167298</c:v>
                </c:pt>
                <c:pt idx="677">
                  <c:v>167705.12</c:v>
                </c:pt>
                <c:pt idx="678">
                  <c:v>168112.25</c:v>
                </c:pt>
                <c:pt idx="679">
                  <c:v>168519.37</c:v>
                </c:pt>
                <c:pt idx="680">
                  <c:v>168926.5</c:v>
                </c:pt>
                <c:pt idx="681">
                  <c:v>169333.62</c:v>
                </c:pt>
                <c:pt idx="682">
                  <c:v>169740.75</c:v>
                </c:pt>
                <c:pt idx="683">
                  <c:v>170147.87</c:v>
                </c:pt>
              </c:numCache>
            </c:numRef>
          </c:yVal>
          <c:smooth val="0"/>
          <c:extLst>
            <c:ext xmlns:c16="http://schemas.microsoft.com/office/drawing/2014/chart" uri="{C3380CC4-5D6E-409C-BE32-E72D297353CC}">
              <c16:uniqueId val="{00000000-B6FC-4FE4-BFEA-700CB8B69218}"/>
            </c:ext>
          </c:extLst>
        </c:ser>
        <c:dLbls>
          <c:showLegendKey val="0"/>
          <c:showVal val="0"/>
          <c:showCatName val="0"/>
          <c:showSerName val="0"/>
          <c:showPercent val="0"/>
          <c:showBubbleSize val="0"/>
        </c:dLbls>
        <c:axId val="488940080"/>
        <c:axId val="488940472"/>
      </c:scatterChart>
      <c:valAx>
        <c:axId val="488940080"/>
        <c:scaling>
          <c:orientation val="minMax"/>
        </c:scaling>
        <c:delete val="0"/>
        <c:axPos val="b"/>
        <c:title>
          <c:tx>
            <c:rich>
              <a:bodyPr/>
              <a:lstStyle/>
              <a:p>
                <a:pPr>
                  <a:defRPr sz="1000" b="1" i="0" u="none" strike="noStrike" baseline="0">
                    <a:solidFill>
                      <a:srgbClr val="000000"/>
                    </a:solidFill>
                    <a:latin typeface="Calibri"/>
                    <a:ea typeface="Calibri"/>
                    <a:cs typeface="Calibri"/>
                  </a:defRPr>
                </a:pPr>
                <a:r>
                  <a:rPr lang="en-US"/>
                  <a:t>Total Storage (Acre Feet)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40472"/>
        <c:crosses val="autoZero"/>
        <c:crossBetween val="midCat"/>
        <c:majorUnit val="10000000"/>
      </c:valAx>
      <c:valAx>
        <c:axId val="488940472"/>
        <c:scaling>
          <c:orientation val="minMax"/>
        </c:scaling>
        <c:delete val="0"/>
        <c:axPos val="l"/>
        <c:majorGridlines/>
        <c:title>
          <c:tx>
            <c:rich>
              <a:bodyPr/>
              <a:lstStyle/>
              <a:p>
                <a:pPr>
                  <a:defRPr sz="1000" b="1" i="0" u="none" strike="noStrike" baseline="0">
                    <a:solidFill>
                      <a:srgbClr val="000000"/>
                    </a:solidFill>
                    <a:latin typeface="Calibri"/>
                    <a:ea typeface="Calibri"/>
                    <a:cs typeface="Calibri"/>
                  </a:defRPr>
                </a:pPr>
                <a:r>
                  <a:rPr lang="en-US"/>
                  <a:t>Area (acres)</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40080"/>
        <c:crosses val="autoZero"/>
        <c:crossBetween val="midCat"/>
      </c:valAx>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Elevation-Storage</c:v>
          </c:tx>
          <c:xVal>
            <c:numRef>
              <c:f>'Mead-Elevation-Area'!$A$5:$A$676</c:f>
              <c:numCache>
                <c:formatCode>_(* #,##0.0_);_(* \(#,##0.0\);_(* "-"??_);_(@_)</c:formatCode>
                <c:ptCount val="672"/>
                <c:pt idx="0">
                  <c:v>895</c:v>
                </c:pt>
                <c:pt idx="1">
                  <c:v>895.5</c:v>
                </c:pt>
                <c:pt idx="2">
                  <c:v>896</c:v>
                </c:pt>
                <c:pt idx="3">
                  <c:v>896.5</c:v>
                </c:pt>
                <c:pt idx="4">
                  <c:v>897</c:v>
                </c:pt>
                <c:pt idx="5">
                  <c:v>897.5</c:v>
                </c:pt>
                <c:pt idx="6">
                  <c:v>898</c:v>
                </c:pt>
                <c:pt idx="7">
                  <c:v>898.5</c:v>
                </c:pt>
                <c:pt idx="8">
                  <c:v>899</c:v>
                </c:pt>
                <c:pt idx="9">
                  <c:v>899.5</c:v>
                </c:pt>
                <c:pt idx="10">
                  <c:v>900</c:v>
                </c:pt>
                <c:pt idx="11">
                  <c:v>900.5</c:v>
                </c:pt>
                <c:pt idx="12">
                  <c:v>901</c:v>
                </c:pt>
                <c:pt idx="13">
                  <c:v>901.5</c:v>
                </c:pt>
                <c:pt idx="14">
                  <c:v>902</c:v>
                </c:pt>
                <c:pt idx="15">
                  <c:v>902.5</c:v>
                </c:pt>
                <c:pt idx="16">
                  <c:v>903</c:v>
                </c:pt>
                <c:pt idx="17">
                  <c:v>903.5</c:v>
                </c:pt>
                <c:pt idx="18">
                  <c:v>904</c:v>
                </c:pt>
                <c:pt idx="19">
                  <c:v>904.5</c:v>
                </c:pt>
                <c:pt idx="20">
                  <c:v>905</c:v>
                </c:pt>
                <c:pt idx="21">
                  <c:v>905.5</c:v>
                </c:pt>
                <c:pt idx="22">
                  <c:v>906</c:v>
                </c:pt>
                <c:pt idx="23">
                  <c:v>906.5</c:v>
                </c:pt>
                <c:pt idx="24">
                  <c:v>907</c:v>
                </c:pt>
                <c:pt idx="25">
                  <c:v>907.5</c:v>
                </c:pt>
                <c:pt idx="26">
                  <c:v>908</c:v>
                </c:pt>
                <c:pt idx="27">
                  <c:v>908.5</c:v>
                </c:pt>
                <c:pt idx="28">
                  <c:v>909</c:v>
                </c:pt>
                <c:pt idx="29">
                  <c:v>909.5</c:v>
                </c:pt>
                <c:pt idx="30">
                  <c:v>910</c:v>
                </c:pt>
                <c:pt idx="31">
                  <c:v>910.5</c:v>
                </c:pt>
                <c:pt idx="32">
                  <c:v>911</c:v>
                </c:pt>
                <c:pt idx="33">
                  <c:v>911.5</c:v>
                </c:pt>
                <c:pt idx="34">
                  <c:v>912</c:v>
                </c:pt>
                <c:pt idx="35">
                  <c:v>912.5</c:v>
                </c:pt>
                <c:pt idx="36">
                  <c:v>913</c:v>
                </c:pt>
                <c:pt idx="37">
                  <c:v>913.5</c:v>
                </c:pt>
                <c:pt idx="38">
                  <c:v>914</c:v>
                </c:pt>
                <c:pt idx="39">
                  <c:v>914.5</c:v>
                </c:pt>
                <c:pt idx="40">
                  <c:v>915</c:v>
                </c:pt>
                <c:pt idx="41">
                  <c:v>915.5</c:v>
                </c:pt>
                <c:pt idx="42">
                  <c:v>916</c:v>
                </c:pt>
                <c:pt idx="43">
                  <c:v>916.5</c:v>
                </c:pt>
                <c:pt idx="44">
                  <c:v>917</c:v>
                </c:pt>
                <c:pt idx="45">
                  <c:v>917.5</c:v>
                </c:pt>
                <c:pt idx="46">
                  <c:v>918</c:v>
                </c:pt>
                <c:pt idx="47">
                  <c:v>918.5</c:v>
                </c:pt>
                <c:pt idx="48">
                  <c:v>919</c:v>
                </c:pt>
                <c:pt idx="49">
                  <c:v>919.5</c:v>
                </c:pt>
                <c:pt idx="50">
                  <c:v>920</c:v>
                </c:pt>
                <c:pt idx="51">
                  <c:v>920.5</c:v>
                </c:pt>
                <c:pt idx="52">
                  <c:v>921</c:v>
                </c:pt>
                <c:pt idx="53">
                  <c:v>921.5</c:v>
                </c:pt>
                <c:pt idx="54">
                  <c:v>922</c:v>
                </c:pt>
                <c:pt idx="55">
                  <c:v>922.5</c:v>
                </c:pt>
                <c:pt idx="56">
                  <c:v>923</c:v>
                </c:pt>
                <c:pt idx="57">
                  <c:v>923.5</c:v>
                </c:pt>
                <c:pt idx="58">
                  <c:v>924</c:v>
                </c:pt>
                <c:pt idx="59">
                  <c:v>924.5</c:v>
                </c:pt>
                <c:pt idx="60">
                  <c:v>925</c:v>
                </c:pt>
                <c:pt idx="61">
                  <c:v>925.5</c:v>
                </c:pt>
                <c:pt idx="62">
                  <c:v>926</c:v>
                </c:pt>
                <c:pt idx="63">
                  <c:v>926.5</c:v>
                </c:pt>
                <c:pt idx="64">
                  <c:v>927</c:v>
                </c:pt>
                <c:pt idx="65">
                  <c:v>927.5</c:v>
                </c:pt>
                <c:pt idx="66">
                  <c:v>928</c:v>
                </c:pt>
                <c:pt idx="67">
                  <c:v>928.5</c:v>
                </c:pt>
                <c:pt idx="68">
                  <c:v>929</c:v>
                </c:pt>
                <c:pt idx="69">
                  <c:v>929.5</c:v>
                </c:pt>
                <c:pt idx="70">
                  <c:v>930</c:v>
                </c:pt>
                <c:pt idx="71">
                  <c:v>930.5</c:v>
                </c:pt>
                <c:pt idx="72">
                  <c:v>931</c:v>
                </c:pt>
                <c:pt idx="73">
                  <c:v>931.5</c:v>
                </c:pt>
                <c:pt idx="74">
                  <c:v>932</c:v>
                </c:pt>
                <c:pt idx="75">
                  <c:v>932.5</c:v>
                </c:pt>
                <c:pt idx="76">
                  <c:v>933</c:v>
                </c:pt>
                <c:pt idx="77">
                  <c:v>933.5</c:v>
                </c:pt>
                <c:pt idx="78">
                  <c:v>934</c:v>
                </c:pt>
                <c:pt idx="79">
                  <c:v>934.5</c:v>
                </c:pt>
                <c:pt idx="80">
                  <c:v>935</c:v>
                </c:pt>
                <c:pt idx="81">
                  <c:v>935.5</c:v>
                </c:pt>
                <c:pt idx="82">
                  <c:v>936</c:v>
                </c:pt>
                <c:pt idx="83">
                  <c:v>936.5</c:v>
                </c:pt>
                <c:pt idx="84">
                  <c:v>937</c:v>
                </c:pt>
                <c:pt idx="85">
                  <c:v>937.5</c:v>
                </c:pt>
                <c:pt idx="86">
                  <c:v>938</c:v>
                </c:pt>
                <c:pt idx="87">
                  <c:v>938.5</c:v>
                </c:pt>
                <c:pt idx="88">
                  <c:v>939</c:v>
                </c:pt>
                <c:pt idx="89">
                  <c:v>939.5</c:v>
                </c:pt>
                <c:pt idx="90">
                  <c:v>940</c:v>
                </c:pt>
                <c:pt idx="91">
                  <c:v>940.5</c:v>
                </c:pt>
                <c:pt idx="92">
                  <c:v>941</c:v>
                </c:pt>
                <c:pt idx="93">
                  <c:v>941.5</c:v>
                </c:pt>
                <c:pt idx="94">
                  <c:v>942</c:v>
                </c:pt>
                <c:pt idx="95">
                  <c:v>942.5</c:v>
                </c:pt>
                <c:pt idx="96">
                  <c:v>943</c:v>
                </c:pt>
                <c:pt idx="97">
                  <c:v>943.5</c:v>
                </c:pt>
                <c:pt idx="98">
                  <c:v>944</c:v>
                </c:pt>
                <c:pt idx="99">
                  <c:v>944.5</c:v>
                </c:pt>
                <c:pt idx="100">
                  <c:v>945</c:v>
                </c:pt>
                <c:pt idx="101">
                  <c:v>945.5</c:v>
                </c:pt>
                <c:pt idx="102">
                  <c:v>946</c:v>
                </c:pt>
                <c:pt idx="103">
                  <c:v>946.5</c:v>
                </c:pt>
                <c:pt idx="104">
                  <c:v>947</c:v>
                </c:pt>
                <c:pt idx="105">
                  <c:v>947.5</c:v>
                </c:pt>
                <c:pt idx="106">
                  <c:v>948</c:v>
                </c:pt>
                <c:pt idx="107">
                  <c:v>948.5</c:v>
                </c:pt>
                <c:pt idx="108">
                  <c:v>949</c:v>
                </c:pt>
                <c:pt idx="109">
                  <c:v>949.5</c:v>
                </c:pt>
                <c:pt idx="110">
                  <c:v>950</c:v>
                </c:pt>
                <c:pt idx="111">
                  <c:v>950.5</c:v>
                </c:pt>
                <c:pt idx="112">
                  <c:v>951</c:v>
                </c:pt>
                <c:pt idx="113">
                  <c:v>951.5</c:v>
                </c:pt>
                <c:pt idx="114">
                  <c:v>952</c:v>
                </c:pt>
                <c:pt idx="115">
                  <c:v>952.5</c:v>
                </c:pt>
                <c:pt idx="116">
                  <c:v>953</c:v>
                </c:pt>
                <c:pt idx="117">
                  <c:v>953.5</c:v>
                </c:pt>
                <c:pt idx="118">
                  <c:v>954</c:v>
                </c:pt>
                <c:pt idx="119">
                  <c:v>954.5</c:v>
                </c:pt>
                <c:pt idx="120">
                  <c:v>955</c:v>
                </c:pt>
                <c:pt idx="121">
                  <c:v>955.5</c:v>
                </c:pt>
                <c:pt idx="122">
                  <c:v>956</c:v>
                </c:pt>
                <c:pt idx="123">
                  <c:v>956.5</c:v>
                </c:pt>
                <c:pt idx="124">
                  <c:v>957</c:v>
                </c:pt>
                <c:pt idx="125">
                  <c:v>957.5</c:v>
                </c:pt>
                <c:pt idx="126">
                  <c:v>958</c:v>
                </c:pt>
                <c:pt idx="127">
                  <c:v>958.5</c:v>
                </c:pt>
                <c:pt idx="128">
                  <c:v>959</c:v>
                </c:pt>
                <c:pt idx="129">
                  <c:v>959.5</c:v>
                </c:pt>
                <c:pt idx="130">
                  <c:v>960</c:v>
                </c:pt>
                <c:pt idx="131">
                  <c:v>960.5</c:v>
                </c:pt>
                <c:pt idx="132">
                  <c:v>961</c:v>
                </c:pt>
                <c:pt idx="133">
                  <c:v>961.5</c:v>
                </c:pt>
                <c:pt idx="134">
                  <c:v>962</c:v>
                </c:pt>
                <c:pt idx="135">
                  <c:v>962.5</c:v>
                </c:pt>
                <c:pt idx="136">
                  <c:v>963</c:v>
                </c:pt>
                <c:pt idx="137">
                  <c:v>963.5</c:v>
                </c:pt>
                <c:pt idx="138">
                  <c:v>964</c:v>
                </c:pt>
                <c:pt idx="139">
                  <c:v>964.5</c:v>
                </c:pt>
                <c:pt idx="140">
                  <c:v>965</c:v>
                </c:pt>
                <c:pt idx="141">
                  <c:v>965.5</c:v>
                </c:pt>
                <c:pt idx="142">
                  <c:v>966</c:v>
                </c:pt>
                <c:pt idx="143">
                  <c:v>966.5</c:v>
                </c:pt>
                <c:pt idx="144">
                  <c:v>967</c:v>
                </c:pt>
                <c:pt idx="145">
                  <c:v>967.5</c:v>
                </c:pt>
                <c:pt idx="146">
                  <c:v>968</c:v>
                </c:pt>
                <c:pt idx="147">
                  <c:v>968.5</c:v>
                </c:pt>
                <c:pt idx="148">
                  <c:v>969</c:v>
                </c:pt>
                <c:pt idx="149">
                  <c:v>969.5</c:v>
                </c:pt>
                <c:pt idx="150">
                  <c:v>970</c:v>
                </c:pt>
                <c:pt idx="151">
                  <c:v>970.5</c:v>
                </c:pt>
                <c:pt idx="152">
                  <c:v>971</c:v>
                </c:pt>
                <c:pt idx="153">
                  <c:v>971.5</c:v>
                </c:pt>
                <c:pt idx="154">
                  <c:v>972</c:v>
                </c:pt>
                <c:pt idx="155">
                  <c:v>972.5</c:v>
                </c:pt>
                <c:pt idx="156">
                  <c:v>973</c:v>
                </c:pt>
                <c:pt idx="157">
                  <c:v>973.5</c:v>
                </c:pt>
                <c:pt idx="158">
                  <c:v>974</c:v>
                </c:pt>
                <c:pt idx="159">
                  <c:v>974.5</c:v>
                </c:pt>
                <c:pt idx="160">
                  <c:v>975</c:v>
                </c:pt>
                <c:pt idx="161">
                  <c:v>975.5</c:v>
                </c:pt>
                <c:pt idx="162">
                  <c:v>976</c:v>
                </c:pt>
                <c:pt idx="163">
                  <c:v>976.5</c:v>
                </c:pt>
                <c:pt idx="164">
                  <c:v>977</c:v>
                </c:pt>
                <c:pt idx="165">
                  <c:v>977.5</c:v>
                </c:pt>
                <c:pt idx="166">
                  <c:v>978</c:v>
                </c:pt>
                <c:pt idx="167">
                  <c:v>978.5</c:v>
                </c:pt>
                <c:pt idx="168">
                  <c:v>979</c:v>
                </c:pt>
                <c:pt idx="169">
                  <c:v>979.5</c:v>
                </c:pt>
                <c:pt idx="170">
                  <c:v>980</c:v>
                </c:pt>
                <c:pt idx="171">
                  <c:v>980.5</c:v>
                </c:pt>
                <c:pt idx="172">
                  <c:v>981</c:v>
                </c:pt>
                <c:pt idx="173">
                  <c:v>981.5</c:v>
                </c:pt>
                <c:pt idx="174">
                  <c:v>982</c:v>
                </c:pt>
                <c:pt idx="175">
                  <c:v>982.5</c:v>
                </c:pt>
                <c:pt idx="176">
                  <c:v>983</c:v>
                </c:pt>
                <c:pt idx="177">
                  <c:v>983.5</c:v>
                </c:pt>
                <c:pt idx="178">
                  <c:v>984</c:v>
                </c:pt>
                <c:pt idx="179">
                  <c:v>984.5</c:v>
                </c:pt>
                <c:pt idx="180">
                  <c:v>985</c:v>
                </c:pt>
                <c:pt idx="181">
                  <c:v>985.5</c:v>
                </c:pt>
                <c:pt idx="182">
                  <c:v>986</c:v>
                </c:pt>
                <c:pt idx="183">
                  <c:v>986.5</c:v>
                </c:pt>
                <c:pt idx="184">
                  <c:v>987</c:v>
                </c:pt>
                <c:pt idx="185">
                  <c:v>987.5</c:v>
                </c:pt>
                <c:pt idx="186">
                  <c:v>988</c:v>
                </c:pt>
                <c:pt idx="187">
                  <c:v>988.5</c:v>
                </c:pt>
                <c:pt idx="188">
                  <c:v>989</c:v>
                </c:pt>
                <c:pt idx="189">
                  <c:v>989.5</c:v>
                </c:pt>
                <c:pt idx="190">
                  <c:v>990</c:v>
                </c:pt>
                <c:pt idx="191">
                  <c:v>990.5</c:v>
                </c:pt>
                <c:pt idx="192">
                  <c:v>991</c:v>
                </c:pt>
                <c:pt idx="193">
                  <c:v>991.5</c:v>
                </c:pt>
                <c:pt idx="194">
                  <c:v>992</c:v>
                </c:pt>
                <c:pt idx="195">
                  <c:v>992.5</c:v>
                </c:pt>
                <c:pt idx="196">
                  <c:v>993</c:v>
                </c:pt>
                <c:pt idx="197">
                  <c:v>993.5</c:v>
                </c:pt>
                <c:pt idx="198">
                  <c:v>994</c:v>
                </c:pt>
                <c:pt idx="199">
                  <c:v>994.5</c:v>
                </c:pt>
                <c:pt idx="200">
                  <c:v>995</c:v>
                </c:pt>
                <c:pt idx="201">
                  <c:v>995.5</c:v>
                </c:pt>
                <c:pt idx="202">
                  <c:v>996</c:v>
                </c:pt>
                <c:pt idx="203">
                  <c:v>996.5</c:v>
                </c:pt>
                <c:pt idx="204">
                  <c:v>997</c:v>
                </c:pt>
                <c:pt idx="205">
                  <c:v>997.5</c:v>
                </c:pt>
                <c:pt idx="206">
                  <c:v>998</c:v>
                </c:pt>
                <c:pt idx="207">
                  <c:v>998.5</c:v>
                </c:pt>
                <c:pt idx="208">
                  <c:v>999</c:v>
                </c:pt>
                <c:pt idx="209">
                  <c:v>999.5</c:v>
                </c:pt>
                <c:pt idx="210">
                  <c:v>1000</c:v>
                </c:pt>
                <c:pt idx="211">
                  <c:v>1000.5</c:v>
                </c:pt>
                <c:pt idx="212">
                  <c:v>1001</c:v>
                </c:pt>
                <c:pt idx="213">
                  <c:v>1001.5</c:v>
                </c:pt>
                <c:pt idx="214">
                  <c:v>1002</c:v>
                </c:pt>
                <c:pt idx="215">
                  <c:v>1002.5</c:v>
                </c:pt>
                <c:pt idx="216">
                  <c:v>1003</c:v>
                </c:pt>
                <c:pt idx="217">
                  <c:v>1003.5</c:v>
                </c:pt>
                <c:pt idx="218">
                  <c:v>1004</c:v>
                </c:pt>
                <c:pt idx="219">
                  <c:v>1004.5</c:v>
                </c:pt>
                <c:pt idx="220">
                  <c:v>1005</c:v>
                </c:pt>
                <c:pt idx="221">
                  <c:v>1005.5</c:v>
                </c:pt>
                <c:pt idx="222">
                  <c:v>1006</c:v>
                </c:pt>
                <c:pt idx="223">
                  <c:v>1006.5</c:v>
                </c:pt>
                <c:pt idx="224">
                  <c:v>1007</c:v>
                </c:pt>
                <c:pt idx="225">
                  <c:v>1007.5</c:v>
                </c:pt>
                <c:pt idx="226">
                  <c:v>1008</c:v>
                </c:pt>
                <c:pt idx="227">
                  <c:v>1008.5</c:v>
                </c:pt>
                <c:pt idx="228">
                  <c:v>1009</c:v>
                </c:pt>
                <c:pt idx="229">
                  <c:v>1009.5</c:v>
                </c:pt>
                <c:pt idx="230">
                  <c:v>1010</c:v>
                </c:pt>
                <c:pt idx="231">
                  <c:v>1010.5</c:v>
                </c:pt>
                <c:pt idx="232">
                  <c:v>1011</c:v>
                </c:pt>
                <c:pt idx="233">
                  <c:v>1011.5</c:v>
                </c:pt>
                <c:pt idx="234">
                  <c:v>1012</c:v>
                </c:pt>
                <c:pt idx="235">
                  <c:v>1012.5</c:v>
                </c:pt>
                <c:pt idx="236">
                  <c:v>1013</c:v>
                </c:pt>
                <c:pt idx="237">
                  <c:v>1013.5</c:v>
                </c:pt>
                <c:pt idx="238">
                  <c:v>1014</c:v>
                </c:pt>
                <c:pt idx="239">
                  <c:v>1014.5</c:v>
                </c:pt>
                <c:pt idx="240">
                  <c:v>1015</c:v>
                </c:pt>
                <c:pt idx="241">
                  <c:v>1015.5</c:v>
                </c:pt>
                <c:pt idx="242">
                  <c:v>1016</c:v>
                </c:pt>
                <c:pt idx="243">
                  <c:v>1016.5</c:v>
                </c:pt>
                <c:pt idx="244">
                  <c:v>1017</c:v>
                </c:pt>
                <c:pt idx="245">
                  <c:v>1017.5</c:v>
                </c:pt>
                <c:pt idx="246">
                  <c:v>1018</c:v>
                </c:pt>
                <c:pt idx="247">
                  <c:v>1018.5</c:v>
                </c:pt>
                <c:pt idx="248">
                  <c:v>1019</c:v>
                </c:pt>
                <c:pt idx="249">
                  <c:v>1019.5</c:v>
                </c:pt>
                <c:pt idx="250">
                  <c:v>1020</c:v>
                </c:pt>
                <c:pt idx="251">
                  <c:v>1020.5</c:v>
                </c:pt>
                <c:pt idx="252">
                  <c:v>1021</c:v>
                </c:pt>
                <c:pt idx="253">
                  <c:v>1021.5</c:v>
                </c:pt>
                <c:pt idx="254">
                  <c:v>1022</c:v>
                </c:pt>
                <c:pt idx="255">
                  <c:v>1022.5</c:v>
                </c:pt>
                <c:pt idx="256">
                  <c:v>1023</c:v>
                </c:pt>
                <c:pt idx="257">
                  <c:v>1023.5</c:v>
                </c:pt>
                <c:pt idx="258">
                  <c:v>1024</c:v>
                </c:pt>
                <c:pt idx="259">
                  <c:v>1024.5</c:v>
                </c:pt>
                <c:pt idx="260">
                  <c:v>1025</c:v>
                </c:pt>
                <c:pt idx="261">
                  <c:v>1025.5</c:v>
                </c:pt>
                <c:pt idx="262">
                  <c:v>1026</c:v>
                </c:pt>
                <c:pt idx="263">
                  <c:v>1026.5</c:v>
                </c:pt>
                <c:pt idx="264">
                  <c:v>1027</c:v>
                </c:pt>
                <c:pt idx="265">
                  <c:v>1027.5</c:v>
                </c:pt>
                <c:pt idx="266">
                  <c:v>1028</c:v>
                </c:pt>
                <c:pt idx="267">
                  <c:v>1028.5</c:v>
                </c:pt>
                <c:pt idx="268">
                  <c:v>1029</c:v>
                </c:pt>
                <c:pt idx="269">
                  <c:v>1029.5</c:v>
                </c:pt>
                <c:pt idx="270">
                  <c:v>1030</c:v>
                </c:pt>
                <c:pt idx="271">
                  <c:v>1030.5</c:v>
                </c:pt>
                <c:pt idx="272">
                  <c:v>1031</c:v>
                </c:pt>
                <c:pt idx="273">
                  <c:v>1031.5</c:v>
                </c:pt>
                <c:pt idx="274">
                  <c:v>1032</c:v>
                </c:pt>
                <c:pt idx="275">
                  <c:v>1032.5</c:v>
                </c:pt>
                <c:pt idx="276">
                  <c:v>1033</c:v>
                </c:pt>
                <c:pt idx="277">
                  <c:v>1033.5</c:v>
                </c:pt>
                <c:pt idx="278">
                  <c:v>1034</c:v>
                </c:pt>
                <c:pt idx="279">
                  <c:v>1034.5</c:v>
                </c:pt>
                <c:pt idx="280">
                  <c:v>1035</c:v>
                </c:pt>
                <c:pt idx="281">
                  <c:v>1035.5</c:v>
                </c:pt>
                <c:pt idx="282">
                  <c:v>1036</c:v>
                </c:pt>
                <c:pt idx="283">
                  <c:v>1036.5</c:v>
                </c:pt>
                <c:pt idx="284">
                  <c:v>1037</c:v>
                </c:pt>
                <c:pt idx="285">
                  <c:v>1037.5</c:v>
                </c:pt>
                <c:pt idx="286">
                  <c:v>1038</c:v>
                </c:pt>
                <c:pt idx="287">
                  <c:v>1038.5</c:v>
                </c:pt>
                <c:pt idx="288">
                  <c:v>1039</c:v>
                </c:pt>
                <c:pt idx="289">
                  <c:v>1039.5</c:v>
                </c:pt>
                <c:pt idx="290">
                  <c:v>1040</c:v>
                </c:pt>
                <c:pt idx="291">
                  <c:v>1040.5</c:v>
                </c:pt>
                <c:pt idx="292">
                  <c:v>1041</c:v>
                </c:pt>
                <c:pt idx="293">
                  <c:v>1041.5</c:v>
                </c:pt>
                <c:pt idx="294">
                  <c:v>1042</c:v>
                </c:pt>
                <c:pt idx="295">
                  <c:v>1042.5</c:v>
                </c:pt>
                <c:pt idx="296">
                  <c:v>1043</c:v>
                </c:pt>
                <c:pt idx="297">
                  <c:v>1043.5</c:v>
                </c:pt>
                <c:pt idx="298">
                  <c:v>1044</c:v>
                </c:pt>
                <c:pt idx="299">
                  <c:v>1044.5</c:v>
                </c:pt>
                <c:pt idx="300">
                  <c:v>1045</c:v>
                </c:pt>
                <c:pt idx="301">
                  <c:v>1045.5</c:v>
                </c:pt>
                <c:pt idx="302">
                  <c:v>1046</c:v>
                </c:pt>
                <c:pt idx="303">
                  <c:v>1046.5</c:v>
                </c:pt>
                <c:pt idx="304">
                  <c:v>1047</c:v>
                </c:pt>
                <c:pt idx="305">
                  <c:v>1047.5</c:v>
                </c:pt>
                <c:pt idx="306">
                  <c:v>1048</c:v>
                </c:pt>
                <c:pt idx="307">
                  <c:v>1048.5</c:v>
                </c:pt>
                <c:pt idx="308">
                  <c:v>1049</c:v>
                </c:pt>
                <c:pt idx="309">
                  <c:v>1049.5</c:v>
                </c:pt>
                <c:pt idx="310">
                  <c:v>1050</c:v>
                </c:pt>
                <c:pt idx="311">
                  <c:v>1050.5</c:v>
                </c:pt>
                <c:pt idx="312">
                  <c:v>1051</c:v>
                </c:pt>
                <c:pt idx="313">
                  <c:v>1051.5</c:v>
                </c:pt>
                <c:pt idx="314">
                  <c:v>1052</c:v>
                </c:pt>
                <c:pt idx="315">
                  <c:v>1052.5</c:v>
                </c:pt>
                <c:pt idx="316">
                  <c:v>1053</c:v>
                </c:pt>
                <c:pt idx="317">
                  <c:v>1053.5</c:v>
                </c:pt>
                <c:pt idx="318">
                  <c:v>1054</c:v>
                </c:pt>
                <c:pt idx="319">
                  <c:v>1054.5</c:v>
                </c:pt>
                <c:pt idx="320">
                  <c:v>1055</c:v>
                </c:pt>
                <c:pt idx="321">
                  <c:v>1055.5</c:v>
                </c:pt>
                <c:pt idx="322">
                  <c:v>1056</c:v>
                </c:pt>
                <c:pt idx="323">
                  <c:v>1056.5</c:v>
                </c:pt>
                <c:pt idx="324">
                  <c:v>1057</c:v>
                </c:pt>
                <c:pt idx="325">
                  <c:v>1057.5</c:v>
                </c:pt>
                <c:pt idx="326">
                  <c:v>1058</c:v>
                </c:pt>
                <c:pt idx="327">
                  <c:v>1058.5</c:v>
                </c:pt>
                <c:pt idx="328">
                  <c:v>1059</c:v>
                </c:pt>
                <c:pt idx="329">
                  <c:v>1059.5</c:v>
                </c:pt>
                <c:pt idx="330">
                  <c:v>1060</c:v>
                </c:pt>
                <c:pt idx="331">
                  <c:v>1060.5</c:v>
                </c:pt>
                <c:pt idx="332">
                  <c:v>1061</c:v>
                </c:pt>
                <c:pt idx="333">
                  <c:v>1061.5</c:v>
                </c:pt>
                <c:pt idx="334">
                  <c:v>1062</c:v>
                </c:pt>
                <c:pt idx="335">
                  <c:v>1062.5</c:v>
                </c:pt>
                <c:pt idx="336">
                  <c:v>1063</c:v>
                </c:pt>
                <c:pt idx="337">
                  <c:v>1063.5</c:v>
                </c:pt>
                <c:pt idx="338">
                  <c:v>1064</c:v>
                </c:pt>
                <c:pt idx="339">
                  <c:v>1064.5</c:v>
                </c:pt>
                <c:pt idx="340">
                  <c:v>1065</c:v>
                </c:pt>
                <c:pt idx="341">
                  <c:v>1065.5</c:v>
                </c:pt>
                <c:pt idx="342">
                  <c:v>1066</c:v>
                </c:pt>
                <c:pt idx="343">
                  <c:v>1066.5</c:v>
                </c:pt>
                <c:pt idx="344">
                  <c:v>1067</c:v>
                </c:pt>
                <c:pt idx="345">
                  <c:v>1067.5</c:v>
                </c:pt>
                <c:pt idx="346">
                  <c:v>1068</c:v>
                </c:pt>
                <c:pt idx="347">
                  <c:v>1068.5</c:v>
                </c:pt>
                <c:pt idx="348">
                  <c:v>1069</c:v>
                </c:pt>
                <c:pt idx="349">
                  <c:v>1069.5</c:v>
                </c:pt>
                <c:pt idx="350">
                  <c:v>1070</c:v>
                </c:pt>
                <c:pt idx="351">
                  <c:v>1070.5</c:v>
                </c:pt>
                <c:pt idx="352">
                  <c:v>1071</c:v>
                </c:pt>
                <c:pt idx="353">
                  <c:v>1071.5</c:v>
                </c:pt>
                <c:pt idx="354">
                  <c:v>1072</c:v>
                </c:pt>
                <c:pt idx="355">
                  <c:v>1072.5</c:v>
                </c:pt>
                <c:pt idx="356">
                  <c:v>1073</c:v>
                </c:pt>
                <c:pt idx="357">
                  <c:v>1073.5</c:v>
                </c:pt>
                <c:pt idx="358">
                  <c:v>1074</c:v>
                </c:pt>
                <c:pt idx="359">
                  <c:v>1074.5</c:v>
                </c:pt>
                <c:pt idx="360">
                  <c:v>1075</c:v>
                </c:pt>
                <c:pt idx="361">
                  <c:v>1075.5</c:v>
                </c:pt>
                <c:pt idx="362">
                  <c:v>1076</c:v>
                </c:pt>
                <c:pt idx="363">
                  <c:v>1076.5</c:v>
                </c:pt>
                <c:pt idx="364">
                  <c:v>1077</c:v>
                </c:pt>
                <c:pt idx="365">
                  <c:v>1077.5</c:v>
                </c:pt>
                <c:pt idx="366">
                  <c:v>1078</c:v>
                </c:pt>
                <c:pt idx="367">
                  <c:v>1078.5</c:v>
                </c:pt>
                <c:pt idx="368">
                  <c:v>1079</c:v>
                </c:pt>
                <c:pt idx="369">
                  <c:v>1079.5</c:v>
                </c:pt>
                <c:pt idx="370">
                  <c:v>1080</c:v>
                </c:pt>
                <c:pt idx="371">
                  <c:v>1080.5</c:v>
                </c:pt>
                <c:pt idx="372">
                  <c:v>1081</c:v>
                </c:pt>
                <c:pt idx="373">
                  <c:v>1081.5</c:v>
                </c:pt>
                <c:pt idx="374">
                  <c:v>1082</c:v>
                </c:pt>
                <c:pt idx="375">
                  <c:v>1082.5</c:v>
                </c:pt>
                <c:pt idx="376">
                  <c:v>1083</c:v>
                </c:pt>
                <c:pt idx="377">
                  <c:v>1083.5</c:v>
                </c:pt>
                <c:pt idx="378">
                  <c:v>1084</c:v>
                </c:pt>
                <c:pt idx="379">
                  <c:v>1084.5</c:v>
                </c:pt>
                <c:pt idx="380">
                  <c:v>1085</c:v>
                </c:pt>
                <c:pt idx="381">
                  <c:v>1085.5</c:v>
                </c:pt>
                <c:pt idx="382">
                  <c:v>1086</c:v>
                </c:pt>
                <c:pt idx="383">
                  <c:v>1086.5</c:v>
                </c:pt>
                <c:pt idx="384">
                  <c:v>1087</c:v>
                </c:pt>
                <c:pt idx="385">
                  <c:v>1087.5</c:v>
                </c:pt>
                <c:pt idx="386">
                  <c:v>1088</c:v>
                </c:pt>
                <c:pt idx="387">
                  <c:v>1088.5</c:v>
                </c:pt>
                <c:pt idx="388">
                  <c:v>1089</c:v>
                </c:pt>
                <c:pt idx="389">
                  <c:v>1089.5</c:v>
                </c:pt>
                <c:pt idx="390">
                  <c:v>1090</c:v>
                </c:pt>
                <c:pt idx="391">
                  <c:v>1090.5</c:v>
                </c:pt>
                <c:pt idx="392">
                  <c:v>1091</c:v>
                </c:pt>
                <c:pt idx="393">
                  <c:v>1091.5</c:v>
                </c:pt>
                <c:pt idx="394">
                  <c:v>1092</c:v>
                </c:pt>
                <c:pt idx="395">
                  <c:v>1092.5</c:v>
                </c:pt>
                <c:pt idx="396">
                  <c:v>1093</c:v>
                </c:pt>
                <c:pt idx="397">
                  <c:v>1093.5</c:v>
                </c:pt>
                <c:pt idx="398">
                  <c:v>1094</c:v>
                </c:pt>
                <c:pt idx="399">
                  <c:v>1094.5</c:v>
                </c:pt>
                <c:pt idx="400">
                  <c:v>1095</c:v>
                </c:pt>
                <c:pt idx="401">
                  <c:v>1095.5</c:v>
                </c:pt>
                <c:pt idx="402">
                  <c:v>1096</c:v>
                </c:pt>
                <c:pt idx="403">
                  <c:v>1096.5</c:v>
                </c:pt>
                <c:pt idx="404">
                  <c:v>1097</c:v>
                </c:pt>
                <c:pt idx="405">
                  <c:v>1097.5</c:v>
                </c:pt>
                <c:pt idx="406">
                  <c:v>1098</c:v>
                </c:pt>
                <c:pt idx="407">
                  <c:v>1098.5</c:v>
                </c:pt>
                <c:pt idx="408">
                  <c:v>1099</c:v>
                </c:pt>
                <c:pt idx="409">
                  <c:v>1099.5</c:v>
                </c:pt>
                <c:pt idx="410">
                  <c:v>1100</c:v>
                </c:pt>
                <c:pt idx="411">
                  <c:v>1100.5</c:v>
                </c:pt>
                <c:pt idx="412">
                  <c:v>1101</c:v>
                </c:pt>
                <c:pt idx="413">
                  <c:v>1101.5</c:v>
                </c:pt>
                <c:pt idx="414">
                  <c:v>1102</c:v>
                </c:pt>
                <c:pt idx="415">
                  <c:v>1102.5</c:v>
                </c:pt>
                <c:pt idx="416">
                  <c:v>1103</c:v>
                </c:pt>
                <c:pt idx="417">
                  <c:v>1103.5</c:v>
                </c:pt>
                <c:pt idx="418">
                  <c:v>1104</c:v>
                </c:pt>
                <c:pt idx="419">
                  <c:v>1104.5</c:v>
                </c:pt>
                <c:pt idx="420">
                  <c:v>1105</c:v>
                </c:pt>
                <c:pt idx="421">
                  <c:v>1105.5</c:v>
                </c:pt>
                <c:pt idx="422">
                  <c:v>1106</c:v>
                </c:pt>
                <c:pt idx="423">
                  <c:v>1106.5</c:v>
                </c:pt>
                <c:pt idx="424">
                  <c:v>1107</c:v>
                </c:pt>
                <c:pt idx="425">
                  <c:v>1107.5</c:v>
                </c:pt>
                <c:pt idx="426">
                  <c:v>1108</c:v>
                </c:pt>
                <c:pt idx="427">
                  <c:v>1108.5</c:v>
                </c:pt>
                <c:pt idx="428">
                  <c:v>1109</c:v>
                </c:pt>
                <c:pt idx="429">
                  <c:v>1109.5</c:v>
                </c:pt>
                <c:pt idx="430">
                  <c:v>1110</c:v>
                </c:pt>
                <c:pt idx="431">
                  <c:v>1110.5</c:v>
                </c:pt>
                <c:pt idx="432">
                  <c:v>1111</c:v>
                </c:pt>
                <c:pt idx="433">
                  <c:v>1111.5</c:v>
                </c:pt>
                <c:pt idx="434">
                  <c:v>1112</c:v>
                </c:pt>
                <c:pt idx="435">
                  <c:v>1112.5</c:v>
                </c:pt>
                <c:pt idx="436">
                  <c:v>1113</c:v>
                </c:pt>
                <c:pt idx="437">
                  <c:v>1113.5</c:v>
                </c:pt>
                <c:pt idx="438">
                  <c:v>1114</c:v>
                </c:pt>
                <c:pt idx="439">
                  <c:v>1114.5</c:v>
                </c:pt>
                <c:pt idx="440">
                  <c:v>1115</c:v>
                </c:pt>
                <c:pt idx="441">
                  <c:v>1115.5</c:v>
                </c:pt>
                <c:pt idx="442">
                  <c:v>1116</c:v>
                </c:pt>
                <c:pt idx="443">
                  <c:v>1116.5</c:v>
                </c:pt>
                <c:pt idx="444">
                  <c:v>1117</c:v>
                </c:pt>
                <c:pt idx="445">
                  <c:v>1117.5</c:v>
                </c:pt>
                <c:pt idx="446">
                  <c:v>1118</c:v>
                </c:pt>
                <c:pt idx="447">
                  <c:v>1118.5</c:v>
                </c:pt>
                <c:pt idx="448">
                  <c:v>1119</c:v>
                </c:pt>
                <c:pt idx="449">
                  <c:v>1119.5</c:v>
                </c:pt>
                <c:pt idx="450">
                  <c:v>1120</c:v>
                </c:pt>
                <c:pt idx="451">
                  <c:v>1120.5</c:v>
                </c:pt>
                <c:pt idx="452">
                  <c:v>1121</c:v>
                </c:pt>
                <c:pt idx="453">
                  <c:v>1121.5</c:v>
                </c:pt>
                <c:pt idx="454">
                  <c:v>1122</c:v>
                </c:pt>
                <c:pt idx="455">
                  <c:v>1122.5</c:v>
                </c:pt>
                <c:pt idx="456">
                  <c:v>1123</c:v>
                </c:pt>
                <c:pt idx="457">
                  <c:v>1123.5</c:v>
                </c:pt>
                <c:pt idx="458">
                  <c:v>1124</c:v>
                </c:pt>
                <c:pt idx="459">
                  <c:v>1124.5</c:v>
                </c:pt>
                <c:pt idx="460">
                  <c:v>1125</c:v>
                </c:pt>
                <c:pt idx="461">
                  <c:v>1125.5</c:v>
                </c:pt>
                <c:pt idx="462">
                  <c:v>1126</c:v>
                </c:pt>
                <c:pt idx="463">
                  <c:v>1126.5</c:v>
                </c:pt>
                <c:pt idx="464">
                  <c:v>1127</c:v>
                </c:pt>
                <c:pt idx="465">
                  <c:v>1127.5</c:v>
                </c:pt>
                <c:pt idx="466">
                  <c:v>1128</c:v>
                </c:pt>
                <c:pt idx="467">
                  <c:v>1128.5</c:v>
                </c:pt>
                <c:pt idx="468">
                  <c:v>1129</c:v>
                </c:pt>
                <c:pt idx="469">
                  <c:v>1129.5</c:v>
                </c:pt>
                <c:pt idx="470">
                  <c:v>1130</c:v>
                </c:pt>
                <c:pt idx="471">
                  <c:v>1130.5</c:v>
                </c:pt>
                <c:pt idx="472">
                  <c:v>1131</c:v>
                </c:pt>
                <c:pt idx="473">
                  <c:v>1131.5</c:v>
                </c:pt>
                <c:pt idx="474">
                  <c:v>1132</c:v>
                </c:pt>
                <c:pt idx="475">
                  <c:v>1132.5</c:v>
                </c:pt>
                <c:pt idx="476">
                  <c:v>1133</c:v>
                </c:pt>
                <c:pt idx="477">
                  <c:v>1133.5</c:v>
                </c:pt>
                <c:pt idx="478">
                  <c:v>1134</c:v>
                </c:pt>
                <c:pt idx="479">
                  <c:v>1134.5</c:v>
                </c:pt>
                <c:pt idx="480">
                  <c:v>1135</c:v>
                </c:pt>
                <c:pt idx="481">
                  <c:v>1135.5</c:v>
                </c:pt>
                <c:pt idx="482">
                  <c:v>1136</c:v>
                </c:pt>
                <c:pt idx="483">
                  <c:v>1136.5</c:v>
                </c:pt>
                <c:pt idx="484">
                  <c:v>1137</c:v>
                </c:pt>
                <c:pt idx="485">
                  <c:v>1137.5</c:v>
                </c:pt>
                <c:pt idx="486">
                  <c:v>1138</c:v>
                </c:pt>
                <c:pt idx="487">
                  <c:v>1138.5</c:v>
                </c:pt>
                <c:pt idx="488">
                  <c:v>1139</c:v>
                </c:pt>
                <c:pt idx="489">
                  <c:v>1139.5</c:v>
                </c:pt>
                <c:pt idx="490">
                  <c:v>1140</c:v>
                </c:pt>
                <c:pt idx="491">
                  <c:v>1140.5</c:v>
                </c:pt>
                <c:pt idx="492">
                  <c:v>1141</c:v>
                </c:pt>
                <c:pt idx="493">
                  <c:v>1141.5</c:v>
                </c:pt>
                <c:pt idx="494">
                  <c:v>1142</c:v>
                </c:pt>
                <c:pt idx="495">
                  <c:v>1142.5</c:v>
                </c:pt>
                <c:pt idx="496">
                  <c:v>1143</c:v>
                </c:pt>
                <c:pt idx="497">
                  <c:v>1143.5</c:v>
                </c:pt>
                <c:pt idx="498">
                  <c:v>1144</c:v>
                </c:pt>
                <c:pt idx="499">
                  <c:v>1144.5</c:v>
                </c:pt>
                <c:pt idx="500">
                  <c:v>1145</c:v>
                </c:pt>
                <c:pt idx="501">
                  <c:v>1145.5</c:v>
                </c:pt>
                <c:pt idx="502">
                  <c:v>1146</c:v>
                </c:pt>
                <c:pt idx="503">
                  <c:v>1146.5</c:v>
                </c:pt>
                <c:pt idx="504">
                  <c:v>1147</c:v>
                </c:pt>
                <c:pt idx="505">
                  <c:v>1147.5</c:v>
                </c:pt>
                <c:pt idx="506">
                  <c:v>1148</c:v>
                </c:pt>
                <c:pt idx="507">
                  <c:v>1148.5</c:v>
                </c:pt>
                <c:pt idx="508">
                  <c:v>1149</c:v>
                </c:pt>
                <c:pt idx="509">
                  <c:v>1149.5</c:v>
                </c:pt>
                <c:pt idx="510">
                  <c:v>1150</c:v>
                </c:pt>
                <c:pt idx="511">
                  <c:v>1150.5</c:v>
                </c:pt>
                <c:pt idx="512">
                  <c:v>1151</c:v>
                </c:pt>
                <c:pt idx="513">
                  <c:v>1151.5</c:v>
                </c:pt>
                <c:pt idx="514">
                  <c:v>1152</c:v>
                </c:pt>
                <c:pt idx="515">
                  <c:v>1152.5</c:v>
                </c:pt>
                <c:pt idx="516">
                  <c:v>1153</c:v>
                </c:pt>
                <c:pt idx="517">
                  <c:v>1153.5</c:v>
                </c:pt>
                <c:pt idx="518">
                  <c:v>1154</c:v>
                </c:pt>
                <c:pt idx="519">
                  <c:v>1154.5</c:v>
                </c:pt>
                <c:pt idx="520">
                  <c:v>1155</c:v>
                </c:pt>
                <c:pt idx="521">
                  <c:v>1155.5</c:v>
                </c:pt>
                <c:pt idx="522">
                  <c:v>1156</c:v>
                </c:pt>
                <c:pt idx="523">
                  <c:v>1156.5</c:v>
                </c:pt>
                <c:pt idx="524">
                  <c:v>1157</c:v>
                </c:pt>
                <c:pt idx="525">
                  <c:v>1157.5</c:v>
                </c:pt>
                <c:pt idx="526">
                  <c:v>1158</c:v>
                </c:pt>
                <c:pt idx="527">
                  <c:v>1158.5</c:v>
                </c:pt>
                <c:pt idx="528">
                  <c:v>1159</c:v>
                </c:pt>
                <c:pt idx="529">
                  <c:v>1159.5</c:v>
                </c:pt>
                <c:pt idx="530">
                  <c:v>1160</c:v>
                </c:pt>
                <c:pt idx="531">
                  <c:v>1160.5</c:v>
                </c:pt>
                <c:pt idx="532">
                  <c:v>1161</c:v>
                </c:pt>
                <c:pt idx="533">
                  <c:v>1161.5</c:v>
                </c:pt>
                <c:pt idx="534">
                  <c:v>1162</c:v>
                </c:pt>
                <c:pt idx="535">
                  <c:v>1162.5</c:v>
                </c:pt>
                <c:pt idx="536">
                  <c:v>1163</c:v>
                </c:pt>
                <c:pt idx="537">
                  <c:v>1163.5</c:v>
                </c:pt>
                <c:pt idx="538">
                  <c:v>1164</c:v>
                </c:pt>
                <c:pt idx="539">
                  <c:v>1164.5</c:v>
                </c:pt>
                <c:pt idx="540">
                  <c:v>1165</c:v>
                </c:pt>
                <c:pt idx="541">
                  <c:v>1165.5</c:v>
                </c:pt>
                <c:pt idx="542">
                  <c:v>1166</c:v>
                </c:pt>
                <c:pt idx="543">
                  <c:v>1166.5</c:v>
                </c:pt>
                <c:pt idx="544">
                  <c:v>1167</c:v>
                </c:pt>
                <c:pt idx="545">
                  <c:v>1167.5</c:v>
                </c:pt>
                <c:pt idx="546">
                  <c:v>1168</c:v>
                </c:pt>
                <c:pt idx="547">
                  <c:v>1168.5</c:v>
                </c:pt>
                <c:pt idx="548">
                  <c:v>1169</c:v>
                </c:pt>
                <c:pt idx="549">
                  <c:v>1169.5</c:v>
                </c:pt>
                <c:pt idx="550">
                  <c:v>1170</c:v>
                </c:pt>
                <c:pt idx="551">
                  <c:v>1170.5</c:v>
                </c:pt>
                <c:pt idx="552">
                  <c:v>1171</c:v>
                </c:pt>
                <c:pt idx="553">
                  <c:v>1171.5</c:v>
                </c:pt>
                <c:pt idx="554">
                  <c:v>1172</c:v>
                </c:pt>
                <c:pt idx="555">
                  <c:v>1172.5</c:v>
                </c:pt>
                <c:pt idx="556">
                  <c:v>1173</c:v>
                </c:pt>
                <c:pt idx="557">
                  <c:v>1173.5</c:v>
                </c:pt>
                <c:pt idx="558">
                  <c:v>1174</c:v>
                </c:pt>
                <c:pt idx="559">
                  <c:v>1174.5</c:v>
                </c:pt>
                <c:pt idx="560">
                  <c:v>1175</c:v>
                </c:pt>
                <c:pt idx="561">
                  <c:v>1175.5</c:v>
                </c:pt>
                <c:pt idx="562">
                  <c:v>1176</c:v>
                </c:pt>
                <c:pt idx="563">
                  <c:v>1176.5</c:v>
                </c:pt>
                <c:pt idx="564">
                  <c:v>1177</c:v>
                </c:pt>
                <c:pt idx="565">
                  <c:v>1177.5</c:v>
                </c:pt>
                <c:pt idx="566">
                  <c:v>1178</c:v>
                </c:pt>
                <c:pt idx="567">
                  <c:v>1178.5</c:v>
                </c:pt>
                <c:pt idx="568">
                  <c:v>1179</c:v>
                </c:pt>
                <c:pt idx="569">
                  <c:v>1179.5</c:v>
                </c:pt>
                <c:pt idx="570">
                  <c:v>1180</c:v>
                </c:pt>
                <c:pt idx="571">
                  <c:v>1180.5</c:v>
                </c:pt>
                <c:pt idx="572">
                  <c:v>1181</c:v>
                </c:pt>
                <c:pt idx="573">
                  <c:v>1181.5</c:v>
                </c:pt>
                <c:pt idx="574">
                  <c:v>1182</c:v>
                </c:pt>
                <c:pt idx="575">
                  <c:v>1182.5</c:v>
                </c:pt>
                <c:pt idx="576">
                  <c:v>1183</c:v>
                </c:pt>
                <c:pt idx="577">
                  <c:v>1183.5</c:v>
                </c:pt>
                <c:pt idx="578">
                  <c:v>1184</c:v>
                </c:pt>
                <c:pt idx="579">
                  <c:v>1184.5</c:v>
                </c:pt>
                <c:pt idx="580">
                  <c:v>1185</c:v>
                </c:pt>
                <c:pt idx="581">
                  <c:v>1185.5</c:v>
                </c:pt>
                <c:pt idx="582">
                  <c:v>1186</c:v>
                </c:pt>
                <c:pt idx="583">
                  <c:v>1186.5</c:v>
                </c:pt>
                <c:pt idx="584">
                  <c:v>1187</c:v>
                </c:pt>
                <c:pt idx="585">
                  <c:v>1187.5</c:v>
                </c:pt>
                <c:pt idx="586">
                  <c:v>1188</c:v>
                </c:pt>
                <c:pt idx="587">
                  <c:v>1188.5</c:v>
                </c:pt>
                <c:pt idx="588">
                  <c:v>1189</c:v>
                </c:pt>
                <c:pt idx="589">
                  <c:v>1189.5</c:v>
                </c:pt>
                <c:pt idx="590">
                  <c:v>1190</c:v>
                </c:pt>
                <c:pt idx="591">
                  <c:v>1190.5</c:v>
                </c:pt>
                <c:pt idx="592">
                  <c:v>1191</c:v>
                </c:pt>
                <c:pt idx="593">
                  <c:v>1191.5</c:v>
                </c:pt>
                <c:pt idx="594">
                  <c:v>1192</c:v>
                </c:pt>
                <c:pt idx="595">
                  <c:v>1192.5</c:v>
                </c:pt>
                <c:pt idx="596">
                  <c:v>1193</c:v>
                </c:pt>
                <c:pt idx="597">
                  <c:v>1193.5</c:v>
                </c:pt>
                <c:pt idx="598">
                  <c:v>1194</c:v>
                </c:pt>
                <c:pt idx="599">
                  <c:v>1194.5</c:v>
                </c:pt>
                <c:pt idx="600">
                  <c:v>1195</c:v>
                </c:pt>
                <c:pt idx="601">
                  <c:v>1195.5</c:v>
                </c:pt>
                <c:pt idx="602">
                  <c:v>1196</c:v>
                </c:pt>
                <c:pt idx="603">
                  <c:v>1196.5</c:v>
                </c:pt>
                <c:pt idx="604">
                  <c:v>1197</c:v>
                </c:pt>
                <c:pt idx="605">
                  <c:v>1197.5</c:v>
                </c:pt>
                <c:pt idx="606">
                  <c:v>1198</c:v>
                </c:pt>
                <c:pt idx="607">
                  <c:v>1198.5</c:v>
                </c:pt>
                <c:pt idx="608">
                  <c:v>1199</c:v>
                </c:pt>
                <c:pt idx="609">
                  <c:v>1199.5</c:v>
                </c:pt>
                <c:pt idx="610">
                  <c:v>1200</c:v>
                </c:pt>
                <c:pt idx="611">
                  <c:v>1200.5</c:v>
                </c:pt>
                <c:pt idx="612">
                  <c:v>1201</c:v>
                </c:pt>
                <c:pt idx="613">
                  <c:v>1201.5</c:v>
                </c:pt>
                <c:pt idx="614">
                  <c:v>1202</c:v>
                </c:pt>
                <c:pt idx="615">
                  <c:v>1202.5</c:v>
                </c:pt>
                <c:pt idx="616">
                  <c:v>1203</c:v>
                </c:pt>
                <c:pt idx="617">
                  <c:v>1203.5</c:v>
                </c:pt>
                <c:pt idx="618">
                  <c:v>1204</c:v>
                </c:pt>
                <c:pt idx="619">
                  <c:v>1204.5</c:v>
                </c:pt>
                <c:pt idx="620">
                  <c:v>1205</c:v>
                </c:pt>
                <c:pt idx="621">
                  <c:v>1205.5</c:v>
                </c:pt>
                <c:pt idx="622">
                  <c:v>1206</c:v>
                </c:pt>
                <c:pt idx="623">
                  <c:v>1206.5</c:v>
                </c:pt>
                <c:pt idx="624">
                  <c:v>1207</c:v>
                </c:pt>
                <c:pt idx="625">
                  <c:v>1207.5</c:v>
                </c:pt>
                <c:pt idx="626">
                  <c:v>1208</c:v>
                </c:pt>
                <c:pt idx="627">
                  <c:v>1208.5</c:v>
                </c:pt>
                <c:pt idx="628">
                  <c:v>1209</c:v>
                </c:pt>
                <c:pt idx="629">
                  <c:v>1209.5</c:v>
                </c:pt>
                <c:pt idx="630">
                  <c:v>1210</c:v>
                </c:pt>
                <c:pt idx="631">
                  <c:v>1210.5</c:v>
                </c:pt>
                <c:pt idx="632">
                  <c:v>1211</c:v>
                </c:pt>
                <c:pt idx="633">
                  <c:v>1211.5</c:v>
                </c:pt>
                <c:pt idx="634">
                  <c:v>1212</c:v>
                </c:pt>
                <c:pt idx="635">
                  <c:v>1212.5</c:v>
                </c:pt>
                <c:pt idx="636">
                  <c:v>1213</c:v>
                </c:pt>
                <c:pt idx="637">
                  <c:v>1213.5</c:v>
                </c:pt>
                <c:pt idx="638">
                  <c:v>1214</c:v>
                </c:pt>
                <c:pt idx="639">
                  <c:v>1214.5</c:v>
                </c:pt>
                <c:pt idx="640">
                  <c:v>1215</c:v>
                </c:pt>
                <c:pt idx="641">
                  <c:v>1215.5</c:v>
                </c:pt>
                <c:pt idx="642">
                  <c:v>1216</c:v>
                </c:pt>
                <c:pt idx="643">
                  <c:v>1216.5</c:v>
                </c:pt>
                <c:pt idx="644">
                  <c:v>1217</c:v>
                </c:pt>
                <c:pt idx="645">
                  <c:v>1217.5</c:v>
                </c:pt>
                <c:pt idx="646">
                  <c:v>1218</c:v>
                </c:pt>
                <c:pt idx="647">
                  <c:v>1218.5</c:v>
                </c:pt>
                <c:pt idx="648">
                  <c:v>1219</c:v>
                </c:pt>
                <c:pt idx="649">
                  <c:v>1219.5</c:v>
                </c:pt>
                <c:pt idx="650">
                  <c:v>1220</c:v>
                </c:pt>
                <c:pt idx="651">
                  <c:v>1220.5</c:v>
                </c:pt>
                <c:pt idx="652">
                  <c:v>1221</c:v>
                </c:pt>
                <c:pt idx="653">
                  <c:v>1221.5</c:v>
                </c:pt>
                <c:pt idx="654">
                  <c:v>1222</c:v>
                </c:pt>
                <c:pt idx="655">
                  <c:v>1222.5</c:v>
                </c:pt>
                <c:pt idx="656">
                  <c:v>1223</c:v>
                </c:pt>
                <c:pt idx="657">
                  <c:v>1223.5</c:v>
                </c:pt>
                <c:pt idx="658">
                  <c:v>1224</c:v>
                </c:pt>
                <c:pt idx="659">
                  <c:v>1224.5</c:v>
                </c:pt>
                <c:pt idx="660">
                  <c:v>1225</c:v>
                </c:pt>
                <c:pt idx="661">
                  <c:v>1225.5</c:v>
                </c:pt>
                <c:pt idx="662">
                  <c:v>1226</c:v>
                </c:pt>
                <c:pt idx="663">
                  <c:v>1226.5</c:v>
                </c:pt>
                <c:pt idx="664">
                  <c:v>1227</c:v>
                </c:pt>
                <c:pt idx="665">
                  <c:v>1227.5</c:v>
                </c:pt>
                <c:pt idx="666">
                  <c:v>1228</c:v>
                </c:pt>
                <c:pt idx="667">
                  <c:v>1228.5</c:v>
                </c:pt>
                <c:pt idx="668">
                  <c:v>1229</c:v>
                </c:pt>
                <c:pt idx="669">
                  <c:v>1229.5</c:v>
                </c:pt>
                <c:pt idx="670">
                  <c:v>1230</c:v>
                </c:pt>
                <c:pt idx="671">
                  <c:v>1250</c:v>
                </c:pt>
              </c:numCache>
            </c:numRef>
          </c:xVal>
          <c:yVal>
            <c:numRef>
              <c:f>'Mead-Elevation-Area'!$C$5:$C$676</c:f>
              <c:numCache>
                <c:formatCode>_(* #,##0_);_(* \(#,##0\);_(* "-"??_);_(@_)</c:formatCode>
                <c:ptCount val="672"/>
                <c:pt idx="0">
                  <c:v>2035000</c:v>
                </c:pt>
                <c:pt idx="1">
                  <c:v>2050111</c:v>
                </c:pt>
                <c:pt idx="2">
                  <c:v>2065270</c:v>
                </c:pt>
                <c:pt idx="3">
                  <c:v>2080479</c:v>
                </c:pt>
                <c:pt idx="4">
                  <c:v>2095736</c:v>
                </c:pt>
                <c:pt idx="5">
                  <c:v>2111043</c:v>
                </c:pt>
                <c:pt idx="6">
                  <c:v>2126397.9999998999</c:v>
                </c:pt>
                <c:pt idx="7">
                  <c:v>2141803</c:v>
                </c:pt>
                <c:pt idx="8">
                  <c:v>2157257</c:v>
                </c:pt>
                <c:pt idx="9">
                  <c:v>2172759</c:v>
                </c:pt>
                <c:pt idx="10">
                  <c:v>2188311</c:v>
                </c:pt>
                <c:pt idx="11">
                  <c:v>2203917</c:v>
                </c:pt>
                <c:pt idx="12">
                  <c:v>2219584</c:v>
                </c:pt>
                <c:pt idx="13">
                  <c:v>2235311</c:v>
                </c:pt>
                <c:pt idx="14">
                  <c:v>2251098</c:v>
                </c:pt>
                <c:pt idx="15">
                  <c:v>2266946</c:v>
                </c:pt>
                <c:pt idx="16">
                  <c:v>2282854</c:v>
                </c:pt>
                <c:pt idx="17">
                  <c:v>2298822</c:v>
                </c:pt>
                <c:pt idx="18">
                  <c:v>2314851</c:v>
                </c:pt>
                <c:pt idx="19">
                  <c:v>2330939</c:v>
                </c:pt>
                <c:pt idx="20">
                  <c:v>2347088</c:v>
                </c:pt>
                <c:pt idx="21">
                  <c:v>2363298</c:v>
                </c:pt>
                <c:pt idx="22">
                  <c:v>2379568</c:v>
                </c:pt>
                <c:pt idx="23">
                  <c:v>2395898</c:v>
                </c:pt>
                <c:pt idx="24">
                  <c:v>2412288</c:v>
                </c:pt>
                <c:pt idx="25">
                  <c:v>2428739</c:v>
                </c:pt>
                <c:pt idx="26">
                  <c:v>2445250</c:v>
                </c:pt>
                <c:pt idx="27">
                  <c:v>2461821</c:v>
                </c:pt>
                <c:pt idx="28">
                  <c:v>2478452</c:v>
                </c:pt>
                <c:pt idx="29">
                  <c:v>2495144</c:v>
                </c:pt>
                <c:pt idx="30">
                  <c:v>2511896</c:v>
                </c:pt>
                <c:pt idx="31">
                  <c:v>2528708</c:v>
                </c:pt>
                <c:pt idx="32">
                  <c:v>2545579</c:v>
                </c:pt>
                <c:pt idx="33">
                  <c:v>2562509</c:v>
                </c:pt>
                <c:pt idx="34">
                  <c:v>2579497</c:v>
                </c:pt>
                <c:pt idx="35">
                  <c:v>2596545</c:v>
                </c:pt>
                <c:pt idx="36">
                  <c:v>2613651</c:v>
                </c:pt>
                <c:pt idx="37">
                  <c:v>2630817</c:v>
                </c:pt>
                <c:pt idx="38">
                  <c:v>2648041</c:v>
                </c:pt>
                <c:pt idx="39">
                  <c:v>2665324</c:v>
                </c:pt>
                <c:pt idx="40">
                  <c:v>2682667</c:v>
                </c:pt>
                <c:pt idx="41">
                  <c:v>2700068</c:v>
                </c:pt>
                <c:pt idx="42">
                  <c:v>2717528</c:v>
                </c:pt>
                <c:pt idx="43">
                  <c:v>2735047</c:v>
                </c:pt>
                <c:pt idx="44">
                  <c:v>2752625</c:v>
                </c:pt>
                <c:pt idx="45">
                  <c:v>2770262</c:v>
                </c:pt>
                <c:pt idx="46">
                  <c:v>2787958</c:v>
                </c:pt>
                <c:pt idx="47">
                  <c:v>2805713</c:v>
                </c:pt>
                <c:pt idx="48">
                  <c:v>2823526</c:v>
                </c:pt>
                <c:pt idx="49">
                  <c:v>2841399</c:v>
                </c:pt>
                <c:pt idx="50">
                  <c:v>2859331.000002</c:v>
                </c:pt>
                <c:pt idx="51">
                  <c:v>2877319.999998</c:v>
                </c:pt>
                <c:pt idx="52">
                  <c:v>2895367.000004</c:v>
                </c:pt>
                <c:pt idx="53">
                  <c:v>2913470.999998</c:v>
                </c:pt>
                <c:pt idx="54">
                  <c:v>2931630.999998</c:v>
                </c:pt>
                <c:pt idx="55">
                  <c:v>2949849.0000010002</c:v>
                </c:pt>
                <c:pt idx="56">
                  <c:v>2968123.000002</c:v>
                </c:pt>
                <c:pt idx="57">
                  <c:v>2986454.9999970002</c:v>
                </c:pt>
                <c:pt idx="58">
                  <c:v>3004843.999996</c:v>
                </c:pt>
                <c:pt idx="59">
                  <c:v>3023290</c:v>
                </c:pt>
                <c:pt idx="60">
                  <c:v>3041793</c:v>
                </c:pt>
                <c:pt idx="61">
                  <c:v>3060353</c:v>
                </c:pt>
                <c:pt idx="62">
                  <c:v>3078970</c:v>
                </c:pt>
                <c:pt idx="63">
                  <c:v>3097644</c:v>
                </c:pt>
                <c:pt idx="64">
                  <c:v>3116375</c:v>
                </c:pt>
                <c:pt idx="65">
                  <c:v>3135163</c:v>
                </c:pt>
                <c:pt idx="66">
                  <c:v>3154008</c:v>
                </c:pt>
                <c:pt idx="67">
                  <c:v>3172910</c:v>
                </c:pt>
                <c:pt idx="68">
                  <c:v>3191869</c:v>
                </c:pt>
                <c:pt idx="69">
                  <c:v>3210885</c:v>
                </c:pt>
                <c:pt idx="70">
                  <c:v>3229958</c:v>
                </c:pt>
                <c:pt idx="71">
                  <c:v>3249089</c:v>
                </c:pt>
                <c:pt idx="72">
                  <c:v>3268278</c:v>
                </c:pt>
                <c:pt idx="73">
                  <c:v>3287525</c:v>
                </c:pt>
                <c:pt idx="74">
                  <c:v>3306830</c:v>
                </c:pt>
                <c:pt idx="75">
                  <c:v>3326193</c:v>
                </c:pt>
                <c:pt idx="76">
                  <c:v>3345614</c:v>
                </c:pt>
                <c:pt idx="77">
                  <c:v>3365093</c:v>
                </c:pt>
                <c:pt idx="78">
                  <c:v>3384630</c:v>
                </c:pt>
                <c:pt idx="79">
                  <c:v>3404226</c:v>
                </c:pt>
                <c:pt idx="80">
                  <c:v>3423879</c:v>
                </c:pt>
                <c:pt idx="81">
                  <c:v>3443591</c:v>
                </c:pt>
                <c:pt idx="82">
                  <c:v>3463360</c:v>
                </c:pt>
                <c:pt idx="83">
                  <c:v>3483188</c:v>
                </c:pt>
                <c:pt idx="84">
                  <c:v>3503074</c:v>
                </c:pt>
                <c:pt idx="85">
                  <c:v>3523018</c:v>
                </c:pt>
                <c:pt idx="86">
                  <c:v>3543019</c:v>
                </c:pt>
                <c:pt idx="87">
                  <c:v>3563079</c:v>
                </c:pt>
                <c:pt idx="88">
                  <c:v>3583198</c:v>
                </c:pt>
                <c:pt idx="89">
                  <c:v>3603374</c:v>
                </c:pt>
                <c:pt idx="90">
                  <c:v>3623608</c:v>
                </c:pt>
                <c:pt idx="91">
                  <c:v>3643900</c:v>
                </c:pt>
                <c:pt idx="92">
                  <c:v>3664251</c:v>
                </c:pt>
                <c:pt idx="93">
                  <c:v>3684661</c:v>
                </c:pt>
                <c:pt idx="94">
                  <c:v>3705130</c:v>
                </c:pt>
                <c:pt idx="95">
                  <c:v>3725656</c:v>
                </c:pt>
                <c:pt idx="96">
                  <c:v>3746242</c:v>
                </c:pt>
                <c:pt idx="97">
                  <c:v>3766886</c:v>
                </c:pt>
                <c:pt idx="98">
                  <c:v>3787588</c:v>
                </c:pt>
                <c:pt idx="99">
                  <c:v>3808349</c:v>
                </c:pt>
                <c:pt idx="100">
                  <c:v>3829169</c:v>
                </c:pt>
                <c:pt idx="101">
                  <c:v>3850047</c:v>
                </c:pt>
                <c:pt idx="102">
                  <c:v>3870984</c:v>
                </c:pt>
                <c:pt idx="103">
                  <c:v>3891979</c:v>
                </c:pt>
                <c:pt idx="104">
                  <c:v>3913033</c:v>
                </c:pt>
                <c:pt idx="105">
                  <c:v>3934145</c:v>
                </c:pt>
                <c:pt idx="106">
                  <c:v>3955316</c:v>
                </c:pt>
                <c:pt idx="107">
                  <c:v>3976545</c:v>
                </c:pt>
                <c:pt idx="108">
                  <c:v>3997834</c:v>
                </c:pt>
                <c:pt idx="109">
                  <c:v>4019180</c:v>
                </c:pt>
                <c:pt idx="110">
                  <c:v>4040585</c:v>
                </c:pt>
                <c:pt idx="111">
                  <c:v>4062052</c:v>
                </c:pt>
                <c:pt idx="112">
                  <c:v>4083584</c:v>
                </c:pt>
                <c:pt idx="113">
                  <c:v>4105180</c:v>
                </c:pt>
                <c:pt idx="114">
                  <c:v>4126842</c:v>
                </c:pt>
                <c:pt idx="115">
                  <c:v>4148568</c:v>
                </c:pt>
                <c:pt idx="116">
                  <c:v>4170358</c:v>
                </c:pt>
                <c:pt idx="117">
                  <c:v>4192214</c:v>
                </c:pt>
                <c:pt idx="118">
                  <c:v>4214135</c:v>
                </c:pt>
                <c:pt idx="119">
                  <c:v>4236120</c:v>
                </c:pt>
                <c:pt idx="120">
                  <c:v>4258170</c:v>
                </c:pt>
                <c:pt idx="121">
                  <c:v>4280285</c:v>
                </c:pt>
                <c:pt idx="122">
                  <c:v>4302464</c:v>
                </c:pt>
                <c:pt idx="123">
                  <c:v>4324709</c:v>
                </c:pt>
                <c:pt idx="124">
                  <c:v>4347018</c:v>
                </c:pt>
                <c:pt idx="125">
                  <c:v>4369392</c:v>
                </c:pt>
                <c:pt idx="126">
                  <c:v>4391831</c:v>
                </c:pt>
                <c:pt idx="127">
                  <c:v>4414335</c:v>
                </c:pt>
                <c:pt idx="128">
                  <c:v>4436903</c:v>
                </c:pt>
                <c:pt idx="129">
                  <c:v>4459536</c:v>
                </c:pt>
                <c:pt idx="130">
                  <c:v>4482235</c:v>
                </c:pt>
                <c:pt idx="131">
                  <c:v>4504995</c:v>
                </c:pt>
                <c:pt idx="132">
                  <c:v>4527815</c:v>
                </c:pt>
                <c:pt idx="133">
                  <c:v>4550695</c:v>
                </c:pt>
                <c:pt idx="134">
                  <c:v>4573634</c:v>
                </c:pt>
                <c:pt idx="135">
                  <c:v>4596633</c:v>
                </c:pt>
                <c:pt idx="136">
                  <c:v>4619691</c:v>
                </c:pt>
                <c:pt idx="137">
                  <c:v>4642809</c:v>
                </c:pt>
                <c:pt idx="138">
                  <c:v>4665987</c:v>
                </c:pt>
                <c:pt idx="139">
                  <c:v>4689225</c:v>
                </c:pt>
                <c:pt idx="140">
                  <c:v>4712522</c:v>
                </c:pt>
                <c:pt idx="141">
                  <c:v>4735878</c:v>
                </c:pt>
                <c:pt idx="142">
                  <c:v>4759295</c:v>
                </c:pt>
                <c:pt idx="143">
                  <c:v>4782771</c:v>
                </c:pt>
                <c:pt idx="144">
                  <c:v>4806306</c:v>
                </c:pt>
                <c:pt idx="145">
                  <c:v>4829901</c:v>
                </c:pt>
                <c:pt idx="146">
                  <c:v>4853556</c:v>
                </c:pt>
                <c:pt idx="147">
                  <c:v>4877271</c:v>
                </c:pt>
                <c:pt idx="148">
                  <c:v>4901046</c:v>
                </c:pt>
                <c:pt idx="149">
                  <c:v>4924878</c:v>
                </c:pt>
                <c:pt idx="150">
                  <c:v>4948772</c:v>
                </c:pt>
                <c:pt idx="151">
                  <c:v>4972729</c:v>
                </c:pt>
                <c:pt idx="152">
                  <c:v>4996753</c:v>
                </c:pt>
                <c:pt idx="153">
                  <c:v>5020843</c:v>
                </c:pt>
                <c:pt idx="154">
                  <c:v>5045001</c:v>
                </c:pt>
                <c:pt idx="155">
                  <c:v>5069226</c:v>
                </c:pt>
                <c:pt idx="156">
                  <c:v>5093517</c:v>
                </c:pt>
                <c:pt idx="157">
                  <c:v>5117876</c:v>
                </c:pt>
                <c:pt idx="158">
                  <c:v>5142301</c:v>
                </c:pt>
                <c:pt idx="159">
                  <c:v>5166794</c:v>
                </c:pt>
                <c:pt idx="160">
                  <c:v>5191353</c:v>
                </c:pt>
                <c:pt idx="161">
                  <c:v>5215979</c:v>
                </c:pt>
                <c:pt idx="162">
                  <c:v>5240673</c:v>
                </c:pt>
                <c:pt idx="163">
                  <c:v>5265433</c:v>
                </c:pt>
                <c:pt idx="164">
                  <c:v>5290260</c:v>
                </c:pt>
                <c:pt idx="165">
                  <c:v>5315154</c:v>
                </c:pt>
                <c:pt idx="166">
                  <c:v>5340115</c:v>
                </c:pt>
                <c:pt idx="167">
                  <c:v>5365143</c:v>
                </c:pt>
                <c:pt idx="168">
                  <c:v>5390238</c:v>
                </c:pt>
                <c:pt idx="169">
                  <c:v>5415401</c:v>
                </c:pt>
                <c:pt idx="170">
                  <c:v>5440630</c:v>
                </c:pt>
                <c:pt idx="171">
                  <c:v>5465929</c:v>
                </c:pt>
                <c:pt idx="172">
                  <c:v>5491303</c:v>
                </c:pt>
                <c:pt idx="173">
                  <c:v>5516753</c:v>
                </c:pt>
                <c:pt idx="174">
                  <c:v>5542278</c:v>
                </c:pt>
                <c:pt idx="175">
                  <c:v>5567877</c:v>
                </c:pt>
                <c:pt idx="176">
                  <c:v>5593550</c:v>
                </c:pt>
                <c:pt idx="177">
                  <c:v>5619299</c:v>
                </c:pt>
                <c:pt idx="178">
                  <c:v>5645123</c:v>
                </c:pt>
                <c:pt idx="179">
                  <c:v>5671021</c:v>
                </c:pt>
                <c:pt idx="180">
                  <c:v>5696994</c:v>
                </c:pt>
                <c:pt idx="181">
                  <c:v>5723042</c:v>
                </c:pt>
                <c:pt idx="182">
                  <c:v>5749165</c:v>
                </c:pt>
                <c:pt idx="183">
                  <c:v>5775363</c:v>
                </c:pt>
                <c:pt idx="184">
                  <c:v>5801635</c:v>
                </c:pt>
                <c:pt idx="185">
                  <c:v>5827982</c:v>
                </c:pt>
                <c:pt idx="186">
                  <c:v>5854405</c:v>
                </c:pt>
                <c:pt idx="187">
                  <c:v>5880902</c:v>
                </c:pt>
                <c:pt idx="188">
                  <c:v>5907474</c:v>
                </c:pt>
                <c:pt idx="189">
                  <c:v>5934120</c:v>
                </c:pt>
                <c:pt idx="190">
                  <c:v>5960842</c:v>
                </c:pt>
                <c:pt idx="191">
                  <c:v>5987636</c:v>
                </c:pt>
                <c:pt idx="192">
                  <c:v>6014502</c:v>
                </c:pt>
                <c:pt idx="193">
                  <c:v>6041440</c:v>
                </c:pt>
                <c:pt idx="194">
                  <c:v>6068448</c:v>
                </c:pt>
                <c:pt idx="195">
                  <c:v>6095528</c:v>
                </c:pt>
                <c:pt idx="196">
                  <c:v>6122680</c:v>
                </c:pt>
                <c:pt idx="197">
                  <c:v>6149903</c:v>
                </c:pt>
                <c:pt idx="198">
                  <c:v>6177198</c:v>
                </c:pt>
                <c:pt idx="199">
                  <c:v>6204563</c:v>
                </c:pt>
                <c:pt idx="200">
                  <c:v>6232001</c:v>
                </c:pt>
                <c:pt idx="201">
                  <c:v>6259510</c:v>
                </c:pt>
                <c:pt idx="202">
                  <c:v>6287089</c:v>
                </c:pt>
                <c:pt idx="203">
                  <c:v>6314741</c:v>
                </c:pt>
                <c:pt idx="204">
                  <c:v>6342464</c:v>
                </c:pt>
                <c:pt idx="205">
                  <c:v>6370258</c:v>
                </c:pt>
                <c:pt idx="206">
                  <c:v>6398125</c:v>
                </c:pt>
                <c:pt idx="207">
                  <c:v>6426061</c:v>
                </c:pt>
                <c:pt idx="208">
                  <c:v>6454070</c:v>
                </c:pt>
                <c:pt idx="209">
                  <c:v>6482150</c:v>
                </c:pt>
                <c:pt idx="210">
                  <c:v>6510301</c:v>
                </c:pt>
                <c:pt idx="211">
                  <c:v>6538527</c:v>
                </c:pt>
                <c:pt idx="212">
                  <c:v>6566830</c:v>
                </c:pt>
                <c:pt idx="213">
                  <c:v>6595212</c:v>
                </c:pt>
                <c:pt idx="214">
                  <c:v>6623670</c:v>
                </c:pt>
                <c:pt idx="215">
                  <c:v>6652206</c:v>
                </c:pt>
                <c:pt idx="216">
                  <c:v>6680820</c:v>
                </c:pt>
                <c:pt idx="217">
                  <c:v>6709511</c:v>
                </c:pt>
                <c:pt idx="218">
                  <c:v>6738279</c:v>
                </c:pt>
                <c:pt idx="219">
                  <c:v>6767126</c:v>
                </c:pt>
                <c:pt idx="220">
                  <c:v>6796049</c:v>
                </c:pt>
                <c:pt idx="221">
                  <c:v>6825050</c:v>
                </c:pt>
                <c:pt idx="222">
                  <c:v>6854129</c:v>
                </c:pt>
                <c:pt idx="223">
                  <c:v>6883286</c:v>
                </c:pt>
                <c:pt idx="224">
                  <c:v>6912519</c:v>
                </c:pt>
                <c:pt idx="225">
                  <c:v>6941831</c:v>
                </c:pt>
                <c:pt idx="226">
                  <c:v>6971219</c:v>
                </c:pt>
                <c:pt idx="227">
                  <c:v>7000686</c:v>
                </c:pt>
                <c:pt idx="228">
                  <c:v>7030230</c:v>
                </c:pt>
                <c:pt idx="229">
                  <c:v>7059851</c:v>
                </c:pt>
                <c:pt idx="230">
                  <c:v>7089550</c:v>
                </c:pt>
                <c:pt idx="231">
                  <c:v>7119326</c:v>
                </c:pt>
                <c:pt idx="232">
                  <c:v>7149179</c:v>
                </c:pt>
                <c:pt idx="233">
                  <c:v>7179107</c:v>
                </c:pt>
                <c:pt idx="234">
                  <c:v>7209113</c:v>
                </c:pt>
                <c:pt idx="235">
                  <c:v>7239194</c:v>
                </c:pt>
                <c:pt idx="236">
                  <c:v>7269353</c:v>
                </c:pt>
                <c:pt idx="237">
                  <c:v>7299587</c:v>
                </c:pt>
                <c:pt idx="238">
                  <c:v>7329898</c:v>
                </c:pt>
                <c:pt idx="239">
                  <c:v>7360286</c:v>
                </c:pt>
                <c:pt idx="240">
                  <c:v>7390750</c:v>
                </c:pt>
                <c:pt idx="241">
                  <c:v>7421290</c:v>
                </c:pt>
                <c:pt idx="242">
                  <c:v>7451907</c:v>
                </c:pt>
                <c:pt idx="243">
                  <c:v>7482600</c:v>
                </c:pt>
                <c:pt idx="244">
                  <c:v>7513370</c:v>
                </c:pt>
                <c:pt idx="245">
                  <c:v>7544216</c:v>
                </c:pt>
                <c:pt idx="246">
                  <c:v>7575139</c:v>
                </c:pt>
                <c:pt idx="247">
                  <c:v>7606138</c:v>
                </c:pt>
                <c:pt idx="248">
                  <c:v>7637213</c:v>
                </c:pt>
                <c:pt idx="249">
                  <c:v>7668365</c:v>
                </c:pt>
                <c:pt idx="250">
                  <c:v>7699593</c:v>
                </c:pt>
                <c:pt idx="251">
                  <c:v>7730898</c:v>
                </c:pt>
                <c:pt idx="252">
                  <c:v>7762281</c:v>
                </c:pt>
                <c:pt idx="253">
                  <c:v>7793741</c:v>
                </c:pt>
                <c:pt idx="254">
                  <c:v>7825278</c:v>
                </c:pt>
                <c:pt idx="255">
                  <c:v>7856892</c:v>
                </c:pt>
                <c:pt idx="256">
                  <c:v>7888583</c:v>
                </c:pt>
                <c:pt idx="257">
                  <c:v>7920352</c:v>
                </c:pt>
                <c:pt idx="258">
                  <c:v>7952198</c:v>
                </c:pt>
                <c:pt idx="259">
                  <c:v>7984121</c:v>
                </c:pt>
                <c:pt idx="260">
                  <c:v>8016122</c:v>
                </c:pt>
                <c:pt idx="261">
                  <c:v>8048200</c:v>
                </c:pt>
                <c:pt idx="262">
                  <c:v>8080355</c:v>
                </c:pt>
                <c:pt idx="263">
                  <c:v>8112587</c:v>
                </c:pt>
                <c:pt idx="264">
                  <c:v>8144897</c:v>
                </c:pt>
                <c:pt idx="265">
                  <c:v>8177284</c:v>
                </c:pt>
                <c:pt idx="266">
                  <c:v>8209748</c:v>
                </c:pt>
                <c:pt idx="267">
                  <c:v>8242289</c:v>
                </c:pt>
                <c:pt idx="268">
                  <c:v>8274908</c:v>
                </c:pt>
                <c:pt idx="269">
                  <c:v>8307604</c:v>
                </c:pt>
                <c:pt idx="270">
                  <c:v>8340377</c:v>
                </c:pt>
                <c:pt idx="271">
                  <c:v>8373229</c:v>
                </c:pt>
                <c:pt idx="272">
                  <c:v>8406161</c:v>
                </c:pt>
                <c:pt idx="273">
                  <c:v>8439174</c:v>
                </c:pt>
                <c:pt idx="274">
                  <c:v>8472266</c:v>
                </c:pt>
                <c:pt idx="275">
                  <c:v>8505439</c:v>
                </c:pt>
                <c:pt idx="276">
                  <c:v>8538693</c:v>
                </c:pt>
                <c:pt idx="277">
                  <c:v>8572026</c:v>
                </c:pt>
                <c:pt idx="278">
                  <c:v>8605440</c:v>
                </c:pt>
                <c:pt idx="279">
                  <c:v>8638934</c:v>
                </c:pt>
                <c:pt idx="280">
                  <c:v>8672508</c:v>
                </c:pt>
                <c:pt idx="281">
                  <c:v>8706163</c:v>
                </c:pt>
                <c:pt idx="282">
                  <c:v>8739897</c:v>
                </c:pt>
                <c:pt idx="283">
                  <c:v>8773713</c:v>
                </c:pt>
                <c:pt idx="284">
                  <c:v>8807608</c:v>
                </c:pt>
                <c:pt idx="285">
                  <c:v>8841583</c:v>
                </c:pt>
                <c:pt idx="286">
                  <c:v>8875639</c:v>
                </c:pt>
                <c:pt idx="287">
                  <c:v>8909775</c:v>
                </c:pt>
                <c:pt idx="288">
                  <c:v>8943992</c:v>
                </c:pt>
                <c:pt idx="289">
                  <c:v>8978288</c:v>
                </c:pt>
                <c:pt idx="290">
                  <c:v>9012665</c:v>
                </c:pt>
                <c:pt idx="291">
                  <c:v>9047124</c:v>
                </c:pt>
                <c:pt idx="292">
                  <c:v>9081668</c:v>
                </c:pt>
                <c:pt idx="293">
                  <c:v>9116296</c:v>
                </c:pt>
                <c:pt idx="294">
                  <c:v>9151008</c:v>
                </c:pt>
                <c:pt idx="295">
                  <c:v>9185804</c:v>
                </c:pt>
                <c:pt idx="296">
                  <c:v>9220685</c:v>
                </c:pt>
                <c:pt idx="297">
                  <c:v>9255651</c:v>
                </c:pt>
                <c:pt idx="298">
                  <c:v>9290700</c:v>
                </c:pt>
                <c:pt idx="299">
                  <c:v>9325834</c:v>
                </c:pt>
                <c:pt idx="300">
                  <c:v>9361052</c:v>
                </c:pt>
                <c:pt idx="301">
                  <c:v>9396355</c:v>
                </c:pt>
                <c:pt idx="302">
                  <c:v>9431742</c:v>
                </c:pt>
                <c:pt idx="303">
                  <c:v>9467213</c:v>
                </c:pt>
                <c:pt idx="304">
                  <c:v>9502768</c:v>
                </c:pt>
                <c:pt idx="305">
                  <c:v>9538408</c:v>
                </c:pt>
                <c:pt idx="306">
                  <c:v>9574138</c:v>
                </c:pt>
                <c:pt idx="307">
                  <c:v>9609938</c:v>
                </c:pt>
                <c:pt idx="308">
                  <c:v>9645838</c:v>
                </c:pt>
                <c:pt idx="309">
                  <c:v>9681818</c:v>
                </c:pt>
                <c:pt idx="310">
                  <c:v>9717878</c:v>
                </c:pt>
                <c:pt idx="311">
                  <c:v>9754018</c:v>
                </c:pt>
                <c:pt idx="312">
                  <c:v>9790258</c:v>
                </c:pt>
                <c:pt idx="313">
                  <c:v>9826588</c:v>
                </c:pt>
                <c:pt idx="314">
                  <c:v>9863018</c:v>
                </c:pt>
                <c:pt idx="315">
                  <c:v>9899528</c:v>
                </c:pt>
                <c:pt idx="316">
                  <c:v>9936128</c:v>
                </c:pt>
                <c:pt idx="317">
                  <c:v>9972828</c:v>
                </c:pt>
                <c:pt idx="318">
                  <c:v>10009608</c:v>
                </c:pt>
                <c:pt idx="319">
                  <c:v>10046488</c:v>
                </c:pt>
                <c:pt idx="320">
                  <c:v>10083458</c:v>
                </c:pt>
                <c:pt idx="321">
                  <c:v>10120508</c:v>
                </c:pt>
                <c:pt idx="322">
                  <c:v>10157657.999990001</c:v>
                </c:pt>
                <c:pt idx="323">
                  <c:v>10194897.99997</c:v>
                </c:pt>
                <c:pt idx="324">
                  <c:v>10232217.999990001</c:v>
                </c:pt>
                <c:pt idx="325">
                  <c:v>10269638.000020001</c:v>
                </c:pt>
                <c:pt idx="326">
                  <c:v>10307148</c:v>
                </c:pt>
                <c:pt idx="327">
                  <c:v>10344748</c:v>
                </c:pt>
                <c:pt idx="328">
                  <c:v>10382438.00004</c:v>
                </c:pt>
                <c:pt idx="329">
                  <c:v>10420218.000020001</c:v>
                </c:pt>
                <c:pt idx="330">
                  <c:v>10458088.00003</c:v>
                </c:pt>
                <c:pt idx="331">
                  <c:v>10496047.999989999</c:v>
                </c:pt>
                <c:pt idx="332">
                  <c:v>10534097.99997</c:v>
                </c:pt>
                <c:pt idx="333">
                  <c:v>10572247.99997</c:v>
                </c:pt>
                <c:pt idx="334">
                  <c:v>10610478.000010001</c:v>
                </c:pt>
                <c:pt idx="335">
                  <c:v>10648798</c:v>
                </c:pt>
                <c:pt idx="336">
                  <c:v>10687218</c:v>
                </c:pt>
                <c:pt idx="337">
                  <c:v>10725717.99996</c:v>
                </c:pt>
                <c:pt idx="338">
                  <c:v>10764308.00003</c:v>
                </c:pt>
                <c:pt idx="339">
                  <c:v>10802998.00004</c:v>
                </c:pt>
                <c:pt idx="340">
                  <c:v>10841768</c:v>
                </c:pt>
                <c:pt idx="341">
                  <c:v>10880637.999980001</c:v>
                </c:pt>
                <c:pt idx="342">
                  <c:v>10919597.999989999</c:v>
                </c:pt>
                <c:pt idx="343">
                  <c:v>10958637.99996</c:v>
                </c:pt>
                <c:pt idx="344">
                  <c:v>10997778.000019999</c:v>
                </c:pt>
                <c:pt idx="345">
                  <c:v>11037008.00003</c:v>
                </c:pt>
                <c:pt idx="346">
                  <c:v>11076327.999989999</c:v>
                </c:pt>
                <c:pt idx="347">
                  <c:v>11115737.999980001</c:v>
                </c:pt>
                <c:pt idx="348">
                  <c:v>11155237.999989999</c:v>
                </c:pt>
                <c:pt idx="349">
                  <c:v>11194828.00003</c:v>
                </c:pt>
                <c:pt idx="350">
                  <c:v>11234508.000019999</c:v>
                </c:pt>
                <c:pt idx="351">
                  <c:v>11274267.99997</c:v>
                </c:pt>
                <c:pt idx="352">
                  <c:v>11314118.00003</c:v>
                </c:pt>
                <c:pt idx="353">
                  <c:v>11354047.99997</c:v>
                </c:pt>
                <c:pt idx="354">
                  <c:v>11394068.000019999</c:v>
                </c:pt>
                <c:pt idx="355">
                  <c:v>11434178.000019999</c:v>
                </c:pt>
                <c:pt idx="356">
                  <c:v>11474367.999980001</c:v>
                </c:pt>
                <c:pt idx="357">
                  <c:v>11514647.99996</c:v>
                </c:pt>
                <c:pt idx="358">
                  <c:v>11555007.999989999</c:v>
                </c:pt>
                <c:pt idx="359">
                  <c:v>11595447.999989999</c:v>
                </c:pt>
                <c:pt idx="360">
                  <c:v>11635987.999989999</c:v>
                </c:pt>
                <c:pt idx="361">
                  <c:v>11676597.99997</c:v>
                </c:pt>
                <c:pt idx="362">
                  <c:v>11717297.999980001</c:v>
                </c:pt>
                <c:pt idx="363">
                  <c:v>11758088.000019999</c:v>
                </c:pt>
                <c:pt idx="364">
                  <c:v>11798958.000019999</c:v>
                </c:pt>
                <c:pt idx="365">
                  <c:v>11839917.99997</c:v>
                </c:pt>
                <c:pt idx="366">
                  <c:v>11880958.00004</c:v>
                </c:pt>
                <c:pt idx="367">
                  <c:v>11922087.99997</c:v>
                </c:pt>
                <c:pt idx="368">
                  <c:v>11963298.00003</c:v>
                </c:pt>
                <c:pt idx="369">
                  <c:v>12004598.00004</c:v>
                </c:pt>
                <c:pt idx="370">
                  <c:v>12045978</c:v>
                </c:pt>
                <c:pt idx="371">
                  <c:v>12087448</c:v>
                </c:pt>
                <c:pt idx="372">
                  <c:v>12128998</c:v>
                </c:pt>
                <c:pt idx="373">
                  <c:v>12170648</c:v>
                </c:pt>
                <c:pt idx="374">
                  <c:v>12212378</c:v>
                </c:pt>
                <c:pt idx="375">
                  <c:v>12254198</c:v>
                </c:pt>
                <c:pt idx="376">
                  <c:v>12296098</c:v>
                </c:pt>
                <c:pt idx="377">
                  <c:v>12338098</c:v>
                </c:pt>
                <c:pt idx="378">
                  <c:v>12380178</c:v>
                </c:pt>
                <c:pt idx="379">
                  <c:v>12422348</c:v>
                </c:pt>
                <c:pt idx="380">
                  <c:v>12464608</c:v>
                </c:pt>
                <c:pt idx="381">
                  <c:v>12506948</c:v>
                </c:pt>
                <c:pt idx="382">
                  <c:v>12549388</c:v>
                </c:pt>
                <c:pt idx="383">
                  <c:v>12591908</c:v>
                </c:pt>
                <c:pt idx="384">
                  <c:v>12634518</c:v>
                </c:pt>
                <c:pt idx="385">
                  <c:v>12677218</c:v>
                </c:pt>
                <c:pt idx="386">
                  <c:v>12719998</c:v>
                </c:pt>
                <c:pt idx="387">
                  <c:v>12762868</c:v>
                </c:pt>
                <c:pt idx="388">
                  <c:v>12805828</c:v>
                </c:pt>
                <c:pt idx="389">
                  <c:v>12848878</c:v>
                </c:pt>
                <c:pt idx="390">
                  <c:v>12892008</c:v>
                </c:pt>
                <c:pt idx="391">
                  <c:v>12935238</c:v>
                </c:pt>
                <c:pt idx="392">
                  <c:v>12978548</c:v>
                </c:pt>
                <c:pt idx="393">
                  <c:v>13021938</c:v>
                </c:pt>
                <c:pt idx="394">
                  <c:v>13065418</c:v>
                </c:pt>
                <c:pt idx="395">
                  <c:v>13108988</c:v>
                </c:pt>
                <c:pt idx="396">
                  <c:v>13152638</c:v>
                </c:pt>
                <c:pt idx="397">
                  <c:v>13196378</c:v>
                </c:pt>
                <c:pt idx="398">
                  <c:v>13240208</c:v>
                </c:pt>
                <c:pt idx="399">
                  <c:v>13284118</c:v>
                </c:pt>
                <c:pt idx="400">
                  <c:v>13328118</c:v>
                </c:pt>
                <c:pt idx="401">
                  <c:v>13371955.1197</c:v>
                </c:pt>
                <c:pt idx="402">
                  <c:v>13415872.807499999</c:v>
                </c:pt>
                <c:pt idx="403">
                  <c:v>13459872.4439</c:v>
                </c:pt>
                <c:pt idx="404">
                  <c:v>13503946.247500001</c:v>
                </c:pt>
                <c:pt idx="405">
                  <c:v>13548107.081700001</c:v>
                </c:pt>
                <c:pt idx="406">
                  <c:v>13592346.991699999</c:v>
                </c:pt>
                <c:pt idx="407">
                  <c:v>13636673.657600001</c:v>
                </c:pt>
                <c:pt idx="408">
                  <c:v>13681067.2685</c:v>
                </c:pt>
                <c:pt idx="409">
                  <c:v>13725576.885399999</c:v>
                </c:pt>
                <c:pt idx="410">
                  <c:v>13770176.051100001</c:v>
                </c:pt>
                <c:pt idx="411">
                  <c:v>13814866.8136</c:v>
                </c:pt>
                <c:pt idx="412">
                  <c:v>13859637.101500001</c:v>
                </c:pt>
                <c:pt idx="413">
                  <c:v>13904502.2729</c:v>
                </c:pt>
                <c:pt idx="414">
                  <c:v>13949439.127599999</c:v>
                </c:pt>
                <c:pt idx="415">
                  <c:v>13994478.534499999</c:v>
                </c:pt>
                <c:pt idx="416">
                  <c:v>14039602.443299999</c:v>
                </c:pt>
                <c:pt idx="417">
                  <c:v>14084826.630100001</c:v>
                </c:pt>
                <c:pt idx="418">
                  <c:v>14130140.259</c:v>
                </c:pt>
                <c:pt idx="419">
                  <c:v>14175560.319599999</c:v>
                </c:pt>
                <c:pt idx="420">
                  <c:v>14221069.168</c:v>
                </c:pt>
                <c:pt idx="421">
                  <c:v>14266691.055400001</c:v>
                </c:pt>
                <c:pt idx="422">
                  <c:v>14312410.0627</c:v>
                </c:pt>
                <c:pt idx="423">
                  <c:v>14358247.800799999</c:v>
                </c:pt>
                <c:pt idx="424">
                  <c:v>14404192.2433</c:v>
                </c:pt>
                <c:pt idx="425">
                  <c:v>14450245.856000001</c:v>
                </c:pt>
                <c:pt idx="426">
                  <c:v>14496401.661499999</c:v>
                </c:pt>
                <c:pt idx="427">
                  <c:v>14542673.6086</c:v>
                </c:pt>
                <c:pt idx="428">
                  <c:v>14589079.816299999</c:v>
                </c:pt>
                <c:pt idx="429">
                  <c:v>14635613.938300001</c:v>
                </c:pt>
                <c:pt idx="430">
                  <c:v>14682247.2783</c:v>
                </c:pt>
                <c:pt idx="431">
                  <c:v>14729010.344699999</c:v>
                </c:pt>
                <c:pt idx="432">
                  <c:v>14775876.285800001</c:v>
                </c:pt>
                <c:pt idx="433">
                  <c:v>14822856.3157</c:v>
                </c:pt>
                <c:pt idx="434">
                  <c:v>14869932.789000001</c:v>
                </c:pt>
                <c:pt idx="435">
                  <c:v>14917121.668400001</c:v>
                </c:pt>
                <c:pt idx="436">
                  <c:v>14964400.759400001</c:v>
                </c:pt>
                <c:pt idx="437">
                  <c:v>15011786.5714</c:v>
                </c:pt>
                <c:pt idx="438">
                  <c:v>15059254.897399999</c:v>
                </c:pt>
                <c:pt idx="439">
                  <c:v>15106819.6612</c:v>
                </c:pt>
                <c:pt idx="440">
                  <c:v>15154488.208699999</c:v>
                </c:pt>
                <c:pt idx="441">
                  <c:v>15202265.487299999</c:v>
                </c:pt>
                <c:pt idx="442">
                  <c:v>15250135.3925</c:v>
                </c:pt>
                <c:pt idx="443">
                  <c:v>15298113.8442</c:v>
                </c:pt>
                <c:pt idx="444">
                  <c:v>15346186.671800001</c:v>
                </c:pt>
                <c:pt idx="445">
                  <c:v>15394355.630100001</c:v>
                </c:pt>
                <c:pt idx="446">
                  <c:v>15442594.2182</c:v>
                </c:pt>
                <c:pt idx="447">
                  <c:v>15490931.7601</c:v>
                </c:pt>
                <c:pt idx="448">
                  <c:v>15539347.202199999</c:v>
                </c:pt>
                <c:pt idx="449">
                  <c:v>15587852.0615</c:v>
                </c:pt>
                <c:pt idx="450">
                  <c:v>15636435.3455</c:v>
                </c:pt>
                <c:pt idx="451">
                  <c:v>15685107.556600001</c:v>
                </c:pt>
                <c:pt idx="452">
                  <c:v>15733851.756100001</c:v>
                </c:pt>
                <c:pt idx="453">
                  <c:v>15782698.8181</c:v>
                </c:pt>
                <c:pt idx="454">
                  <c:v>15831635.7687</c:v>
                </c:pt>
                <c:pt idx="455">
                  <c:v>15880676.006899999</c:v>
                </c:pt>
                <c:pt idx="456">
                  <c:v>15929813.1592</c:v>
                </c:pt>
                <c:pt idx="457">
                  <c:v>15979059.6885</c:v>
                </c:pt>
                <c:pt idx="458">
                  <c:v>16028404.4922</c:v>
                </c:pt>
                <c:pt idx="459">
                  <c:v>16077853.475</c:v>
                </c:pt>
                <c:pt idx="460">
                  <c:v>16127429.2477</c:v>
                </c:pt>
                <c:pt idx="461">
                  <c:v>16177122.008400001</c:v>
                </c:pt>
                <c:pt idx="462">
                  <c:v>16226920.524700001</c:v>
                </c:pt>
                <c:pt idx="463">
                  <c:v>16276840.7448</c:v>
                </c:pt>
                <c:pt idx="464">
                  <c:v>16326876.409399999</c:v>
                </c:pt>
                <c:pt idx="465">
                  <c:v>16377013.776000001</c:v>
                </c:pt>
                <c:pt idx="466">
                  <c:v>16427260.851199999</c:v>
                </c:pt>
                <c:pt idx="467">
                  <c:v>16477623.555199999</c:v>
                </c:pt>
                <c:pt idx="468">
                  <c:v>16528095.249700001</c:v>
                </c:pt>
                <c:pt idx="469">
                  <c:v>16578676.0746</c:v>
                </c:pt>
                <c:pt idx="470">
                  <c:v>16629353.5141</c:v>
                </c:pt>
                <c:pt idx="471">
                  <c:v>16680137.2698</c:v>
                </c:pt>
                <c:pt idx="472">
                  <c:v>16731039.588</c:v>
                </c:pt>
                <c:pt idx="473">
                  <c:v>16782053.120499998</c:v>
                </c:pt>
                <c:pt idx="474">
                  <c:v>16833163.263300002</c:v>
                </c:pt>
                <c:pt idx="475">
                  <c:v>16884388.496600002</c:v>
                </c:pt>
                <c:pt idx="476">
                  <c:v>16935711.0277</c:v>
                </c:pt>
                <c:pt idx="477">
                  <c:v>16987154.560699999</c:v>
                </c:pt>
                <c:pt idx="478">
                  <c:v>17038688.792300001</c:v>
                </c:pt>
                <c:pt idx="479">
                  <c:v>17090351.329500001</c:v>
                </c:pt>
                <c:pt idx="480">
                  <c:v>17142118.973899998</c:v>
                </c:pt>
                <c:pt idx="481">
                  <c:v>17194012.9738</c:v>
                </c:pt>
                <c:pt idx="482">
                  <c:v>17246315.5726</c:v>
                </c:pt>
                <c:pt idx="483">
                  <c:v>17298817.568300001</c:v>
                </c:pt>
                <c:pt idx="484">
                  <c:v>17351471.295199998</c:v>
                </c:pt>
                <c:pt idx="485">
                  <c:v>17404288.286499999</c:v>
                </c:pt>
                <c:pt idx="486">
                  <c:v>17457233.171</c:v>
                </c:pt>
                <c:pt idx="487">
                  <c:v>17510338.099100001</c:v>
                </c:pt>
                <c:pt idx="488">
                  <c:v>17563574.404899999</c:v>
                </c:pt>
                <c:pt idx="489">
                  <c:v>17616958.2837</c:v>
                </c:pt>
                <c:pt idx="490">
                  <c:v>17670449.398699999</c:v>
                </c:pt>
                <c:pt idx="491">
                  <c:v>17724102.627</c:v>
                </c:pt>
                <c:pt idx="492">
                  <c:v>17777879.3814</c:v>
                </c:pt>
                <c:pt idx="493">
                  <c:v>17831788.639699999</c:v>
                </c:pt>
                <c:pt idx="494">
                  <c:v>17885807.860399999</c:v>
                </c:pt>
                <c:pt idx="495">
                  <c:v>17939969.400800001</c:v>
                </c:pt>
                <c:pt idx="496">
                  <c:v>17994245.869199999</c:v>
                </c:pt>
                <c:pt idx="497">
                  <c:v>18048645.587300003</c:v>
                </c:pt>
                <c:pt idx="498">
                  <c:v>18103161.431900002</c:v>
                </c:pt>
                <c:pt idx="499">
                  <c:v>18157822.008299999</c:v>
                </c:pt>
                <c:pt idx="500">
                  <c:v>18212600.8697</c:v>
                </c:pt>
                <c:pt idx="501">
                  <c:v>18267520.580200002</c:v>
                </c:pt>
                <c:pt idx="502">
                  <c:v>18322557.66</c:v>
                </c:pt>
                <c:pt idx="503">
                  <c:v>18377736.1664</c:v>
                </c:pt>
                <c:pt idx="504">
                  <c:v>18433050.2093</c:v>
                </c:pt>
                <c:pt idx="505">
                  <c:v>18488505.4476</c:v>
                </c:pt>
                <c:pt idx="506">
                  <c:v>18544077.2315</c:v>
                </c:pt>
                <c:pt idx="507">
                  <c:v>18599795.916000001</c:v>
                </c:pt>
                <c:pt idx="508">
                  <c:v>18655634.951099999</c:v>
                </c:pt>
                <c:pt idx="509">
                  <c:v>18711615.5473</c:v>
                </c:pt>
                <c:pt idx="510">
                  <c:v>18767705.187899999</c:v>
                </c:pt>
                <c:pt idx="511">
                  <c:v>18823954.337099999</c:v>
                </c:pt>
                <c:pt idx="512">
                  <c:v>18880331.890900001</c:v>
                </c:pt>
                <c:pt idx="513">
                  <c:v>18936855.936000001</c:v>
                </c:pt>
                <c:pt idx="514">
                  <c:v>18993547.835000001</c:v>
                </c:pt>
                <c:pt idx="515">
                  <c:v>19050394.7454</c:v>
                </c:pt>
                <c:pt idx="516">
                  <c:v>19107358.413199998</c:v>
                </c:pt>
                <c:pt idx="517">
                  <c:v>19164472.741700001</c:v>
                </c:pt>
                <c:pt idx="518">
                  <c:v>19221706.5317</c:v>
                </c:pt>
                <c:pt idx="519">
                  <c:v>19279078.8737</c:v>
                </c:pt>
                <c:pt idx="520">
                  <c:v>19336581.601100001</c:v>
                </c:pt>
                <c:pt idx="521">
                  <c:v>19394218.671500001</c:v>
                </c:pt>
                <c:pt idx="522">
                  <c:v>19451961.400400002</c:v>
                </c:pt>
                <c:pt idx="523">
                  <c:v>19509858.093600001</c:v>
                </c:pt>
                <c:pt idx="524">
                  <c:v>19567876.9881</c:v>
                </c:pt>
                <c:pt idx="525">
                  <c:v>19626045.054099999</c:v>
                </c:pt>
                <c:pt idx="526">
                  <c:v>19684368.798999999</c:v>
                </c:pt>
                <c:pt idx="527">
                  <c:v>19742859.773699999</c:v>
                </c:pt>
                <c:pt idx="528">
                  <c:v>19801478.315499999</c:v>
                </c:pt>
                <c:pt idx="529">
                  <c:v>19860242.887699999</c:v>
                </c:pt>
                <c:pt idx="530">
                  <c:v>19919154.129500002</c:v>
                </c:pt>
                <c:pt idx="531">
                  <c:v>19978222.914500002</c:v>
                </c:pt>
                <c:pt idx="532">
                  <c:v>20037431.845800001</c:v>
                </c:pt>
                <c:pt idx="533">
                  <c:v>20096799.8462</c:v>
                </c:pt>
                <c:pt idx="534">
                  <c:v>20156306.956900001</c:v>
                </c:pt>
                <c:pt idx="535">
                  <c:v>20215962.6822</c:v>
                </c:pt>
                <c:pt idx="536">
                  <c:v>20275770.931000002</c:v>
                </c:pt>
                <c:pt idx="537">
                  <c:v>20335740.141600002</c:v>
                </c:pt>
                <c:pt idx="538">
                  <c:v>20395848.994399998</c:v>
                </c:pt>
                <c:pt idx="539">
                  <c:v>20456137.7005</c:v>
                </c:pt>
                <c:pt idx="540">
                  <c:v>20516577.945099998</c:v>
                </c:pt>
                <c:pt idx="541">
                  <c:v>20577191.956799999</c:v>
                </c:pt>
                <c:pt idx="542">
                  <c:v>20637971.719900001</c:v>
                </c:pt>
                <c:pt idx="543">
                  <c:v>20698947.105799999</c:v>
                </c:pt>
                <c:pt idx="544">
                  <c:v>20760078.323600002</c:v>
                </c:pt>
                <c:pt idx="545">
                  <c:v>20821395.090300001</c:v>
                </c:pt>
                <c:pt idx="546">
                  <c:v>20882874.487199999</c:v>
                </c:pt>
                <c:pt idx="547">
                  <c:v>20944540.416200001</c:v>
                </c:pt>
                <c:pt idx="548">
                  <c:v>21006359.9056</c:v>
                </c:pt>
                <c:pt idx="549">
                  <c:v>21068395.601599999</c:v>
                </c:pt>
                <c:pt idx="550">
                  <c:v>21130622.029899999</c:v>
                </c:pt>
                <c:pt idx="551">
                  <c:v>21193042.7236</c:v>
                </c:pt>
                <c:pt idx="552">
                  <c:v>21255628.809900001</c:v>
                </c:pt>
                <c:pt idx="553">
                  <c:v>21318415.179699998</c:v>
                </c:pt>
                <c:pt idx="554">
                  <c:v>21381370.1734</c:v>
                </c:pt>
                <c:pt idx="555">
                  <c:v>21444537.088100001</c:v>
                </c:pt>
                <c:pt idx="556">
                  <c:v>21507881.442699999</c:v>
                </c:pt>
                <c:pt idx="557">
                  <c:v>21571423.464000002</c:v>
                </c:pt>
                <c:pt idx="558">
                  <c:v>21635143.501499999</c:v>
                </c:pt>
                <c:pt idx="559">
                  <c:v>21699064.9881</c:v>
                </c:pt>
                <c:pt idx="560">
                  <c:v>21763171.063000001</c:v>
                </c:pt>
                <c:pt idx="561">
                  <c:v>21827458.720100001</c:v>
                </c:pt>
                <c:pt idx="562">
                  <c:v>21891928.153200001</c:v>
                </c:pt>
                <c:pt idx="563">
                  <c:v>21956586.787099998</c:v>
                </c:pt>
                <c:pt idx="564">
                  <c:v>22021408.4531</c:v>
                </c:pt>
                <c:pt idx="565">
                  <c:v>22086404.169799998</c:v>
                </c:pt>
                <c:pt idx="566">
                  <c:v>22151552.044399999</c:v>
                </c:pt>
                <c:pt idx="567">
                  <c:v>22216862.099199999</c:v>
                </c:pt>
                <c:pt idx="568">
                  <c:v>22282345.6039</c:v>
                </c:pt>
                <c:pt idx="569">
                  <c:v>22348002.2443</c:v>
                </c:pt>
                <c:pt idx="570">
                  <c:v>22413809.302000001</c:v>
                </c:pt>
                <c:pt idx="571">
                  <c:v>22479779.695900001</c:v>
                </c:pt>
                <c:pt idx="572">
                  <c:v>22545893.336100001</c:v>
                </c:pt>
                <c:pt idx="573">
                  <c:v>22612156.063000001</c:v>
                </c:pt>
                <c:pt idx="574">
                  <c:v>22678603.706599999</c:v>
                </c:pt>
                <c:pt idx="575">
                  <c:v>22745222.403999999</c:v>
                </c:pt>
                <c:pt idx="576">
                  <c:v>22811987.057700001</c:v>
                </c:pt>
                <c:pt idx="577">
                  <c:v>22878911.985599998</c:v>
                </c:pt>
                <c:pt idx="578">
                  <c:v>22945985.065200001</c:v>
                </c:pt>
                <c:pt idx="579">
                  <c:v>23013218.539700001</c:v>
                </c:pt>
                <c:pt idx="580">
                  <c:v>23080591.480099998</c:v>
                </c:pt>
                <c:pt idx="581">
                  <c:v>23148142.578400001</c:v>
                </c:pt>
                <c:pt idx="582">
                  <c:v>23215851.024500001</c:v>
                </c:pt>
                <c:pt idx="583">
                  <c:v>23283730.337099999</c:v>
                </c:pt>
                <c:pt idx="584">
                  <c:v>23351767.159000002</c:v>
                </c:pt>
                <c:pt idx="585">
                  <c:v>23419972.4652</c:v>
                </c:pt>
                <c:pt idx="586">
                  <c:v>23488331.086800002</c:v>
                </c:pt>
                <c:pt idx="587">
                  <c:v>23556871.173099998</c:v>
                </c:pt>
                <c:pt idx="588">
                  <c:v>23625568.3706</c:v>
                </c:pt>
                <c:pt idx="589">
                  <c:v>23694432.8059</c:v>
                </c:pt>
                <c:pt idx="590">
                  <c:v>23763468.618099999</c:v>
                </c:pt>
                <c:pt idx="591">
                  <c:v>23832669.268300001</c:v>
                </c:pt>
                <c:pt idx="592">
                  <c:v>23902021.7597</c:v>
                </c:pt>
                <c:pt idx="593">
                  <c:v>23971522.5242</c:v>
                </c:pt>
                <c:pt idx="594">
                  <c:v>24041193.914700001</c:v>
                </c:pt>
                <c:pt idx="595">
                  <c:v>24111036.441199999</c:v>
                </c:pt>
                <c:pt idx="596">
                  <c:v>24181040.282200001</c:v>
                </c:pt>
                <c:pt idx="597">
                  <c:v>24251214.886500001</c:v>
                </c:pt>
                <c:pt idx="598">
                  <c:v>24321551.899700001</c:v>
                </c:pt>
                <c:pt idx="599">
                  <c:v>24392051.8761</c:v>
                </c:pt>
                <c:pt idx="600">
                  <c:v>24462735.826299999</c:v>
                </c:pt>
                <c:pt idx="601">
                  <c:v>24533597.8607</c:v>
                </c:pt>
                <c:pt idx="602">
                  <c:v>24604624.080400001</c:v>
                </c:pt>
                <c:pt idx="603">
                  <c:v>24675816.464000002</c:v>
                </c:pt>
                <c:pt idx="604">
                  <c:v>24747165.759799998</c:v>
                </c:pt>
                <c:pt idx="605">
                  <c:v>24818668.333299998</c:v>
                </c:pt>
                <c:pt idx="606">
                  <c:v>24890346.373500001</c:v>
                </c:pt>
                <c:pt idx="607">
                  <c:v>24962195.683400001</c:v>
                </c:pt>
                <c:pt idx="608">
                  <c:v>25034205.030299999</c:v>
                </c:pt>
                <c:pt idx="609">
                  <c:v>25106381.2962</c:v>
                </c:pt>
                <c:pt idx="610">
                  <c:v>25178713.5704</c:v>
                </c:pt>
                <c:pt idx="611">
                  <c:v>25251210.3752</c:v>
                </c:pt>
                <c:pt idx="612">
                  <c:v>25323848.8968</c:v>
                </c:pt>
                <c:pt idx="613">
                  <c:v>25396678.5308</c:v>
                </c:pt>
                <c:pt idx="614">
                  <c:v>25469687.9553</c:v>
                </c:pt>
                <c:pt idx="615">
                  <c:v>25542875.030699998</c:v>
                </c:pt>
                <c:pt idx="616">
                  <c:v>25616326.434599999</c:v>
                </c:pt>
                <c:pt idx="617">
                  <c:v>25689986.152100001</c:v>
                </c:pt>
                <c:pt idx="618">
                  <c:v>25763794.510699999</c:v>
                </c:pt>
                <c:pt idx="619">
                  <c:v>25837788.094300002</c:v>
                </c:pt>
                <c:pt idx="620">
                  <c:v>25911949.508499999</c:v>
                </c:pt>
                <c:pt idx="621">
                  <c:v>25986313.9736</c:v>
                </c:pt>
                <c:pt idx="622">
                  <c:v>26060868.873</c:v>
                </c:pt>
                <c:pt idx="623">
                  <c:v>26135601.711599998</c:v>
                </c:pt>
                <c:pt idx="624">
                  <c:v>26210487.388900001</c:v>
                </c:pt>
                <c:pt idx="625">
                  <c:v>26285561.023800001</c:v>
                </c:pt>
                <c:pt idx="626">
                  <c:v>26360795.0973</c:v>
                </c:pt>
                <c:pt idx="627">
                  <c:v>26436198.677999999</c:v>
                </c:pt>
                <c:pt idx="628">
                  <c:v>26511760.188999999</c:v>
                </c:pt>
                <c:pt idx="629">
                  <c:v>26587489.7267</c:v>
                </c:pt>
                <c:pt idx="630">
                  <c:v>26663375.120900001</c:v>
                </c:pt>
                <c:pt idx="631">
                  <c:v>26739411.035300002</c:v>
                </c:pt>
                <c:pt idx="632">
                  <c:v>26815617.3303</c:v>
                </c:pt>
                <c:pt idx="633">
                  <c:v>26891985.701299999</c:v>
                </c:pt>
                <c:pt idx="634">
                  <c:v>26968504.313099999</c:v>
                </c:pt>
                <c:pt idx="635">
                  <c:v>27045178.227000002</c:v>
                </c:pt>
                <c:pt idx="636">
                  <c:v>27121998.123799998</c:v>
                </c:pt>
                <c:pt idx="637">
                  <c:v>27198954.092500001</c:v>
                </c:pt>
                <c:pt idx="638">
                  <c:v>27276070.289900001</c:v>
                </c:pt>
                <c:pt idx="639">
                  <c:v>27353337.044500001</c:v>
                </c:pt>
                <c:pt idx="640">
                  <c:v>27430747.1699</c:v>
                </c:pt>
                <c:pt idx="641">
                  <c:v>27508302.182500001</c:v>
                </c:pt>
                <c:pt idx="642">
                  <c:v>27585991.9003</c:v>
                </c:pt>
                <c:pt idx="643">
                  <c:v>27663819.463599999</c:v>
                </c:pt>
                <c:pt idx="644">
                  <c:v>27741763.5984</c:v>
                </c:pt>
                <c:pt idx="645">
                  <c:v>27819860.274900001</c:v>
                </c:pt>
                <c:pt idx="646">
                  <c:v>27898089.953400001</c:v>
                </c:pt>
                <c:pt idx="647">
                  <c:v>27976458.096799999</c:v>
                </c:pt>
                <c:pt idx="648">
                  <c:v>28054960.1525</c:v>
                </c:pt>
                <c:pt idx="649">
                  <c:v>28133601.137400001</c:v>
                </c:pt>
                <c:pt idx="650">
                  <c:v>28212361.3303</c:v>
                </c:pt>
                <c:pt idx="651">
                  <c:v>28291279.734900001</c:v>
                </c:pt>
                <c:pt idx="652">
                  <c:v>28370338.448899999</c:v>
                </c:pt>
                <c:pt idx="653">
                  <c:v>28449542.661400001</c:v>
                </c:pt>
                <c:pt idx="654">
                  <c:v>28528891.876200002</c:v>
                </c:pt>
                <c:pt idx="655">
                  <c:v>28608396.6897</c:v>
                </c:pt>
                <c:pt idx="656">
                  <c:v>28688037.7258</c:v>
                </c:pt>
                <c:pt idx="657">
                  <c:v>28767851.6098</c:v>
                </c:pt>
                <c:pt idx="658">
                  <c:v>28847815.841800001</c:v>
                </c:pt>
                <c:pt idx="659">
                  <c:v>28927930.1094</c:v>
                </c:pt>
                <c:pt idx="660">
                  <c:v>29008186.650800001</c:v>
                </c:pt>
                <c:pt idx="661">
                  <c:v>29088585.979600001</c:v>
                </c:pt>
                <c:pt idx="662">
                  <c:v>29169123.5506</c:v>
                </c:pt>
                <c:pt idx="663">
                  <c:v>29249787.504500002</c:v>
                </c:pt>
                <c:pt idx="664">
                  <c:v>29330605.9036</c:v>
                </c:pt>
                <c:pt idx="665">
                  <c:v>29411565.713599999</c:v>
                </c:pt>
                <c:pt idx="666">
                  <c:v>29492664.4102</c:v>
                </c:pt>
                <c:pt idx="667">
                  <c:v>29573908.649500001</c:v>
                </c:pt>
                <c:pt idx="668">
                  <c:v>29655294.123799998</c:v>
                </c:pt>
                <c:pt idx="669">
                  <c:v>29736810.300500002</c:v>
                </c:pt>
                <c:pt idx="670">
                  <c:v>29818488.287099998</c:v>
                </c:pt>
                <c:pt idx="671">
                  <c:v>32844525</c:v>
                </c:pt>
              </c:numCache>
            </c:numRef>
          </c:yVal>
          <c:smooth val="0"/>
          <c:extLst>
            <c:ext xmlns:c16="http://schemas.microsoft.com/office/drawing/2014/chart" uri="{C3380CC4-5D6E-409C-BE32-E72D297353CC}">
              <c16:uniqueId val="{00000000-4A19-4219-A0C8-9DDB944F9C30}"/>
            </c:ext>
          </c:extLst>
        </c:ser>
        <c:dLbls>
          <c:showLegendKey val="0"/>
          <c:showVal val="0"/>
          <c:showCatName val="0"/>
          <c:showSerName val="0"/>
          <c:showPercent val="0"/>
          <c:showBubbleSize val="0"/>
        </c:dLbls>
        <c:axId val="490849680"/>
        <c:axId val="490849288"/>
      </c:scatterChart>
      <c:valAx>
        <c:axId val="490849680"/>
        <c:scaling>
          <c:orientation val="minMax"/>
          <c:max val="1250"/>
          <c:min val="890"/>
        </c:scaling>
        <c:delete val="0"/>
        <c:axPos val="b"/>
        <c:title>
          <c:tx>
            <c:rich>
              <a:bodyPr/>
              <a:lstStyle/>
              <a:p>
                <a:pPr>
                  <a:defRPr sz="1000" b="1" i="0" u="none" strike="noStrike" baseline="0">
                    <a:solidFill>
                      <a:srgbClr val="000000"/>
                    </a:solidFill>
                    <a:latin typeface="Calibri"/>
                    <a:ea typeface="Calibri"/>
                    <a:cs typeface="Calibri"/>
                  </a:defRPr>
                </a:pPr>
                <a:r>
                  <a:rPr lang="en-US"/>
                  <a:t>Elevation (ft))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90849288"/>
        <c:crosses val="autoZero"/>
        <c:crossBetween val="midCat"/>
      </c:valAx>
      <c:valAx>
        <c:axId val="490849288"/>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en-US"/>
                  <a:t>Total Volume (ac-ft)</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90849680"/>
        <c:crosses val="autoZero"/>
        <c:crossBetween val="midCat"/>
      </c:valAx>
      <c:spPr>
        <a:ln w="12700">
          <a:solidFill>
            <a:schemeClr val="tx1"/>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Storage-Area</c:v>
          </c:tx>
          <c:spPr>
            <a:ln>
              <a:solidFill>
                <a:srgbClr val="FF0000"/>
              </a:solidFill>
            </a:ln>
          </c:spPr>
          <c:marker>
            <c:spPr>
              <a:ln>
                <a:solidFill>
                  <a:srgbClr val="FF0000"/>
                </a:solidFill>
              </a:ln>
            </c:spPr>
          </c:marker>
          <c:xVal>
            <c:numRef>
              <c:f>'Mead-Elevation-Area'!$C$5:$C$688</c:f>
              <c:numCache>
                <c:formatCode>_(* #,##0_);_(* \(#,##0\);_(* "-"??_);_(@_)</c:formatCode>
                <c:ptCount val="684"/>
                <c:pt idx="0">
                  <c:v>2035000</c:v>
                </c:pt>
                <c:pt idx="1">
                  <c:v>2050111</c:v>
                </c:pt>
                <c:pt idx="2">
                  <c:v>2065270</c:v>
                </c:pt>
                <c:pt idx="3">
                  <c:v>2080479</c:v>
                </c:pt>
                <c:pt idx="4">
                  <c:v>2095736</c:v>
                </c:pt>
                <c:pt idx="5">
                  <c:v>2111043</c:v>
                </c:pt>
                <c:pt idx="6">
                  <c:v>2126397.9999998999</c:v>
                </c:pt>
                <c:pt idx="7">
                  <c:v>2141803</c:v>
                </c:pt>
                <c:pt idx="8">
                  <c:v>2157257</c:v>
                </c:pt>
                <c:pt idx="9">
                  <c:v>2172759</c:v>
                </c:pt>
                <c:pt idx="10">
                  <c:v>2188311</c:v>
                </c:pt>
                <c:pt idx="11">
                  <c:v>2203917</c:v>
                </c:pt>
                <c:pt idx="12">
                  <c:v>2219584</c:v>
                </c:pt>
                <c:pt idx="13">
                  <c:v>2235311</c:v>
                </c:pt>
                <c:pt idx="14">
                  <c:v>2251098</c:v>
                </c:pt>
                <c:pt idx="15">
                  <c:v>2266946</c:v>
                </c:pt>
                <c:pt idx="16">
                  <c:v>2282854</c:v>
                </c:pt>
                <c:pt idx="17">
                  <c:v>2298822</c:v>
                </c:pt>
                <c:pt idx="18">
                  <c:v>2314851</c:v>
                </c:pt>
                <c:pt idx="19">
                  <c:v>2330939</c:v>
                </c:pt>
                <c:pt idx="20">
                  <c:v>2347088</c:v>
                </c:pt>
                <c:pt idx="21">
                  <c:v>2363298</c:v>
                </c:pt>
                <c:pt idx="22">
                  <c:v>2379568</c:v>
                </c:pt>
                <c:pt idx="23">
                  <c:v>2395898</c:v>
                </c:pt>
                <c:pt idx="24">
                  <c:v>2412288</c:v>
                </c:pt>
                <c:pt idx="25">
                  <c:v>2428739</c:v>
                </c:pt>
                <c:pt idx="26">
                  <c:v>2445250</c:v>
                </c:pt>
                <c:pt idx="27">
                  <c:v>2461821</c:v>
                </c:pt>
                <c:pt idx="28">
                  <c:v>2478452</c:v>
                </c:pt>
                <c:pt idx="29">
                  <c:v>2495144</c:v>
                </c:pt>
                <c:pt idx="30">
                  <c:v>2511896</c:v>
                </c:pt>
                <c:pt idx="31">
                  <c:v>2528708</c:v>
                </c:pt>
                <c:pt idx="32">
                  <c:v>2545579</c:v>
                </c:pt>
                <c:pt idx="33">
                  <c:v>2562509</c:v>
                </c:pt>
                <c:pt idx="34">
                  <c:v>2579497</c:v>
                </c:pt>
                <c:pt idx="35">
                  <c:v>2596545</c:v>
                </c:pt>
                <c:pt idx="36">
                  <c:v>2613651</c:v>
                </c:pt>
                <c:pt idx="37">
                  <c:v>2630817</c:v>
                </c:pt>
                <c:pt idx="38">
                  <c:v>2648041</c:v>
                </c:pt>
                <c:pt idx="39">
                  <c:v>2665324</c:v>
                </c:pt>
                <c:pt idx="40">
                  <c:v>2682667</c:v>
                </c:pt>
                <c:pt idx="41">
                  <c:v>2700068</c:v>
                </c:pt>
                <c:pt idx="42">
                  <c:v>2717528</c:v>
                </c:pt>
                <c:pt idx="43">
                  <c:v>2735047</c:v>
                </c:pt>
                <c:pt idx="44">
                  <c:v>2752625</c:v>
                </c:pt>
                <c:pt idx="45">
                  <c:v>2770262</c:v>
                </c:pt>
                <c:pt idx="46">
                  <c:v>2787958</c:v>
                </c:pt>
                <c:pt idx="47">
                  <c:v>2805713</c:v>
                </c:pt>
                <c:pt idx="48">
                  <c:v>2823526</c:v>
                </c:pt>
                <c:pt idx="49">
                  <c:v>2841399</c:v>
                </c:pt>
                <c:pt idx="50">
                  <c:v>2859331.000002</c:v>
                </c:pt>
                <c:pt idx="51">
                  <c:v>2877319.999998</c:v>
                </c:pt>
                <c:pt idx="52">
                  <c:v>2895367.000004</c:v>
                </c:pt>
                <c:pt idx="53">
                  <c:v>2913470.999998</c:v>
                </c:pt>
                <c:pt idx="54">
                  <c:v>2931630.999998</c:v>
                </c:pt>
                <c:pt idx="55">
                  <c:v>2949849.0000010002</c:v>
                </c:pt>
                <c:pt idx="56">
                  <c:v>2968123.000002</c:v>
                </c:pt>
                <c:pt idx="57">
                  <c:v>2986454.9999970002</c:v>
                </c:pt>
                <c:pt idx="58">
                  <c:v>3004843.999996</c:v>
                </c:pt>
                <c:pt idx="59">
                  <c:v>3023290</c:v>
                </c:pt>
                <c:pt idx="60">
                  <c:v>3041793</c:v>
                </c:pt>
                <c:pt idx="61">
                  <c:v>3060353</c:v>
                </c:pt>
                <c:pt idx="62">
                  <c:v>3078970</c:v>
                </c:pt>
                <c:pt idx="63">
                  <c:v>3097644</c:v>
                </c:pt>
                <c:pt idx="64">
                  <c:v>3116375</c:v>
                </c:pt>
                <c:pt idx="65">
                  <c:v>3135163</c:v>
                </c:pt>
                <c:pt idx="66">
                  <c:v>3154008</c:v>
                </c:pt>
                <c:pt idx="67">
                  <c:v>3172910</c:v>
                </c:pt>
                <c:pt idx="68">
                  <c:v>3191869</c:v>
                </c:pt>
                <c:pt idx="69">
                  <c:v>3210885</c:v>
                </c:pt>
                <c:pt idx="70">
                  <c:v>3229958</c:v>
                </c:pt>
                <c:pt idx="71">
                  <c:v>3249089</c:v>
                </c:pt>
                <c:pt idx="72">
                  <c:v>3268278</c:v>
                </c:pt>
                <c:pt idx="73">
                  <c:v>3287525</c:v>
                </c:pt>
                <c:pt idx="74">
                  <c:v>3306830</c:v>
                </c:pt>
                <c:pt idx="75">
                  <c:v>3326193</c:v>
                </c:pt>
                <c:pt idx="76">
                  <c:v>3345614</c:v>
                </c:pt>
                <c:pt idx="77">
                  <c:v>3365093</c:v>
                </c:pt>
                <c:pt idx="78">
                  <c:v>3384630</c:v>
                </c:pt>
                <c:pt idx="79">
                  <c:v>3404226</c:v>
                </c:pt>
                <c:pt idx="80">
                  <c:v>3423879</c:v>
                </c:pt>
                <c:pt idx="81">
                  <c:v>3443591</c:v>
                </c:pt>
                <c:pt idx="82">
                  <c:v>3463360</c:v>
                </c:pt>
                <c:pt idx="83">
                  <c:v>3483188</c:v>
                </c:pt>
                <c:pt idx="84">
                  <c:v>3503074</c:v>
                </c:pt>
                <c:pt idx="85">
                  <c:v>3523018</c:v>
                </c:pt>
                <c:pt idx="86">
                  <c:v>3543019</c:v>
                </c:pt>
                <c:pt idx="87">
                  <c:v>3563079</c:v>
                </c:pt>
                <c:pt idx="88">
                  <c:v>3583198</c:v>
                </c:pt>
                <c:pt idx="89">
                  <c:v>3603374</c:v>
                </c:pt>
                <c:pt idx="90">
                  <c:v>3623608</c:v>
                </c:pt>
                <c:pt idx="91">
                  <c:v>3643900</c:v>
                </c:pt>
                <c:pt idx="92">
                  <c:v>3664251</c:v>
                </c:pt>
                <c:pt idx="93">
                  <c:v>3684661</c:v>
                </c:pt>
                <c:pt idx="94">
                  <c:v>3705130</c:v>
                </c:pt>
                <c:pt idx="95">
                  <c:v>3725656</c:v>
                </c:pt>
                <c:pt idx="96">
                  <c:v>3746242</c:v>
                </c:pt>
                <c:pt idx="97">
                  <c:v>3766886</c:v>
                </c:pt>
                <c:pt idx="98">
                  <c:v>3787588</c:v>
                </c:pt>
                <c:pt idx="99">
                  <c:v>3808349</c:v>
                </c:pt>
                <c:pt idx="100">
                  <c:v>3829169</c:v>
                </c:pt>
                <c:pt idx="101">
                  <c:v>3850047</c:v>
                </c:pt>
                <c:pt idx="102">
                  <c:v>3870984</c:v>
                </c:pt>
                <c:pt idx="103">
                  <c:v>3891979</c:v>
                </c:pt>
                <c:pt idx="104">
                  <c:v>3913033</c:v>
                </c:pt>
                <c:pt idx="105">
                  <c:v>3934145</c:v>
                </c:pt>
                <c:pt idx="106">
                  <c:v>3955316</c:v>
                </c:pt>
                <c:pt idx="107">
                  <c:v>3976545</c:v>
                </c:pt>
                <c:pt idx="108">
                  <c:v>3997834</c:v>
                </c:pt>
                <c:pt idx="109">
                  <c:v>4019180</c:v>
                </c:pt>
                <c:pt idx="110">
                  <c:v>4040585</c:v>
                </c:pt>
                <c:pt idx="111">
                  <c:v>4062052</c:v>
                </c:pt>
                <c:pt idx="112">
                  <c:v>4083584</c:v>
                </c:pt>
                <c:pt idx="113">
                  <c:v>4105180</c:v>
                </c:pt>
                <c:pt idx="114">
                  <c:v>4126842</c:v>
                </c:pt>
                <c:pt idx="115">
                  <c:v>4148568</c:v>
                </c:pt>
                <c:pt idx="116">
                  <c:v>4170358</c:v>
                </c:pt>
                <c:pt idx="117">
                  <c:v>4192214</c:v>
                </c:pt>
                <c:pt idx="118">
                  <c:v>4214135</c:v>
                </c:pt>
                <c:pt idx="119">
                  <c:v>4236120</c:v>
                </c:pt>
                <c:pt idx="120">
                  <c:v>4258170</c:v>
                </c:pt>
                <c:pt idx="121">
                  <c:v>4280285</c:v>
                </c:pt>
                <c:pt idx="122">
                  <c:v>4302464</c:v>
                </c:pt>
                <c:pt idx="123">
                  <c:v>4324709</c:v>
                </c:pt>
                <c:pt idx="124">
                  <c:v>4347018</c:v>
                </c:pt>
                <c:pt idx="125">
                  <c:v>4369392</c:v>
                </c:pt>
                <c:pt idx="126">
                  <c:v>4391831</c:v>
                </c:pt>
                <c:pt idx="127">
                  <c:v>4414335</c:v>
                </c:pt>
                <c:pt idx="128">
                  <c:v>4436903</c:v>
                </c:pt>
                <c:pt idx="129">
                  <c:v>4459536</c:v>
                </c:pt>
                <c:pt idx="130">
                  <c:v>4482235</c:v>
                </c:pt>
                <c:pt idx="131">
                  <c:v>4504995</c:v>
                </c:pt>
                <c:pt idx="132">
                  <c:v>4527815</c:v>
                </c:pt>
                <c:pt idx="133">
                  <c:v>4550695</c:v>
                </c:pt>
                <c:pt idx="134">
                  <c:v>4573634</c:v>
                </c:pt>
                <c:pt idx="135">
                  <c:v>4596633</c:v>
                </c:pt>
                <c:pt idx="136">
                  <c:v>4619691</c:v>
                </c:pt>
                <c:pt idx="137">
                  <c:v>4642809</c:v>
                </c:pt>
                <c:pt idx="138">
                  <c:v>4665987</c:v>
                </c:pt>
                <c:pt idx="139">
                  <c:v>4689225</c:v>
                </c:pt>
                <c:pt idx="140">
                  <c:v>4712522</c:v>
                </c:pt>
                <c:pt idx="141">
                  <c:v>4735878</c:v>
                </c:pt>
                <c:pt idx="142">
                  <c:v>4759295</c:v>
                </c:pt>
                <c:pt idx="143">
                  <c:v>4782771</c:v>
                </c:pt>
                <c:pt idx="144">
                  <c:v>4806306</c:v>
                </c:pt>
                <c:pt idx="145">
                  <c:v>4829901</c:v>
                </c:pt>
                <c:pt idx="146">
                  <c:v>4853556</c:v>
                </c:pt>
                <c:pt idx="147">
                  <c:v>4877271</c:v>
                </c:pt>
                <c:pt idx="148">
                  <c:v>4901046</c:v>
                </c:pt>
                <c:pt idx="149">
                  <c:v>4924878</c:v>
                </c:pt>
                <c:pt idx="150">
                  <c:v>4948772</c:v>
                </c:pt>
                <c:pt idx="151">
                  <c:v>4972729</c:v>
                </c:pt>
                <c:pt idx="152">
                  <c:v>4996753</c:v>
                </c:pt>
                <c:pt idx="153">
                  <c:v>5020843</c:v>
                </c:pt>
                <c:pt idx="154">
                  <c:v>5045001</c:v>
                </c:pt>
                <c:pt idx="155">
                  <c:v>5069226</c:v>
                </c:pt>
                <c:pt idx="156">
                  <c:v>5093517</c:v>
                </c:pt>
                <c:pt idx="157">
                  <c:v>5117876</c:v>
                </c:pt>
                <c:pt idx="158">
                  <c:v>5142301</c:v>
                </c:pt>
                <c:pt idx="159">
                  <c:v>5166794</c:v>
                </c:pt>
                <c:pt idx="160">
                  <c:v>5191353</c:v>
                </c:pt>
                <c:pt idx="161">
                  <c:v>5215979</c:v>
                </c:pt>
                <c:pt idx="162">
                  <c:v>5240673</c:v>
                </c:pt>
                <c:pt idx="163">
                  <c:v>5265433</c:v>
                </c:pt>
                <c:pt idx="164">
                  <c:v>5290260</c:v>
                </c:pt>
                <c:pt idx="165">
                  <c:v>5315154</c:v>
                </c:pt>
                <c:pt idx="166">
                  <c:v>5340115</c:v>
                </c:pt>
                <c:pt idx="167">
                  <c:v>5365143</c:v>
                </c:pt>
                <c:pt idx="168">
                  <c:v>5390238</c:v>
                </c:pt>
                <c:pt idx="169">
                  <c:v>5415401</c:v>
                </c:pt>
                <c:pt idx="170">
                  <c:v>5440630</c:v>
                </c:pt>
                <c:pt idx="171">
                  <c:v>5465929</c:v>
                </c:pt>
                <c:pt idx="172">
                  <c:v>5491303</c:v>
                </c:pt>
                <c:pt idx="173">
                  <c:v>5516753</c:v>
                </c:pt>
                <c:pt idx="174">
                  <c:v>5542278</c:v>
                </c:pt>
                <c:pt idx="175">
                  <c:v>5567877</c:v>
                </c:pt>
                <c:pt idx="176">
                  <c:v>5593550</c:v>
                </c:pt>
                <c:pt idx="177">
                  <c:v>5619299</c:v>
                </c:pt>
                <c:pt idx="178">
                  <c:v>5645123</c:v>
                </c:pt>
                <c:pt idx="179">
                  <c:v>5671021</c:v>
                </c:pt>
                <c:pt idx="180">
                  <c:v>5696994</c:v>
                </c:pt>
                <c:pt idx="181">
                  <c:v>5723042</c:v>
                </c:pt>
                <c:pt idx="182">
                  <c:v>5749165</c:v>
                </c:pt>
                <c:pt idx="183">
                  <c:v>5775363</c:v>
                </c:pt>
                <c:pt idx="184">
                  <c:v>5801635</c:v>
                </c:pt>
                <c:pt idx="185">
                  <c:v>5827982</c:v>
                </c:pt>
                <c:pt idx="186">
                  <c:v>5854405</c:v>
                </c:pt>
                <c:pt idx="187">
                  <c:v>5880902</c:v>
                </c:pt>
                <c:pt idx="188">
                  <c:v>5907474</c:v>
                </c:pt>
                <c:pt idx="189">
                  <c:v>5934120</c:v>
                </c:pt>
                <c:pt idx="190">
                  <c:v>5960842</c:v>
                </c:pt>
                <c:pt idx="191">
                  <c:v>5987636</c:v>
                </c:pt>
                <c:pt idx="192">
                  <c:v>6014502</c:v>
                </c:pt>
                <c:pt idx="193">
                  <c:v>6041440</c:v>
                </c:pt>
                <c:pt idx="194">
                  <c:v>6068448</c:v>
                </c:pt>
                <c:pt idx="195">
                  <c:v>6095528</c:v>
                </c:pt>
                <c:pt idx="196">
                  <c:v>6122680</c:v>
                </c:pt>
                <c:pt idx="197">
                  <c:v>6149903</c:v>
                </c:pt>
                <c:pt idx="198">
                  <c:v>6177198</c:v>
                </c:pt>
                <c:pt idx="199">
                  <c:v>6204563</c:v>
                </c:pt>
                <c:pt idx="200">
                  <c:v>6232001</c:v>
                </c:pt>
                <c:pt idx="201">
                  <c:v>6259510</c:v>
                </c:pt>
                <c:pt idx="202">
                  <c:v>6287089</c:v>
                </c:pt>
                <c:pt idx="203">
                  <c:v>6314741</c:v>
                </c:pt>
                <c:pt idx="204">
                  <c:v>6342464</c:v>
                </c:pt>
                <c:pt idx="205">
                  <c:v>6370258</c:v>
                </c:pt>
                <c:pt idx="206">
                  <c:v>6398125</c:v>
                </c:pt>
                <c:pt idx="207">
                  <c:v>6426061</c:v>
                </c:pt>
                <c:pt idx="208">
                  <c:v>6454070</c:v>
                </c:pt>
                <c:pt idx="209">
                  <c:v>6482150</c:v>
                </c:pt>
                <c:pt idx="210">
                  <c:v>6510301</c:v>
                </c:pt>
                <c:pt idx="211">
                  <c:v>6538527</c:v>
                </c:pt>
                <c:pt idx="212">
                  <c:v>6566830</c:v>
                </c:pt>
                <c:pt idx="213">
                  <c:v>6595212</c:v>
                </c:pt>
                <c:pt idx="214">
                  <c:v>6623670</c:v>
                </c:pt>
                <c:pt idx="215">
                  <c:v>6652206</c:v>
                </c:pt>
                <c:pt idx="216">
                  <c:v>6680820</c:v>
                </c:pt>
                <c:pt idx="217">
                  <c:v>6709511</c:v>
                </c:pt>
                <c:pt idx="218">
                  <c:v>6738279</c:v>
                </c:pt>
                <c:pt idx="219">
                  <c:v>6767126</c:v>
                </c:pt>
                <c:pt idx="220">
                  <c:v>6796049</c:v>
                </c:pt>
                <c:pt idx="221">
                  <c:v>6825050</c:v>
                </c:pt>
                <c:pt idx="222">
                  <c:v>6854129</c:v>
                </c:pt>
                <c:pt idx="223">
                  <c:v>6883286</c:v>
                </c:pt>
                <c:pt idx="224">
                  <c:v>6912519</c:v>
                </c:pt>
                <c:pt idx="225">
                  <c:v>6941831</c:v>
                </c:pt>
                <c:pt idx="226">
                  <c:v>6971219</c:v>
                </c:pt>
                <c:pt idx="227">
                  <c:v>7000686</c:v>
                </c:pt>
                <c:pt idx="228">
                  <c:v>7030230</c:v>
                </c:pt>
                <c:pt idx="229">
                  <c:v>7059851</c:v>
                </c:pt>
                <c:pt idx="230">
                  <c:v>7089550</c:v>
                </c:pt>
                <c:pt idx="231">
                  <c:v>7119326</c:v>
                </c:pt>
                <c:pt idx="232">
                  <c:v>7149179</c:v>
                </c:pt>
                <c:pt idx="233">
                  <c:v>7179107</c:v>
                </c:pt>
                <c:pt idx="234">
                  <c:v>7209113</c:v>
                </c:pt>
                <c:pt idx="235">
                  <c:v>7239194</c:v>
                </c:pt>
                <c:pt idx="236">
                  <c:v>7269353</c:v>
                </c:pt>
                <c:pt idx="237">
                  <c:v>7299587</c:v>
                </c:pt>
                <c:pt idx="238">
                  <c:v>7329898</c:v>
                </c:pt>
                <c:pt idx="239">
                  <c:v>7360286</c:v>
                </c:pt>
                <c:pt idx="240">
                  <c:v>7390750</c:v>
                </c:pt>
                <c:pt idx="241">
                  <c:v>7421290</c:v>
                </c:pt>
                <c:pt idx="242">
                  <c:v>7451907</c:v>
                </c:pt>
                <c:pt idx="243">
                  <c:v>7482600</c:v>
                </c:pt>
                <c:pt idx="244">
                  <c:v>7513370</c:v>
                </c:pt>
                <c:pt idx="245">
                  <c:v>7544216</c:v>
                </c:pt>
                <c:pt idx="246">
                  <c:v>7575139</c:v>
                </c:pt>
                <c:pt idx="247">
                  <c:v>7606138</c:v>
                </c:pt>
                <c:pt idx="248">
                  <c:v>7637213</c:v>
                </c:pt>
                <c:pt idx="249">
                  <c:v>7668365</c:v>
                </c:pt>
                <c:pt idx="250">
                  <c:v>7699593</c:v>
                </c:pt>
                <c:pt idx="251">
                  <c:v>7730898</c:v>
                </c:pt>
                <c:pt idx="252">
                  <c:v>7762281</c:v>
                </c:pt>
                <c:pt idx="253">
                  <c:v>7793741</c:v>
                </c:pt>
                <c:pt idx="254">
                  <c:v>7825278</c:v>
                </c:pt>
                <c:pt idx="255">
                  <c:v>7856892</c:v>
                </c:pt>
                <c:pt idx="256">
                  <c:v>7888583</c:v>
                </c:pt>
                <c:pt idx="257">
                  <c:v>7920352</c:v>
                </c:pt>
                <c:pt idx="258">
                  <c:v>7952198</c:v>
                </c:pt>
                <c:pt idx="259">
                  <c:v>7984121</c:v>
                </c:pt>
                <c:pt idx="260">
                  <c:v>8016122</c:v>
                </c:pt>
                <c:pt idx="261">
                  <c:v>8048200</c:v>
                </c:pt>
                <c:pt idx="262">
                  <c:v>8080355</c:v>
                </c:pt>
                <c:pt idx="263">
                  <c:v>8112587</c:v>
                </c:pt>
                <c:pt idx="264">
                  <c:v>8144897</c:v>
                </c:pt>
                <c:pt idx="265">
                  <c:v>8177284</c:v>
                </c:pt>
                <c:pt idx="266">
                  <c:v>8209748</c:v>
                </c:pt>
                <c:pt idx="267">
                  <c:v>8242289</c:v>
                </c:pt>
                <c:pt idx="268">
                  <c:v>8274908</c:v>
                </c:pt>
                <c:pt idx="269">
                  <c:v>8307604</c:v>
                </c:pt>
                <c:pt idx="270">
                  <c:v>8340377</c:v>
                </c:pt>
                <c:pt idx="271">
                  <c:v>8373229</c:v>
                </c:pt>
                <c:pt idx="272">
                  <c:v>8406161</c:v>
                </c:pt>
                <c:pt idx="273">
                  <c:v>8439174</c:v>
                </c:pt>
                <c:pt idx="274">
                  <c:v>8472266</c:v>
                </c:pt>
                <c:pt idx="275">
                  <c:v>8505439</c:v>
                </c:pt>
                <c:pt idx="276">
                  <c:v>8538693</c:v>
                </c:pt>
                <c:pt idx="277">
                  <c:v>8572026</c:v>
                </c:pt>
                <c:pt idx="278">
                  <c:v>8605440</c:v>
                </c:pt>
                <c:pt idx="279">
                  <c:v>8638934</c:v>
                </c:pt>
                <c:pt idx="280">
                  <c:v>8672508</c:v>
                </c:pt>
                <c:pt idx="281">
                  <c:v>8706163</c:v>
                </c:pt>
                <c:pt idx="282">
                  <c:v>8739897</c:v>
                </c:pt>
                <c:pt idx="283">
                  <c:v>8773713</c:v>
                </c:pt>
                <c:pt idx="284">
                  <c:v>8807608</c:v>
                </c:pt>
                <c:pt idx="285">
                  <c:v>8841583</c:v>
                </c:pt>
                <c:pt idx="286">
                  <c:v>8875639</c:v>
                </c:pt>
                <c:pt idx="287">
                  <c:v>8909775</c:v>
                </c:pt>
                <c:pt idx="288">
                  <c:v>8943992</c:v>
                </c:pt>
                <c:pt idx="289">
                  <c:v>8978288</c:v>
                </c:pt>
                <c:pt idx="290">
                  <c:v>9012665</c:v>
                </c:pt>
                <c:pt idx="291">
                  <c:v>9047124</c:v>
                </c:pt>
                <c:pt idx="292">
                  <c:v>9081668</c:v>
                </c:pt>
                <c:pt idx="293">
                  <c:v>9116296</c:v>
                </c:pt>
                <c:pt idx="294">
                  <c:v>9151008</c:v>
                </c:pt>
                <c:pt idx="295">
                  <c:v>9185804</c:v>
                </c:pt>
                <c:pt idx="296">
                  <c:v>9220685</c:v>
                </c:pt>
                <c:pt idx="297">
                  <c:v>9255651</c:v>
                </c:pt>
                <c:pt idx="298">
                  <c:v>9290700</c:v>
                </c:pt>
                <c:pt idx="299">
                  <c:v>9325834</c:v>
                </c:pt>
                <c:pt idx="300">
                  <c:v>9361052</c:v>
                </c:pt>
                <c:pt idx="301">
                  <c:v>9396355</c:v>
                </c:pt>
                <c:pt idx="302">
                  <c:v>9431742</c:v>
                </c:pt>
                <c:pt idx="303">
                  <c:v>9467213</c:v>
                </c:pt>
                <c:pt idx="304">
                  <c:v>9502768</c:v>
                </c:pt>
                <c:pt idx="305">
                  <c:v>9538408</c:v>
                </c:pt>
                <c:pt idx="306">
                  <c:v>9574138</c:v>
                </c:pt>
                <c:pt idx="307">
                  <c:v>9609938</c:v>
                </c:pt>
                <c:pt idx="308">
                  <c:v>9645838</c:v>
                </c:pt>
                <c:pt idx="309">
                  <c:v>9681818</c:v>
                </c:pt>
                <c:pt idx="310">
                  <c:v>9717878</c:v>
                </c:pt>
                <c:pt idx="311">
                  <c:v>9754018</c:v>
                </c:pt>
                <c:pt idx="312">
                  <c:v>9790258</c:v>
                </c:pt>
                <c:pt idx="313">
                  <c:v>9826588</c:v>
                </c:pt>
                <c:pt idx="314">
                  <c:v>9863018</c:v>
                </c:pt>
                <c:pt idx="315">
                  <c:v>9899528</c:v>
                </c:pt>
                <c:pt idx="316">
                  <c:v>9936128</c:v>
                </c:pt>
                <c:pt idx="317">
                  <c:v>9972828</c:v>
                </c:pt>
                <c:pt idx="318">
                  <c:v>10009608</c:v>
                </c:pt>
                <c:pt idx="319">
                  <c:v>10046488</c:v>
                </c:pt>
                <c:pt idx="320">
                  <c:v>10083458</c:v>
                </c:pt>
                <c:pt idx="321">
                  <c:v>10120508</c:v>
                </c:pt>
                <c:pt idx="322">
                  <c:v>10157657.999990001</c:v>
                </c:pt>
                <c:pt idx="323">
                  <c:v>10194897.99997</c:v>
                </c:pt>
                <c:pt idx="324">
                  <c:v>10232217.999990001</c:v>
                </c:pt>
                <c:pt idx="325">
                  <c:v>10269638.000020001</c:v>
                </c:pt>
                <c:pt idx="326">
                  <c:v>10307148</c:v>
                </c:pt>
                <c:pt idx="327">
                  <c:v>10344748</c:v>
                </c:pt>
                <c:pt idx="328">
                  <c:v>10382438.00004</c:v>
                </c:pt>
                <c:pt idx="329">
                  <c:v>10420218.000020001</c:v>
                </c:pt>
                <c:pt idx="330">
                  <c:v>10458088.00003</c:v>
                </c:pt>
                <c:pt idx="331">
                  <c:v>10496047.999989999</c:v>
                </c:pt>
                <c:pt idx="332">
                  <c:v>10534097.99997</c:v>
                </c:pt>
                <c:pt idx="333">
                  <c:v>10572247.99997</c:v>
                </c:pt>
                <c:pt idx="334">
                  <c:v>10610478.000010001</c:v>
                </c:pt>
                <c:pt idx="335">
                  <c:v>10648798</c:v>
                </c:pt>
                <c:pt idx="336">
                  <c:v>10687218</c:v>
                </c:pt>
                <c:pt idx="337">
                  <c:v>10725717.99996</c:v>
                </c:pt>
                <c:pt idx="338">
                  <c:v>10764308.00003</c:v>
                </c:pt>
                <c:pt idx="339">
                  <c:v>10802998.00004</c:v>
                </c:pt>
                <c:pt idx="340">
                  <c:v>10841768</c:v>
                </c:pt>
                <c:pt idx="341">
                  <c:v>10880637.999980001</c:v>
                </c:pt>
                <c:pt idx="342">
                  <c:v>10919597.999989999</c:v>
                </c:pt>
                <c:pt idx="343">
                  <c:v>10958637.99996</c:v>
                </c:pt>
                <c:pt idx="344">
                  <c:v>10997778.000019999</c:v>
                </c:pt>
                <c:pt idx="345">
                  <c:v>11037008.00003</c:v>
                </c:pt>
                <c:pt idx="346">
                  <c:v>11076327.999989999</c:v>
                </c:pt>
                <c:pt idx="347">
                  <c:v>11115737.999980001</c:v>
                </c:pt>
                <c:pt idx="348">
                  <c:v>11155237.999989999</c:v>
                </c:pt>
                <c:pt idx="349">
                  <c:v>11194828.00003</c:v>
                </c:pt>
                <c:pt idx="350">
                  <c:v>11234508.000019999</c:v>
                </c:pt>
                <c:pt idx="351">
                  <c:v>11274267.99997</c:v>
                </c:pt>
                <c:pt idx="352">
                  <c:v>11314118.00003</c:v>
                </c:pt>
                <c:pt idx="353">
                  <c:v>11354047.99997</c:v>
                </c:pt>
                <c:pt idx="354">
                  <c:v>11394068.000019999</c:v>
                </c:pt>
                <c:pt idx="355">
                  <c:v>11434178.000019999</c:v>
                </c:pt>
                <c:pt idx="356">
                  <c:v>11474367.999980001</c:v>
                </c:pt>
                <c:pt idx="357">
                  <c:v>11514647.99996</c:v>
                </c:pt>
                <c:pt idx="358">
                  <c:v>11555007.999989999</c:v>
                </c:pt>
                <c:pt idx="359">
                  <c:v>11595447.999989999</c:v>
                </c:pt>
                <c:pt idx="360">
                  <c:v>11635987.999989999</c:v>
                </c:pt>
                <c:pt idx="361">
                  <c:v>11676597.99997</c:v>
                </c:pt>
                <c:pt idx="362">
                  <c:v>11717297.999980001</c:v>
                </c:pt>
                <c:pt idx="363">
                  <c:v>11758088.000019999</c:v>
                </c:pt>
                <c:pt idx="364">
                  <c:v>11798958.000019999</c:v>
                </c:pt>
                <c:pt idx="365">
                  <c:v>11839917.99997</c:v>
                </c:pt>
                <c:pt idx="366">
                  <c:v>11880958.00004</c:v>
                </c:pt>
                <c:pt idx="367">
                  <c:v>11922087.99997</c:v>
                </c:pt>
                <c:pt idx="368">
                  <c:v>11963298.00003</c:v>
                </c:pt>
                <c:pt idx="369">
                  <c:v>12004598.00004</c:v>
                </c:pt>
                <c:pt idx="370">
                  <c:v>12045978</c:v>
                </c:pt>
                <c:pt idx="371">
                  <c:v>12087448</c:v>
                </c:pt>
                <c:pt idx="372">
                  <c:v>12128998</c:v>
                </c:pt>
                <c:pt idx="373">
                  <c:v>12170648</c:v>
                </c:pt>
                <c:pt idx="374">
                  <c:v>12212378</c:v>
                </c:pt>
                <c:pt idx="375">
                  <c:v>12254198</c:v>
                </c:pt>
                <c:pt idx="376">
                  <c:v>12296098</c:v>
                </c:pt>
                <c:pt idx="377">
                  <c:v>12338098</c:v>
                </c:pt>
                <c:pt idx="378">
                  <c:v>12380178</c:v>
                </c:pt>
                <c:pt idx="379">
                  <c:v>12422348</c:v>
                </c:pt>
                <c:pt idx="380">
                  <c:v>12464608</c:v>
                </c:pt>
                <c:pt idx="381">
                  <c:v>12506948</c:v>
                </c:pt>
                <c:pt idx="382">
                  <c:v>12549388</c:v>
                </c:pt>
                <c:pt idx="383">
                  <c:v>12591908</c:v>
                </c:pt>
                <c:pt idx="384">
                  <c:v>12634518</c:v>
                </c:pt>
                <c:pt idx="385">
                  <c:v>12677218</c:v>
                </c:pt>
                <c:pt idx="386">
                  <c:v>12719998</c:v>
                </c:pt>
                <c:pt idx="387">
                  <c:v>12762868</c:v>
                </c:pt>
                <c:pt idx="388">
                  <c:v>12805828</c:v>
                </c:pt>
                <c:pt idx="389">
                  <c:v>12848878</c:v>
                </c:pt>
                <c:pt idx="390">
                  <c:v>12892008</c:v>
                </c:pt>
                <c:pt idx="391">
                  <c:v>12935238</c:v>
                </c:pt>
                <c:pt idx="392">
                  <c:v>12978548</c:v>
                </c:pt>
                <c:pt idx="393">
                  <c:v>13021938</c:v>
                </c:pt>
                <c:pt idx="394">
                  <c:v>13065418</c:v>
                </c:pt>
                <c:pt idx="395">
                  <c:v>13108988</c:v>
                </c:pt>
                <c:pt idx="396">
                  <c:v>13152638</c:v>
                </c:pt>
                <c:pt idx="397">
                  <c:v>13196378</c:v>
                </c:pt>
                <c:pt idx="398">
                  <c:v>13240208</c:v>
                </c:pt>
                <c:pt idx="399">
                  <c:v>13284118</c:v>
                </c:pt>
                <c:pt idx="400">
                  <c:v>13328118</c:v>
                </c:pt>
                <c:pt idx="401">
                  <c:v>13371955.1197</c:v>
                </c:pt>
                <c:pt idx="402">
                  <c:v>13415872.807499999</c:v>
                </c:pt>
                <c:pt idx="403">
                  <c:v>13459872.4439</c:v>
                </c:pt>
                <c:pt idx="404">
                  <c:v>13503946.247500001</c:v>
                </c:pt>
                <c:pt idx="405">
                  <c:v>13548107.081700001</c:v>
                </c:pt>
                <c:pt idx="406">
                  <c:v>13592346.991699999</c:v>
                </c:pt>
                <c:pt idx="407">
                  <c:v>13636673.657600001</c:v>
                </c:pt>
                <c:pt idx="408">
                  <c:v>13681067.2685</c:v>
                </c:pt>
                <c:pt idx="409">
                  <c:v>13725576.885399999</c:v>
                </c:pt>
                <c:pt idx="410">
                  <c:v>13770176.051100001</c:v>
                </c:pt>
                <c:pt idx="411">
                  <c:v>13814866.8136</c:v>
                </c:pt>
                <c:pt idx="412">
                  <c:v>13859637.101500001</c:v>
                </c:pt>
                <c:pt idx="413">
                  <c:v>13904502.2729</c:v>
                </c:pt>
                <c:pt idx="414">
                  <c:v>13949439.127599999</c:v>
                </c:pt>
                <c:pt idx="415">
                  <c:v>13994478.534499999</c:v>
                </c:pt>
                <c:pt idx="416">
                  <c:v>14039602.443299999</c:v>
                </c:pt>
                <c:pt idx="417">
                  <c:v>14084826.630100001</c:v>
                </c:pt>
                <c:pt idx="418">
                  <c:v>14130140.259</c:v>
                </c:pt>
                <c:pt idx="419">
                  <c:v>14175560.319599999</c:v>
                </c:pt>
                <c:pt idx="420">
                  <c:v>14221069.168</c:v>
                </c:pt>
                <c:pt idx="421">
                  <c:v>14266691.055400001</c:v>
                </c:pt>
                <c:pt idx="422">
                  <c:v>14312410.0627</c:v>
                </c:pt>
                <c:pt idx="423">
                  <c:v>14358247.800799999</c:v>
                </c:pt>
                <c:pt idx="424">
                  <c:v>14404192.2433</c:v>
                </c:pt>
                <c:pt idx="425">
                  <c:v>14450245.856000001</c:v>
                </c:pt>
                <c:pt idx="426">
                  <c:v>14496401.661499999</c:v>
                </c:pt>
                <c:pt idx="427">
                  <c:v>14542673.6086</c:v>
                </c:pt>
                <c:pt idx="428">
                  <c:v>14589079.816299999</c:v>
                </c:pt>
                <c:pt idx="429">
                  <c:v>14635613.938300001</c:v>
                </c:pt>
                <c:pt idx="430">
                  <c:v>14682247.2783</c:v>
                </c:pt>
                <c:pt idx="431">
                  <c:v>14729010.344699999</c:v>
                </c:pt>
                <c:pt idx="432">
                  <c:v>14775876.285800001</c:v>
                </c:pt>
                <c:pt idx="433">
                  <c:v>14822856.3157</c:v>
                </c:pt>
                <c:pt idx="434">
                  <c:v>14869932.789000001</c:v>
                </c:pt>
                <c:pt idx="435">
                  <c:v>14917121.668400001</c:v>
                </c:pt>
                <c:pt idx="436">
                  <c:v>14964400.759400001</c:v>
                </c:pt>
                <c:pt idx="437">
                  <c:v>15011786.5714</c:v>
                </c:pt>
                <c:pt idx="438">
                  <c:v>15059254.897399999</c:v>
                </c:pt>
                <c:pt idx="439">
                  <c:v>15106819.6612</c:v>
                </c:pt>
                <c:pt idx="440">
                  <c:v>15154488.208699999</c:v>
                </c:pt>
                <c:pt idx="441">
                  <c:v>15202265.487299999</c:v>
                </c:pt>
                <c:pt idx="442">
                  <c:v>15250135.3925</c:v>
                </c:pt>
                <c:pt idx="443">
                  <c:v>15298113.8442</c:v>
                </c:pt>
                <c:pt idx="444">
                  <c:v>15346186.671800001</c:v>
                </c:pt>
                <c:pt idx="445">
                  <c:v>15394355.630100001</c:v>
                </c:pt>
                <c:pt idx="446">
                  <c:v>15442594.2182</c:v>
                </c:pt>
                <c:pt idx="447">
                  <c:v>15490931.7601</c:v>
                </c:pt>
                <c:pt idx="448">
                  <c:v>15539347.202199999</c:v>
                </c:pt>
                <c:pt idx="449">
                  <c:v>15587852.0615</c:v>
                </c:pt>
                <c:pt idx="450">
                  <c:v>15636435.3455</c:v>
                </c:pt>
                <c:pt idx="451">
                  <c:v>15685107.556600001</c:v>
                </c:pt>
                <c:pt idx="452">
                  <c:v>15733851.756100001</c:v>
                </c:pt>
                <c:pt idx="453">
                  <c:v>15782698.8181</c:v>
                </c:pt>
                <c:pt idx="454">
                  <c:v>15831635.7687</c:v>
                </c:pt>
                <c:pt idx="455">
                  <c:v>15880676.006899999</c:v>
                </c:pt>
                <c:pt idx="456">
                  <c:v>15929813.1592</c:v>
                </c:pt>
                <c:pt idx="457">
                  <c:v>15979059.6885</c:v>
                </c:pt>
                <c:pt idx="458">
                  <c:v>16028404.4922</c:v>
                </c:pt>
                <c:pt idx="459">
                  <c:v>16077853.475</c:v>
                </c:pt>
                <c:pt idx="460">
                  <c:v>16127429.2477</c:v>
                </c:pt>
                <c:pt idx="461">
                  <c:v>16177122.008400001</c:v>
                </c:pt>
                <c:pt idx="462">
                  <c:v>16226920.524700001</c:v>
                </c:pt>
                <c:pt idx="463">
                  <c:v>16276840.7448</c:v>
                </c:pt>
                <c:pt idx="464">
                  <c:v>16326876.409399999</c:v>
                </c:pt>
                <c:pt idx="465">
                  <c:v>16377013.776000001</c:v>
                </c:pt>
                <c:pt idx="466">
                  <c:v>16427260.851199999</c:v>
                </c:pt>
                <c:pt idx="467">
                  <c:v>16477623.555199999</c:v>
                </c:pt>
                <c:pt idx="468">
                  <c:v>16528095.249700001</c:v>
                </c:pt>
                <c:pt idx="469">
                  <c:v>16578676.0746</c:v>
                </c:pt>
                <c:pt idx="470">
                  <c:v>16629353.5141</c:v>
                </c:pt>
                <c:pt idx="471">
                  <c:v>16680137.2698</c:v>
                </c:pt>
                <c:pt idx="472">
                  <c:v>16731039.588</c:v>
                </c:pt>
                <c:pt idx="473">
                  <c:v>16782053.120499998</c:v>
                </c:pt>
                <c:pt idx="474">
                  <c:v>16833163.263300002</c:v>
                </c:pt>
                <c:pt idx="475">
                  <c:v>16884388.496600002</c:v>
                </c:pt>
                <c:pt idx="476">
                  <c:v>16935711.0277</c:v>
                </c:pt>
                <c:pt idx="477">
                  <c:v>16987154.560699999</c:v>
                </c:pt>
                <c:pt idx="478">
                  <c:v>17038688.792300001</c:v>
                </c:pt>
                <c:pt idx="479">
                  <c:v>17090351.329500001</c:v>
                </c:pt>
                <c:pt idx="480">
                  <c:v>17142118.973899998</c:v>
                </c:pt>
                <c:pt idx="481">
                  <c:v>17194012.9738</c:v>
                </c:pt>
                <c:pt idx="482">
                  <c:v>17246315.5726</c:v>
                </c:pt>
                <c:pt idx="483">
                  <c:v>17298817.568300001</c:v>
                </c:pt>
                <c:pt idx="484">
                  <c:v>17351471.295199998</c:v>
                </c:pt>
                <c:pt idx="485">
                  <c:v>17404288.286499999</c:v>
                </c:pt>
                <c:pt idx="486">
                  <c:v>17457233.171</c:v>
                </c:pt>
                <c:pt idx="487">
                  <c:v>17510338.099100001</c:v>
                </c:pt>
                <c:pt idx="488">
                  <c:v>17563574.404899999</c:v>
                </c:pt>
                <c:pt idx="489">
                  <c:v>17616958.2837</c:v>
                </c:pt>
                <c:pt idx="490">
                  <c:v>17670449.398699999</c:v>
                </c:pt>
                <c:pt idx="491">
                  <c:v>17724102.627</c:v>
                </c:pt>
                <c:pt idx="492">
                  <c:v>17777879.3814</c:v>
                </c:pt>
                <c:pt idx="493">
                  <c:v>17831788.639699999</c:v>
                </c:pt>
                <c:pt idx="494">
                  <c:v>17885807.860399999</c:v>
                </c:pt>
                <c:pt idx="495">
                  <c:v>17939969.400800001</c:v>
                </c:pt>
                <c:pt idx="496">
                  <c:v>17994245.869199999</c:v>
                </c:pt>
                <c:pt idx="497">
                  <c:v>18048645.587300003</c:v>
                </c:pt>
                <c:pt idx="498">
                  <c:v>18103161.431900002</c:v>
                </c:pt>
                <c:pt idx="499">
                  <c:v>18157822.008299999</c:v>
                </c:pt>
                <c:pt idx="500">
                  <c:v>18212600.8697</c:v>
                </c:pt>
                <c:pt idx="501">
                  <c:v>18267520.580200002</c:v>
                </c:pt>
                <c:pt idx="502">
                  <c:v>18322557.66</c:v>
                </c:pt>
                <c:pt idx="503">
                  <c:v>18377736.1664</c:v>
                </c:pt>
                <c:pt idx="504">
                  <c:v>18433050.2093</c:v>
                </c:pt>
                <c:pt idx="505">
                  <c:v>18488505.4476</c:v>
                </c:pt>
                <c:pt idx="506">
                  <c:v>18544077.2315</c:v>
                </c:pt>
                <c:pt idx="507">
                  <c:v>18599795.916000001</c:v>
                </c:pt>
                <c:pt idx="508">
                  <c:v>18655634.951099999</c:v>
                </c:pt>
                <c:pt idx="509">
                  <c:v>18711615.5473</c:v>
                </c:pt>
                <c:pt idx="510">
                  <c:v>18767705.187899999</c:v>
                </c:pt>
                <c:pt idx="511">
                  <c:v>18823954.337099999</c:v>
                </c:pt>
                <c:pt idx="512">
                  <c:v>18880331.890900001</c:v>
                </c:pt>
                <c:pt idx="513">
                  <c:v>18936855.936000001</c:v>
                </c:pt>
                <c:pt idx="514">
                  <c:v>18993547.835000001</c:v>
                </c:pt>
                <c:pt idx="515">
                  <c:v>19050394.7454</c:v>
                </c:pt>
                <c:pt idx="516">
                  <c:v>19107358.413199998</c:v>
                </c:pt>
                <c:pt idx="517">
                  <c:v>19164472.741700001</c:v>
                </c:pt>
                <c:pt idx="518">
                  <c:v>19221706.5317</c:v>
                </c:pt>
                <c:pt idx="519">
                  <c:v>19279078.8737</c:v>
                </c:pt>
                <c:pt idx="520">
                  <c:v>19336581.601100001</c:v>
                </c:pt>
                <c:pt idx="521">
                  <c:v>19394218.671500001</c:v>
                </c:pt>
                <c:pt idx="522">
                  <c:v>19451961.400400002</c:v>
                </c:pt>
                <c:pt idx="523">
                  <c:v>19509858.093600001</c:v>
                </c:pt>
                <c:pt idx="524">
                  <c:v>19567876.9881</c:v>
                </c:pt>
                <c:pt idx="525">
                  <c:v>19626045.054099999</c:v>
                </c:pt>
                <c:pt idx="526">
                  <c:v>19684368.798999999</c:v>
                </c:pt>
                <c:pt idx="527">
                  <c:v>19742859.773699999</c:v>
                </c:pt>
                <c:pt idx="528">
                  <c:v>19801478.315499999</c:v>
                </c:pt>
                <c:pt idx="529">
                  <c:v>19860242.887699999</c:v>
                </c:pt>
                <c:pt idx="530">
                  <c:v>19919154.129500002</c:v>
                </c:pt>
                <c:pt idx="531">
                  <c:v>19978222.914500002</c:v>
                </c:pt>
                <c:pt idx="532">
                  <c:v>20037431.845800001</c:v>
                </c:pt>
                <c:pt idx="533">
                  <c:v>20096799.8462</c:v>
                </c:pt>
                <c:pt idx="534">
                  <c:v>20156306.956900001</c:v>
                </c:pt>
                <c:pt idx="535">
                  <c:v>20215962.6822</c:v>
                </c:pt>
                <c:pt idx="536">
                  <c:v>20275770.931000002</c:v>
                </c:pt>
                <c:pt idx="537">
                  <c:v>20335740.141600002</c:v>
                </c:pt>
                <c:pt idx="538">
                  <c:v>20395848.994399998</c:v>
                </c:pt>
                <c:pt idx="539">
                  <c:v>20456137.7005</c:v>
                </c:pt>
                <c:pt idx="540">
                  <c:v>20516577.945099998</c:v>
                </c:pt>
                <c:pt idx="541">
                  <c:v>20577191.956799999</c:v>
                </c:pt>
                <c:pt idx="542">
                  <c:v>20637971.719900001</c:v>
                </c:pt>
                <c:pt idx="543">
                  <c:v>20698947.105799999</c:v>
                </c:pt>
                <c:pt idx="544">
                  <c:v>20760078.323600002</c:v>
                </c:pt>
                <c:pt idx="545">
                  <c:v>20821395.090300001</c:v>
                </c:pt>
                <c:pt idx="546">
                  <c:v>20882874.487199999</c:v>
                </c:pt>
                <c:pt idx="547">
                  <c:v>20944540.416200001</c:v>
                </c:pt>
                <c:pt idx="548">
                  <c:v>21006359.9056</c:v>
                </c:pt>
                <c:pt idx="549">
                  <c:v>21068395.601599999</c:v>
                </c:pt>
                <c:pt idx="550">
                  <c:v>21130622.029899999</c:v>
                </c:pt>
                <c:pt idx="551">
                  <c:v>21193042.7236</c:v>
                </c:pt>
                <c:pt idx="552">
                  <c:v>21255628.809900001</c:v>
                </c:pt>
                <c:pt idx="553">
                  <c:v>21318415.179699998</c:v>
                </c:pt>
                <c:pt idx="554">
                  <c:v>21381370.1734</c:v>
                </c:pt>
                <c:pt idx="555">
                  <c:v>21444537.088100001</c:v>
                </c:pt>
                <c:pt idx="556">
                  <c:v>21507881.442699999</c:v>
                </c:pt>
                <c:pt idx="557">
                  <c:v>21571423.464000002</c:v>
                </c:pt>
                <c:pt idx="558">
                  <c:v>21635143.501499999</c:v>
                </c:pt>
                <c:pt idx="559">
                  <c:v>21699064.9881</c:v>
                </c:pt>
                <c:pt idx="560">
                  <c:v>21763171.063000001</c:v>
                </c:pt>
                <c:pt idx="561">
                  <c:v>21827458.720100001</c:v>
                </c:pt>
                <c:pt idx="562">
                  <c:v>21891928.153200001</c:v>
                </c:pt>
                <c:pt idx="563">
                  <c:v>21956586.787099998</c:v>
                </c:pt>
                <c:pt idx="564">
                  <c:v>22021408.4531</c:v>
                </c:pt>
                <c:pt idx="565">
                  <c:v>22086404.169799998</c:v>
                </c:pt>
                <c:pt idx="566">
                  <c:v>22151552.044399999</c:v>
                </c:pt>
                <c:pt idx="567">
                  <c:v>22216862.099199999</c:v>
                </c:pt>
                <c:pt idx="568">
                  <c:v>22282345.6039</c:v>
                </c:pt>
                <c:pt idx="569">
                  <c:v>22348002.2443</c:v>
                </c:pt>
                <c:pt idx="570">
                  <c:v>22413809.302000001</c:v>
                </c:pt>
                <c:pt idx="571">
                  <c:v>22479779.695900001</c:v>
                </c:pt>
                <c:pt idx="572">
                  <c:v>22545893.336100001</c:v>
                </c:pt>
                <c:pt idx="573">
                  <c:v>22612156.063000001</c:v>
                </c:pt>
                <c:pt idx="574">
                  <c:v>22678603.706599999</c:v>
                </c:pt>
                <c:pt idx="575">
                  <c:v>22745222.403999999</c:v>
                </c:pt>
                <c:pt idx="576">
                  <c:v>22811987.057700001</c:v>
                </c:pt>
                <c:pt idx="577">
                  <c:v>22878911.985599998</c:v>
                </c:pt>
                <c:pt idx="578">
                  <c:v>22945985.065200001</c:v>
                </c:pt>
                <c:pt idx="579">
                  <c:v>23013218.539700001</c:v>
                </c:pt>
                <c:pt idx="580">
                  <c:v>23080591.480099998</c:v>
                </c:pt>
                <c:pt idx="581">
                  <c:v>23148142.578400001</c:v>
                </c:pt>
                <c:pt idx="582">
                  <c:v>23215851.024500001</c:v>
                </c:pt>
                <c:pt idx="583">
                  <c:v>23283730.337099999</c:v>
                </c:pt>
                <c:pt idx="584">
                  <c:v>23351767.159000002</c:v>
                </c:pt>
                <c:pt idx="585">
                  <c:v>23419972.4652</c:v>
                </c:pt>
                <c:pt idx="586">
                  <c:v>23488331.086800002</c:v>
                </c:pt>
                <c:pt idx="587">
                  <c:v>23556871.173099998</c:v>
                </c:pt>
                <c:pt idx="588">
                  <c:v>23625568.3706</c:v>
                </c:pt>
                <c:pt idx="589">
                  <c:v>23694432.8059</c:v>
                </c:pt>
                <c:pt idx="590">
                  <c:v>23763468.618099999</c:v>
                </c:pt>
                <c:pt idx="591">
                  <c:v>23832669.268300001</c:v>
                </c:pt>
                <c:pt idx="592">
                  <c:v>23902021.7597</c:v>
                </c:pt>
                <c:pt idx="593">
                  <c:v>23971522.5242</c:v>
                </c:pt>
                <c:pt idx="594">
                  <c:v>24041193.914700001</c:v>
                </c:pt>
                <c:pt idx="595">
                  <c:v>24111036.441199999</c:v>
                </c:pt>
                <c:pt idx="596">
                  <c:v>24181040.282200001</c:v>
                </c:pt>
                <c:pt idx="597">
                  <c:v>24251214.886500001</c:v>
                </c:pt>
                <c:pt idx="598">
                  <c:v>24321551.899700001</c:v>
                </c:pt>
                <c:pt idx="599">
                  <c:v>24392051.8761</c:v>
                </c:pt>
                <c:pt idx="600">
                  <c:v>24462735.826299999</c:v>
                </c:pt>
                <c:pt idx="601">
                  <c:v>24533597.8607</c:v>
                </c:pt>
                <c:pt idx="602">
                  <c:v>24604624.080400001</c:v>
                </c:pt>
                <c:pt idx="603">
                  <c:v>24675816.464000002</c:v>
                </c:pt>
                <c:pt idx="604">
                  <c:v>24747165.759799998</c:v>
                </c:pt>
                <c:pt idx="605">
                  <c:v>24818668.333299998</c:v>
                </c:pt>
                <c:pt idx="606">
                  <c:v>24890346.373500001</c:v>
                </c:pt>
                <c:pt idx="607">
                  <c:v>24962195.683400001</c:v>
                </c:pt>
                <c:pt idx="608">
                  <c:v>25034205.030299999</c:v>
                </c:pt>
                <c:pt idx="609">
                  <c:v>25106381.2962</c:v>
                </c:pt>
                <c:pt idx="610">
                  <c:v>25178713.5704</c:v>
                </c:pt>
                <c:pt idx="611">
                  <c:v>25251210.3752</c:v>
                </c:pt>
                <c:pt idx="612">
                  <c:v>25323848.8968</c:v>
                </c:pt>
                <c:pt idx="613">
                  <c:v>25396678.5308</c:v>
                </c:pt>
                <c:pt idx="614">
                  <c:v>25469687.9553</c:v>
                </c:pt>
                <c:pt idx="615">
                  <c:v>25542875.030699998</c:v>
                </c:pt>
                <c:pt idx="616">
                  <c:v>25616326.434599999</c:v>
                </c:pt>
                <c:pt idx="617">
                  <c:v>25689986.152100001</c:v>
                </c:pt>
                <c:pt idx="618">
                  <c:v>25763794.510699999</c:v>
                </c:pt>
                <c:pt idx="619">
                  <c:v>25837788.094300002</c:v>
                </c:pt>
                <c:pt idx="620">
                  <c:v>25911949.508499999</c:v>
                </c:pt>
                <c:pt idx="621">
                  <c:v>25986313.9736</c:v>
                </c:pt>
                <c:pt idx="622">
                  <c:v>26060868.873</c:v>
                </c:pt>
                <c:pt idx="623">
                  <c:v>26135601.711599998</c:v>
                </c:pt>
                <c:pt idx="624">
                  <c:v>26210487.388900001</c:v>
                </c:pt>
                <c:pt idx="625">
                  <c:v>26285561.023800001</c:v>
                </c:pt>
                <c:pt idx="626">
                  <c:v>26360795.0973</c:v>
                </c:pt>
                <c:pt idx="627">
                  <c:v>26436198.677999999</c:v>
                </c:pt>
                <c:pt idx="628">
                  <c:v>26511760.188999999</c:v>
                </c:pt>
                <c:pt idx="629">
                  <c:v>26587489.7267</c:v>
                </c:pt>
                <c:pt idx="630">
                  <c:v>26663375.120900001</c:v>
                </c:pt>
                <c:pt idx="631">
                  <c:v>26739411.035300002</c:v>
                </c:pt>
                <c:pt idx="632">
                  <c:v>26815617.3303</c:v>
                </c:pt>
                <c:pt idx="633">
                  <c:v>26891985.701299999</c:v>
                </c:pt>
                <c:pt idx="634">
                  <c:v>26968504.313099999</c:v>
                </c:pt>
                <c:pt idx="635">
                  <c:v>27045178.227000002</c:v>
                </c:pt>
                <c:pt idx="636">
                  <c:v>27121998.123799998</c:v>
                </c:pt>
                <c:pt idx="637">
                  <c:v>27198954.092500001</c:v>
                </c:pt>
                <c:pt idx="638">
                  <c:v>27276070.289900001</c:v>
                </c:pt>
                <c:pt idx="639">
                  <c:v>27353337.044500001</c:v>
                </c:pt>
                <c:pt idx="640">
                  <c:v>27430747.1699</c:v>
                </c:pt>
                <c:pt idx="641">
                  <c:v>27508302.182500001</c:v>
                </c:pt>
                <c:pt idx="642">
                  <c:v>27585991.9003</c:v>
                </c:pt>
                <c:pt idx="643">
                  <c:v>27663819.463599999</c:v>
                </c:pt>
                <c:pt idx="644">
                  <c:v>27741763.5984</c:v>
                </c:pt>
                <c:pt idx="645">
                  <c:v>27819860.274900001</c:v>
                </c:pt>
                <c:pt idx="646">
                  <c:v>27898089.953400001</c:v>
                </c:pt>
                <c:pt idx="647">
                  <c:v>27976458.096799999</c:v>
                </c:pt>
                <c:pt idx="648">
                  <c:v>28054960.1525</c:v>
                </c:pt>
                <c:pt idx="649">
                  <c:v>28133601.137400001</c:v>
                </c:pt>
                <c:pt idx="650">
                  <c:v>28212361.3303</c:v>
                </c:pt>
                <c:pt idx="651">
                  <c:v>28291279.734900001</c:v>
                </c:pt>
                <c:pt idx="652">
                  <c:v>28370338.448899999</c:v>
                </c:pt>
                <c:pt idx="653">
                  <c:v>28449542.661400001</c:v>
                </c:pt>
                <c:pt idx="654">
                  <c:v>28528891.876200002</c:v>
                </c:pt>
                <c:pt idx="655">
                  <c:v>28608396.6897</c:v>
                </c:pt>
                <c:pt idx="656">
                  <c:v>28688037.7258</c:v>
                </c:pt>
                <c:pt idx="657">
                  <c:v>28767851.6098</c:v>
                </c:pt>
                <c:pt idx="658">
                  <c:v>28847815.841800001</c:v>
                </c:pt>
                <c:pt idx="659">
                  <c:v>28927930.1094</c:v>
                </c:pt>
                <c:pt idx="660">
                  <c:v>29008186.650800001</c:v>
                </c:pt>
                <c:pt idx="661">
                  <c:v>29088585.979600001</c:v>
                </c:pt>
                <c:pt idx="662">
                  <c:v>29169123.5506</c:v>
                </c:pt>
                <c:pt idx="663">
                  <c:v>29249787.504500002</c:v>
                </c:pt>
                <c:pt idx="664">
                  <c:v>29330605.9036</c:v>
                </c:pt>
                <c:pt idx="665">
                  <c:v>29411565.713599999</c:v>
                </c:pt>
                <c:pt idx="666">
                  <c:v>29492664.4102</c:v>
                </c:pt>
                <c:pt idx="667">
                  <c:v>29573908.649500001</c:v>
                </c:pt>
                <c:pt idx="668">
                  <c:v>29655294.123799998</c:v>
                </c:pt>
                <c:pt idx="669">
                  <c:v>29736810.300500002</c:v>
                </c:pt>
                <c:pt idx="670">
                  <c:v>29818488.287099998</c:v>
                </c:pt>
                <c:pt idx="671">
                  <c:v>32844525</c:v>
                </c:pt>
              </c:numCache>
            </c:numRef>
          </c:xVal>
          <c:yVal>
            <c:numRef>
              <c:f>'Mead-Elevation-Area'!$D$5:$D$678</c:f>
              <c:numCache>
                <c:formatCode>_(* #,##0_);_(* \(#,##0\);_(* "-"??_);_(@_)</c:formatCode>
                <c:ptCount val="674"/>
                <c:pt idx="0">
                  <c:v>30172.000000100001</c:v>
                </c:pt>
                <c:pt idx="1">
                  <c:v>30270</c:v>
                </c:pt>
                <c:pt idx="2">
                  <c:v>30367.999999899999</c:v>
                </c:pt>
                <c:pt idx="3">
                  <c:v>30466</c:v>
                </c:pt>
                <c:pt idx="4">
                  <c:v>30563.999999899999</c:v>
                </c:pt>
                <c:pt idx="5">
                  <c:v>30662.000000100001</c:v>
                </c:pt>
                <c:pt idx="6">
                  <c:v>30760</c:v>
                </c:pt>
                <c:pt idx="7">
                  <c:v>30857.999999899999</c:v>
                </c:pt>
                <c:pt idx="8">
                  <c:v>30956</c:v>
                </c:pt>
                <c:pt idx="9">
                  <c:v>31053.999999899999</c:v>
                </c:pt>
                <c:pt idx="10">
                  <c:v>31152.000000100001</c:v>
                </c:pt>
                <c:pt idx="11">
                  <c:v>31273.000000100001</c:v>
                </c:pt>
                <c:pt idx="12">
                  <c:v>31394</c:v>
                </c:pt>
                <c:pt idx="13">
                  <c:v>31514.000000100001</c:v>
                </c:pt>
                <c:pt idx="14">
                  <c:v>31635.000000100001</c:v>
                </c:pt>
                <c:pt idx="15">
                  <c:v>31754.999999899999</c:v>
                </c:pt>
                <c:pt idx="16">
                  <c:v>31875.999999899999</c:v>
                </c:pt>
                <c:pt idx="17">
                  <c:v>31997.000000100001</c:v>
                </c:pt>
                <c:pt idx="18">
                  <c:v>32116.999999899999</c:v>
                </c:pt>
                <c:pt idx="19">
                  <c:v>32237.999999899999</c:v>
                </c:pt>
                <c:pt idx="20">
                  <c:v>32358.999999899999</c:v>
                </c:pt>
                <c:pt idx="21">
                  <c:v>32479</c:v>
                </c:pt>
                <c:pt idx="22">
                  <c:v>32599.999999899999</c:v>
                </c:pt>
                <c:pt idx="23">
                  <c:v>32720</c:v>
                </c:pt>
                <c:pt idx="24">
                  <c:v>32841</c:v>
                </c:pt>
                <c:pt idx="25">
                  <c:v>32962</c:v>
                </c:pt>
                <c:pt idx="26">
                  <c:v>33082</c:v>
                </c:pt>
                <c:pt idx="27">
                  <c:v>33203</c:v>
                </c:pt>
                <c:pt idx="28">
                  <c:v>33323.000000100001</c:v>
                </c:pt>
                <c:pt idx="29">
                  <c:v>33444.000000100001</c:v>
                </c:pt>
                <c:pt idx="30">
                  <c:v>33565</c:v>
                </c:pt>
                <c:pt idx="31">
                  <c:v>33683.000000100001</c:v>
                </c:pt>
                <c:pt idx="32">
                  <c:v>33800</c:v>
                </c:pt>
                <c:pt idx="33">
                  <c:v>33918</c:v>
                </c:pt>
                <c:pt idx="34">
                  <c:v>34036</c:v>
                </c:pt>
                <c:pt idx="35">
                  <c:v>34154.000000100001</c:v>
                </c:pt>
                <c:pt idx="36">
                  <c:v>34271.999999899999</c:v>
                </c:pt>
                <c:pt idx="37">
                  <c:v>34389.999999899999</c:v>
                </c:pt>
                <c:pt idx="38">
                  <c:v>34508</c:v>
                </c:pt>
                <c:pt idx="39">
                  <c:v>34626</c:v>
                </c:pt>
                <c:pt idx="40">
                  <c:v>34742.999999899999</c:v>
                </c:pt>
                <c:pt idx="41">
                  <c:v>34860.999999899999</c:v>
                </c:pt>
                <c:pt idx="42">
                  <c:v>34979</c:v>
                </c:pt>
                <c:pt idx="43">
                  <c:v>35097</c:v>
                </c:pt>
                <c:pt idx="44">
                  <c:v>35215</c:v>
                </c:pt>
                <c:pt idx="45">
                  <c:v>35333.000000100001</c:v>
                </c:pt>
                <c:pt idx="46">
                  <c:v>35451.000000100001</c:v>
                </c:pt>
                <c:pt idx="47">
                  <c:v>35568.999999899999</c:v>
                </c:pt>
                <c:pt idx="48">
                  <c:v>35686.000000100001</c:v>
                </c:pt>
                <c:pt idx="49">
                  <c:v>35804.000000100001</c:v>
                </c:pt>
                <c:pt idx="50">
                  <c:v>35921.999999899999</c:v>
                </c:pt>
                <c:pt idx="51">
                  <c:v>36036.000000100001</c:v>
                </c:pt>
                <c:pt idx="52">
                  <c:v>36150.000000100001</c:v>
                </c:pt>
                <c:pt idx="53">
                  <c:v>36264</c:v>
                </c:pt>
                <c:pt idx="54">
                  <c:v>36378</c:v>
                </c:pt>
                <c:pt idx="55">
                  <c:v>36491.999999899999</c:v>
                </c:pt>
                <c:pt idx="56">
                  <c:v>36607.000000100001</c:v>
                </c:pt>
                <c:pt idx="57">
                  <c:v>36721</c:v>
                </c:pt>
                <c:pt idx="58">
                  <c:v>36835</c:v>
                </c:pt>
                <c:pt idx="59">
                  <c:v>36948.999999899999</c:v>
                </c:pt>
                <c:pt idx="60">
                  <c:v>37062.999999899999</c:v>
                </c:pt>
                <c:pt idx="61">
                  <c:v>37177.000000100001</c:v>
                </c:pt>
                <c:pt idx="62">
                  <c:v>37291.000000100001</c:v>
                </c:pt>
                <c:pt idx="63">
                  <c:v>37405</c:v>
                </c:pt>
                <c:pt idx="64">
                  <c:v>37519</c:v>
                </c:pt>
                <c:pt idx="65">
                  <c:v>37633</c:v>
                </c:pt>
                <c:pt idx="66">
                  <c:v>37746.999999899999</c:v>
                </c:pt>
                <c:pt idx="67">
                  <c:v>37860.999999899999</c:v>
                </c:pt>
                <c:pt idx="68">
                  <c:v>37975.000000100001</c:v>
                </c:pt>
                <c:pt idx="69">
                  <c:v>38089.000000100001</c:v>
                </c:pt>
                <c:pt idx="70">
                  <c:v>38203</c:v>
                </c:pt>
                <c:pt idx="71">
                  <c:v>38319.999999899999</c:v>
                </c:pt>
                <c:pt idx="72">
                  <c:v>38435.999999899999</c:v>
                </c:pt>
                <c:pt idx="73">
                  <c:v>38551.999999899999</c:v>
                </c:pt>
                <c:pt idx="74">
                  <c:v>38667.999999899999</c:v>
                </c:pt>
                <c:pt idx="75">
                  <c:v>38783.999999899999</c:v>
                </c:pt>
                <c:pt idx="76">
                  <c:v>38899.999999899999</c:v>
                </c:pt>
                <c:pt idx="77">
                  <c:v>39015.999999899999</c:v>
                </c:pt>
                <c:pt idx="78">
                  <c:v>39133.000000100001</c:v>
                </c:pt>
                <c:pt idx="79">
                  <c:v>39249.000000100001</c:v>
                </c:pt>
                <c:pt idx="80">
                  <c:v>39365.000000100001</c:v>
                </c:pt>
                <c:pt idx="81">
                  <c:v>39481.000000100001</c:v>
                </c:pt>
                <c:pt idx="82">
                  <c:v>39597.000000100001</c:v>
                </c:pt>
                <c:pt idx="83">
                  <c:v>39713.000000100001</c:v>
                </c:pt>
                <c:pt idx="84">
                  <c:v>39830</c:v>
                </c:pt>
                <c:pt idx="85">
                  <c:v>39946</c:v>
                </c:pt>
                <c:pt idx="86">
                  <c:v>40062</c:v>
                </c:pt>
                <c:pt idx="87">
                  <c:v>40178</c:v>
                </c:pt>
                <c:pt idx="88">
                  <c:v>40294</c:v>
                </c:pt>
                <c:pt idx="89">
                  <c:v>40410</c:v>
                </c:pt>
                <c:pt idx="90">
                  <c:v>40527.000000100001</c:v>
                </c:pt>
                <c:pt idx="91">
                  <c:v>40644</c:v>
                </c:pt>
                <c:pt idx="92">
                  <c:v>40760.999999899999</c:v>
                </c:pt>
                <c:pt idx="93">
                  <c:v>40878</c:v>
                </c:pt>
                <c:pt idx="94">
                  <c:v>40994.999999899999</c:v>
                </c:pt>
                <c:pt idx="95">
                  <c:v>41112.000000100001</c:v>
                </c:pt>
                <c:pt idx="96">
                  <c:v>41229</c:v>
                </c:pt>
                <c:pt idx="97">
                  <c:v>41346.000000100001</c:v>
                </c:pt>
                <c:pt idx="98">
                  <c:v>41463</c:v>
                </c:pt>
                <c:pt idx="99">
                  <c:v>41581</c:v>
                </c:pt>
                <c:pt idx="100">
                  <c:v>41697.999999899999</c:v>
                </c:pt>
                <c:pt idx="101">
                  <c:v>41815.000000100001</c:v>
                </c:pt>
                <c:pt idx="102">
                  <c:v>41932</c:v>
                </c:pt>
                <c:pt idx="103">
                  <c:v>42048.999999899999</c:v>
                </c:pt>
                <c:pt idx="104">
                  <c:v>42166</c:v>
                </c:pt>
                <c:pt idx="105">
                  <c:v>42282.999999899999</c:v>
                </c:pt>
                <c:pt idx="106">
                  <c:v>42400.000000100001</c:v>
                </c:pt>
                <c:pt idx="107">
                  <c:v>42518.000000100001</c:v>
                </c:pt>
                <c:pt idx="108">
                  <c:v>42635</c:v>
                </c:pt>
                <c:pt idx="109">
                  <c:v>42751.999999899999</c:v>
                </c:pt>
                <c:pt idx="110">
                  <c:v>42869</c:v>
                </c:pt>
                <c:pt idx="111">
                  <c:v>42999.000000100001</c:v>
                </c:pt>
                <c:pt idx="112">
                  <c:v>43127.999999899999</c:v>
                </c:pt>
                <c:pt idx="113">
                  <c:v>43258</c:v>
                </c:pt>
                <c:pt idx="114">
                  <c:v>43387.000000100001</c:v>
                </c:pt>
                <c:pt idx="115">
                  <c:v>43517.000000100001</c:v>
                </c:pt>
                <c:pt idx="116">
                  <c:v>43646.999999899999</c:v>
                </c:pt>
                <c:pt idx="117">
                  <c:v>43776</c:v>
                </c:pt>
                <c:pt idx="118">
                  <c:v>43906</c:v>
                </c:pt>
                <c:pt idx="119">
                  <c:v>44034.999999899999</c:v>
                </c:pt>
                <c:pt idx="120">
                  <c:v>44164.999999899999</c:v>
                </c:pt>
                <c:pt idx="121">
                  <c:v>44294.999999899999</c:v>
                </c:pt>
                <c:pt idx="122">
                  <c:v>44424.000000100001</c:v>
                </c:pt>
                <c:pt idx="123">
                  <c:v>44554.000000100001</c:v>
                </c:pt>
                <c:pt idx="124">
                  <c:v>44683</c:v>
                </c:pt>
                <c:pt idx="125">
                  <c:v>44813</c:v>
                </c:pt>
                <c:pt idx="126">
                  <c:v>44943</c:v>
                </c:pt>
                <c:pt idx="127">
                  <c:v>45071.999999899999</c:v>
                </c:pt>
                <c:pt idx="128">
                  <c:v>45201.999999899999</c:v>
                </c:pt>
                <c:pt idx="129">
                  <c:v>45331</c:v>
                </c:pt>
                <c:pt idx="130">
                  <c:v>45461.000000100001</c:v>
                </c:pt>
                <c:pt idx="131">
                  <c:v>45580</c:v>
                </c:pt>
                <c:pt idx="132">
                  <c:v>45700.000000100001</c:v>
                </c:pt>
                <c:pt idx="133">
                  <c:v>45819</c:v>
                </c:pt>
                <c:pt idx="134">
                  <c:v>45937.999999899999</c:v>
                </c:pt>
                <c:pt idx="135">
                  <c:v>46056.999999899999</c:v>
                </c:pt>
                <c:pt idx="136">
                  <c:v>46177</c:v>
                </c:pt>
                <c:pt idx="137">
                  <c:v>46295.999999899999</c:v>
                </c:pt>
                <c:pt idx="138">
                  <c:v>46415.000000100001</c:v>
                </c:pt>
                <c:pt idx="139">
                  <c:v>46534</c:v>
                </c:pt>
                <c:pt idx="140">
                  <c:v>46654.000000100001</c:v>
                </c:pt>
                <c:pt idx="141">
                  <c:v>46773</c:v>
                </c:pt>
                <c:pt idx="142">
                  <c:v>46892</c:v>
                </c:pt>
                <c:pt idx="143">
                  <c:v>47012</c:v>
                </c:pt>
                <c:pt idx="144">
                  <c:v>47131</c:v>
                </c:pt>
                <c:pt idx="145">
                  <c:v>47249.999999899999</c:v>
                </c:pt>
                <c:pt idx="146">
                  <c:v>47369.000000100001</c:v>
                </c:pt>
                <c:pt idx="147">
                  <c:v>47488.999999899999</c:v>
                </c:pt>
                <c:pt idx="148">
                  <c:v>47608.000000100001</c:v>
                </c:pt>
                <c:pt idx="149">
                  <c:v>47727</c:v>
                </c:pt>
                <c:pt idx="150">
                  <c:v>47847.000000100001</c:v>
                </c:pt>
                <c:pt idx="151">
                  <c:v>47981</c:v>
                </c:pt>
                <c:pt idx="152">
                  <c:v>48113.999999899999</c:v>
                </c:pt>
                <c:pt idx="153">
                  <c:v>48248</c:v>
                </c:pt>
                <c:pt idx="154">
                  <c:v>48382.000000100001</c:v>
                </c:pt>
                <c:pt idx="155">
                  <c:v>48516</c:v>
                </c:pt>
                <c:pt idx="156">
                  <c:v>48650.000000100001</c:v>
                </c:pt>
                <c:pt idx="157">
                  <c:v>48783.999999899999</c:v>
                </c:pt>
                <c:pt idx="158">
                  <c:v>48918</c:v>
                </c:pt>
                <c:pt idx="159">
                  <c:v>49052.000000100001</c:v>
                </c:pt>
                <c:pt idx="160">
                  <c:v>49186</c:v>
                </c:pt>
                <c:pt idx="161">
                  <c:v>49320.000000100001</c:v>
                </c:pt>
                <c:pt idx="162">
                  <c:v>49453.999999899999</c:v>
                </c:pt>
                <c:pt idx="163">
                  <c:v>49587.000000100001</c:v>
                </c:pt>
                <c:pt idx="164">
                  <c:v>49721</c:v>
                </c:pt>
                <c:pt idx="165">
                  <c:v>49855.000000100001</c:v>
                </c:pt>
                <c:pt idx="166">
                  <c:v>49988.999999899999</c:v>
                </c:pt>
                <c:pt idx="167">
                  <c:v>50123</c:v>
                </c:pt>
                <c:pt idx="168">
                  <c:v>50257.000000100001</c:v>
                </c:pt>
                <c:pt idx="169">
                  <c:v>50391</c:v>
                </c:pt>
                <c:pt idx="170">
                  <c:v>50525.000000100001</c:v>
                </c:pt>
                <c:pt idx="171">
                  <c:v>50674.000000100001</c:v>
                </c:pt>
                <c:pt idx="172">
                  <c:v>50824</c:v>
                </c:pt>
                <c:pt idx="173">
                  <c:v>50973.999999899999</c:v>
                </c:pt>
                <c:pt idx="174">
                  <c:v>51122.999999899999</c:v>
                </c:pt>
                <c:pt idx="175">
                  <c:v>51273.000000100001</c:v>
                </c:pt>
                <c:pt idx="176">
                  <c:v>51423</c:v>
                </c:pt>
                <c:pt idx="177">
                  <c:v>51572</c:v>
                </c:pt>
                <c:pt idx="178">
                  <c:v>51721.999999899999</c:v>
                </c:pt>
                <c:pt idx="179">
                  <c:v>51872.000000100001</c:v>
                </c:pt>
                <c:pt idx="180">
                  <c:v>52021.000000100001</c:v>
                </c:pt>
                <c:pt idx="181">
                  <c:v>52171</c:v>
                </c:pt>
                <c:pt idx="182">
                  <c:v>52320.999999899999</c:v>
                </c:pt>
                <c:pt idx="183">
                  <c:v>52469.999999899999</c:v>
                </c:pt>
                <c:pt idx="184">
                  <c:v>52620.000000100001</c:v>
                </c:pt>
                <c:pt idx="185">
                  <c:v>52769.000000100001</c:v>
                </c:pt>
                <c:pt idx="186">
                  <c:v>52919</c:v>
                </c:pt>
                <c:pt idx="187">
                  <c:v>53068.999999899999</c:v>
                </c:pt>
                <c:pt idx="188">
                  <c:v>53217.999999899999</c:v>
                </c:pt>
                <c:pt idx="189">
                  <c:v>53368.000000100001</c:v>
                </c:pt>
                <c:pt idx="190">
                  <c:v>53518</c:v>
                </c:pt>
                <c:pt idx="191">
                  <c:v>53660</c:v>
                </c:pt>
                <c:pt idx="192">
                  <c:v>53802.999999899999</c:v>
                </c:pt>
                <c:pt idx="193">
                  <c:v>53946.000000100001</c:v>
                </c:pt>
                <c:pt idx="194">
                  <c:v>54089</c:v>
                </c:pt>
                <c:pt idx="195">
                  <c:v>54232.000000100001</c:v>
                </c:pt>
                <c:pt idx="196">
                  <c:v>54375</c:v>
                </c:pt>
                <c:pt idx="197">
                  <c:v>54517</c:v>
                </c:pt>
                <c:pt idx="198">
                  <c:v>54659.999999899999</c:v>
                </c:pt>
                <c:pt idx="199">
                  <c:v>54803.000000100001</c:v>
                </c:pt>
                <c:pt idx="200">
                  <c:v>54946</c:v>
                </c:pt>
                <c:pt idx="201">
                  <c:v>55089.000000100001</c:v>
                </c:pt>
                <c:pt idx="202">
                  <c:v>55232</c:v>
                </c:pt>
                <c:pt idx="203">
                  <c:v>55374</c:v>
                </c:pt>
                <c:pt idx="204">
                  <c:v>55516.999999899999</c:v>
                </c:pt>
                <c:pt idx="205">
                  <c:v>55660.000000100001</c:v>
                </c:pt>
                <c:pt idx="206">
                  <c:v>55803</c:v>
                </c:pt>
                <c:pt idx="207">
                  <c:v>55946.000000100001</c:v>
                </c:pt>
                <c:pt idx="208">
                  <c:v>56089</c:v>
                </c:pt>
                <c:pt idx="209">
                  <c:v>56231</c:v>
                </c:pt>
                <c:pt idx="210">
                  <c:v>56373.999999899999</c:v>
                </c:pt>
                <c:pt idx="211">
                  <c:v>56529</c:v>
                </c:pt>
                <c:pt idx="212">
                  <c:v>56683.999999899999</c:v>
                </c:pt>
                <c:pt idx="213">
                  <c:v>56839.000000100001</c:v>
                </c:pt>
                <c:pt idx="214">
                  <c:v>56995.000000100001</c:v>
                </c:pt>
                <c:pt idx="215">
                  <c:v>57150</c:v>
                </c:pt>
                <c:pt idx="216">
                  <c:v>57305.000000100001</c:v>
                </c:pt>
                <c:pt idx="217">
                  <c:v>57460</c:v>
                </c:pt>
                <c:pt idx="218">
                  <c:v>57615.000000100001</c:v>
                </c:pt>
                <c:pt idx="219">
                  <c:v>57770</c:v>
                </c:pt>
                <c:pt idx="220">
                  <c:v>57925.000000100001</c:v>
                </c:pt>
                <c:pt idx="221">
                  <c:v>58080</c:v>
                </c:pt>
                <c:pt idx="222">
                  <c:v>58234.999999899999</c:v>
                </c:pt>
                <c:pt idx="223">
                  <c:v>58390</c:v>
                </c:pt>
                <c:pt idx="224">
                  <c:v>58544.999999899999</c:v>
                </c:pt>
                <c:pt idx="225">
                  <c:v>58700</c:v>
                </c:pt>
                <c:pt idx="226">
                  <c:v>58854.999999899999</c:v>
                </c:pt>
                <c:pt idx="227">
                  <c:v>59010</c:v>
                </c:pt>
                <c:pt idx="228">
                  <c:v>59164.999999899999</c:v>
                </c:pt>
                <c:pt idx="229">
                  <c:v>59320.000000100001</c:v>
                </c:pt>
                <c:pt idx="230">
                  <c:v>59474.999999899999</c:v>
                </c:pt>
                <c:pt idx="231">
                  <c:v>59628</c:v>
                </c:pt>
                <c:pt idx="232">
                  <c:v>59780.999999899999</c:v>
                </c:pt>
                <c:pt idx="233">
                  <c:v>59934</c:v>
                </c:pt>
                <c:pt idx="234">
                  <c:v>60087.000000100001</c:v>
                </c:pt>
                <c:pt idx="235">
                  <c:v>60239.999999899999</c:v>
                </c:pt>
                <c:pt idx="236">
                  <c:v>60393</c:v>
                </c:pt>
                <c:pt idx="237">
                  <c:v>60546.000000100001</c:v>
                </c:pt>
                <c:pt idx="238">
                  <c:v>60698.999999899999</c:v>
                </c:pt>
                <c:pt idx="239">
                  <c:v>60850.999999899999</c:v>
                </c:pt>
                <c:pt idx="240">
                  <c:v>61004</c:v>
                </c:pt>
                <c:pt idx="241">
                  <c:v>61157.000000100001</c:v>
                </c:pt>
                <c:pt idx="242">
                  <c:v>61309.999999899999</c:v>
                </c:pt>
                <c:pt idx="243">
                  <c:v>61463</c:v>
                </c:pt>
                <c:pt idx="244">
                  <c:v>61616.000000100001</c:v>
                </c:pt>
                <c:pt idx="245">
                  <c:v>61768.999999899999</c:v>
                </c:pt>
                <c:pt idx="246">
                  <c:v>61922</c:v>
                </c:pt>
                <c:pt idx="247">
                  <c:v>62074.999999899999</c:v>
                </c:pt>
                <c:pt idx="248">
                  <c:v>62227.000000100001</c:v>
                </c:pt>
                <c:pt idx="249">
                  <c:v>62379.999999899999</c:v>
                </c:pt>
                <c:pt idx="250">
                  <c:v>62533</c:v>
                </c:pt>
                <c:pt idx="251">
                  <c:v>62687.999999899999</c:v>
                </c:pt>
                <c:pt idx="252">
                  <c:v>62841.999999899999</c:v>
                </c:pt>
                <c:pt idx="253">
                  <c:v>62997</c:v>
                </c:pt>
                <c:pt idx="254">
                  <c:v>63151</c:v>
                </c:pt>
                <c:pt idx="255">
                  <c:v>63305.999999899999</c:v>
                </c:pt>
                <c:pt idx="256">
                  <c:v>63460.000000100001</c:v>
                </c:pt>
                <c:pt idx="257">
                  <c:v>63615</c:v>
                </c:pt>
                <c:pt idx="258">
                  <c:v>63769</c:v>
                </c:pt>
                <c:pt idx="259">
                  <c:v>63923.999999899999</c:v>
                </c:pt>
                <c:pt idx="260">
                  <c:v>64078.000000100001</c:v>
                </c:pt>
                <c:pt idx="261">
                  <c:v>64233</c:v>
                </c:pt>
                <c:pt idx="262">
                  <c:v>64387</c:v>
                </c:pt>
                <c:pt idx="263">
                  <c:v>64542.000000100001</c:v>
                </c:pt>
                <c:pt idx="264">
                  <c:v>64696.000000100001</c:v>
                </c:pt>
                <c:pt idx="265">
                  <c:v>64851</c:v>
                </c:pt>
                <c:pt idx="266">
                  <c:v>65006.000000100001</c:v>
                </c:pt>
                <c:pt idx="267">
                  <c:v>65160.000000100001</c:v>
                </c:pt>
                <c:pt idx="268">
                  <c:v>65315</c:v>
                </c:pt>
                <c:pt idx="269">
                  <c:v>65469</c:v>
                </c:pt>
                <c:pt idx="270">
                  <c:v>65624.000000100001</c:v>
                </c:pt>
                <c:pt idx="271">
                  <c:v>65784</c:v>
                </c:pt>
                <c:pt idx="272">
                  <c:v>65945</c:v>
                </c:pt>
                <c:pt idx="273">
                  <c:v>66105.000000100001</c:v>
                </c:pt>
                <c:pt idx="274">
                  <c:v>66266.000000100001</c:v>
                </c:pt>
                <c:pt idx="275">
                  <c:v>66425.999999899999</c:v>
                </c:pt>
                <c:pt idx="276">
                  <c:v>66586.999999899999</c:v>
                </c:pt>
                <c:pt idx="277">
                  <c:v>66747</c:v>
                </c:pt>
                <c:pt idx="278">
                  <c:v>66908</c:v>
                </c:pt>
                <c:pt idx="279">
                  <c:v>67068.000000100001</c:v>
                </c:pt>
                <c:pt idx="280">
                  <c:v>67229.000000100001</c:v>
                </c:pt>
                <c:pt idx="281">
                  <c:v>67389</c:v>
                </c:pt>
                <c:pt idx="282">
                  <c:v>67550</c:v>
                </c:pt>
                <c:pt idx="283">
                  <c:v>67710.000000100001</c:v>
                </c:pt>
                <c:pt idx="284">
                  <c:v>67871.000000100001</c:v>
                </c:pt>
                <c:pt idx="285">
                  <c:v>68030.999999899999</c:v>
                </c:pt>
                <c:pt idx="286">
                  <c:v>68191.999999899999</c:v>
                </c:pt>
                <c:pt idx="287">
                  <c:v>68352</c:v>
                </c:pt>
                <c:pt idx="288">
                  <c:v>68513</c:v>
                </c:pt>
                <c:pt idx="289">
                  <c:v>68672.999999899999</c:v>
                </c:pt>
                <c:pt idx="290">
                  <c:v>68833.999999899999</c:v>
                </c:pt>
                <c:pt idx="291">
                  <c:v>69003</c:v>
                </c:pt>
                <c:pt idx="292">
                  <c:v>69171</c:v>
                </c:pt>
                <c:pt idx="293">
                  <c:v>69339.999999899999</c:v>
                </c:pt>
                <c:pt idx="294">
                  <c:v>69509.000000100001</c:v>
                </c:pt>
                <c:pt idx="295">
                  <c:v>69677.000000100001</c:v>
                </c:pt>
                <c:pt idx="296">
                  <c:v>69846</c:v>
                </c:pt>
                <c:pt idx="297">
                  <c:v>70014.999999899999</c:v>
                </c:pt>
                <c:pt idx="298">
                  <c:v>70184.000000100001</c:v>
                </c:pt>
                <c:pt idx="299">
                  <c:v>70352.000000100001</c:v>
                </c:pt>
                <c:pt idx="300">
                  <c:v>70521</c:v>
                </c:pt>
                <c:pt idx="301">
                  <c:v>70689.999999899999</c:v>
                </c:pt>
                <c:pt idx="302">
                  <c:v>70857.999999899999</c:v>
                </c:pt>
                <c:pt idx="303">
                  <c:v>71027</c:v>
                </c:pt>
                <c:pt idx="304">
                  <c:v>71196</c:v>
                </c:pt>
                <c:pt idx="305">
                  <c:v>71364</c:v>
                </c:pt>
                <c:pt idx="306">
                  <c:v>71533.000000100001</c:v>
                </c:pt>
                <c:pt idx="307">
                  <c:v>71702</c:v>
                </c:pt>
                <c:pt idx="308">
                  <c:v>71870.999999899999</c:v>
                </c:pt>
                <c:pt idx="309">
                  <c:v>72038.999999899999</c:v>
                </c:pt>
                <c:pt idx="310">
                  <c:v>72208.000000100001</c:v>
                </c:pt>
                <c:pt idx="311">
                  <c:v>72393</c:v>
                </c:pt>
                <c:pt idx="312">
                  <c:v>72573.999999899999</c:v>
                </c:pt>
                <c:pt idx="313">
                  <c:v>72755.000000100001</c:v>
                </c:pt>
                <c:pt idx="314">
                  <c:v>72936</c:v>
                </c:pt>
                <c:pt idx="315">
                  <c:v>73117.000000100001</c:v>
                </c:pt>
                <c:pt idx="316">
                  <c:v>73298</c:v>
                </c:pt>
                <c:pt idx="317">
                  <c:v>73479.000000100001</c:v>
                </c:pt>
                <c:pt idx="318">
                  <c:v>73660</c:v>
                </c:pt>
                <c:pt idx="319">
                  <c:v>73840.999999899999</c:v>
                </c:pt>
                <c:pt idx="320">
                  <c:v>74022</c:v>
                </c:pt>
                <c:pt idx="321">
                  <c:v>74202.999999899999</c:v>
                </c:pt>
                <c:pt idx="322">
                  <c:v>74384</c:v>
                </c:pt>
                <c:pt idx="323">
                  <c:v>74564.999999899999</c:v>
                </c:pt>
                <c:pt idx="324">
                  <c:v>74746.000000100001</c:v>
                </c:pt>
                <c:pt idx="325">
                  <c:v>74927</c:v>
                </c:pt>
                <c:pt idx="326">
                  <c:v>75108.000000100001</c:v>
                </c:pt>
                <c:pt idx="327">
                  <c:v>75289</c:v>
                </c:pt>
                <c:pt idx="328">
                  <c:v>75470.000000100001</c:v>
                </c:pt>
                <c:pt idx="329">
                  <c:v>75651</c:v>
                </c:pt>
                <c:pt idx="330">
                  <c:v>75831.999999899999</c:v>
                </c:pt>
                <c:pt idx="331">
                  <c:v>76013</c:v>
                </c:pt>
                <c:pt idx="332">
                  <c:v>76193.999999899999</c:v>
                </c:pt>
                <c:pt idx="333">
                  <c:v>76375</c:v>
                </c:pt>
                <c:pt idx="334">
                  <c:v>76555.999999899999</c:v>
                </c:pt>
                <c:pt idx="335">
                  <c:v>76737.000000100001</c:v>
                </c:pt>
                <c:pt idx="336">
                  <c:v>76918</c:v>
                </c:pt>
                <c:pt idx="337">
                  <c:v>77099.000000100001</c:v>
                </c:pt>
                <c:pt idx="338">
                  <c:v>77280</c:v>
                </c:pt>
                <c:pt idx="339">
                  <c:v>77461.000000100001</c:v>
                </c:pt>
                <c:pt idx="340">
                  <c:v>77642</c:v>
                </c:pt>
                <c:pt idx="341">
                  <c:v>77822.999999899999</c:v>
                </c:pt>
                <c:pt idx="342">
                  <c:v>78004</c:v>
                </c:pt>
                <c:pt idx="343">
                  <c:v>78184.999999899999</c:v>
                </c:pt>
                <c:pt idx="344">
                  <c:v>78366</c:v>
                </c:pt>
                <c:pt idx="345">
                  <c:v>78546.999999899999</c:v>
                </c:pt>
                <c:pt idx="346">
                  <c:v>78726.999999899999</c:v>
                </c:pt>
                <c:pt idx="347">
                  <c:v>78908.000000100001</c:v>
                </c:pt>
                <c:pt idx="348">
                  <c:v>79089</c:v>
                </c:pt>
                <c:pt idx="349">
                  <c:v>79270.000000100001</c:v>
                </c:pt>
                <c:pt idx="350">
                  <c:v>79451</c:v>
                </c:pt>
                <c:pt idx="351">
                  <c:v>79616.999999899999</c:v>
                </c:pt>
                <c:pt idx="352">
                  <c:v>79787</c:v>
                </c:pt>
                <c:pt idx="353">
                  <c:v>79957</c:v>
                </c:pt>
                <c:pt idx="354">
                  <c:v>80127.000000100001</c:v>
                </c:pt>
                <c:pt idx="355">
                  <c:v>80296.999999899999</c:v>
                </c:pt>
                <c:pt idx="356">
                  <c:v>80468.000000100001</c:v>
                </c:pt>
                <c:pt idx="357">
                  <c:v>80637.999999899999</c:v>
                </c:pt>
                <c:pt idx="358">
                  <c:v>80807.999999899999</c:v>
                </c:pt>
                <c:pt idx="359">
                  <c:v>80978</c:v>
                </c:pt>
                <c:pt idx="360">
                  <c:v>81148</c:v>
                </c:pt>
                <c:pt idx="361">
                  <c:v>81318.000000100001</c:v>
                </c:pt>
                <c:pt idx="362">
                  <c:v>81488.000000100001</c:v>
                </c:pt>
                <c:pt idx="363">
                  <c:v>81657.999999899999</c:v>
                </c:pt>
                <c:pt idx="364">
                  <c:v>81828</c:v>
                </c:pt>
                <c:pt idx="365">
                  <c:v>81998.999999899999</c:v>
                </c:pt>
                <c:pt idx="366">
                  <c:v>82169</c:v>
                </c:pt>
                <c:pt idx="367">
                  <c:v>82339</c:v>
                </c:pt>
                <c:pt idx="368">
                  <c:v>82509</c:v>
                </c:pt>
                <c:pt idx="369">
                  <c:v>82679.000000100001</c:v>
                </c:pt>
                <c:pt idx="370">
                  <c:v>82848.999999899999</c:v>
                </c:pt>
                <c:pt idx="371">
                  <c:v>83007.899999999994</c:v>
                </c:pt>
                <c:pt idx="372">
                  <c:v>83166.799999900002</c:v>
                </c:pt>
                <c:pt idx="373">
                  <c:v>83325.7</c:v>
                </c:pt>
                <c:pt idx="374">
                  <c:v>83484.599999900005</c:v>
                </c:pt>
                <c:pt idx="375">
                  <c:v>83643.5</c:v>
                </c:pt>
                <c:pt idx="376">
                  <c:v>83802.400000099995</c:v>
                </c:pt>
                <c:pt idx="377">
                  <c:v>83961.3</c:v>
                </c:pt>
                <c:pt idx="378">
                  <c:v>84120.200000099998</c:v>
                </c:pt>
                <c:pt idx="379">
                  <c:v>84279.1</c:v>
                </c:pt>
                <c:pt idx="380">
                  <c:v>84438.000000100001</c:v>
                </c:pt>
                <c:pt idx="381">
                  <c:v>84596.9</c:v>
                </c:pt>
                <c:pt idx="382">
                  <c:v>84755.800000100004</c:v>
                </c:pt>
                <c:pt idx="383">
                  <c:v>84914.7</c:v>
                </c:pt>
                <c:pt idx="384">
                  <c:v>85073.600000100007</c:v>
                </c:pt>
                <c:pt idx="385">
                  <c:v>85232.499999899999</c:v>
                </c:pt>
                <c:pt idx="386">
                  <c:v>85391.400000099995</c:v>
                </c:pt>
                <c:pt idx="387">
                  <c:v>85550.299999900002</c:v>
                </c:pt>
                <c:pt idx="388">
                  <c:v>85709.200000099998</c:v>
                </c:pt>
                <c:pt idx="389">
                  <c:v>85868.099999900005</c:v>
                </c:pt>
                <c:pt idx="390">
                  <c:v>86027</c:v>
                </c:pt>
                <c:pt idx="391">
                  <c:v>86185.899999899993</c:v>
                </c:pt>
                <c:pt idx="392">
                  <c:v>86344.8</c:v>
                </c:pt>
                <c:pt idx="393">
                  <c:v>86503.699999899996</c:v>
                </c:pt>
                <c:pt idx="394">
                  <c:v>86662.6</c:v>
                </c:pt>
                <c:pt idx="395">
                  <c:v>86821.499999899999</c:v>
                </c:pt>
                <c:pt idx="396">
                  <c:v>86980.4</c:v>
                </c:pt>
                <c:pt idx="397">
                  <c:v>87139.299999900002</c:v>
                </c:pt>
                <c:pt idx="398">
                  <c:v>87298.2</c:v>
                </c:pt>
                <c:pt idx="399">
                  <c:v>87457.099999900005</c:v>
                </c:pt>
                <c:pt idx="400">
                  <c:v>87616.062980500006</c:v>
                </c:pt>
                <c:pt idx="401">
                  <c:v>87761.053272899997</c:v>
                </c:pt>
                <c:pt idx="402">
                  <c:v>87923.729009600007</c:v>
                </c:pt>
                <c:pt idx="403">
                  <c:v>88069.740139799993</c:v>
                </c:pt>
                <c:pt idx="404">
                  <c:v>88240.769954999996</c:v>
                </c:pt>
                <c:pt idx="405">
                  <c:v>88399.776258600003</c:v>
                </c:pt>
                <c:pt idx="406">
                  <c:v>88574.128721999994</c:v>
                </c:pt>
                <c:pt idx="407">
                  <c:v>88726.568862600005</c:v>
                </c:pt>
                <c:pt idx="408">
                  <c:v>88904.057824899995</c:v>
                </c:pt>
                <c:pt idx="409">
                  <c:v>89117.533987300005</c:v>
                </c:pt>
                <c:pt idx="410">
                  <c:v>89299.865594600007</c:v>
                </c:pt>
                <c:pt idx="411">
                  <c:v>89457.946666500007</c:v>
                </c:pt>
                <c:pt idx="412">
                  <c:v>89646.317581399999</c:v>
                </c:pt>
                <c:pt idx="413">
                  <c:v>89808.464859600004</c:v>
                </c:pt>
                <c:pt idx="414">
                  <c:v>89969.500727399995</c:v>
                </c:pt>
                <c:pt idx="415">
                  <c:v>90157.210661000005</c:v>
                </c:pt>
                <c:pt idx="416">
                  <c:v>90358.926894899996</c:v>
                </c:pt>
                <c:pt idx="417">
                  <c:v>90532.379639699997</c:v>
                </c:pt>
                <c:pt idx="418">
                  <c:v>90742.850395999994</c:v>
                </c:pt>
                <c:pt idx="419">
                  <c:v>90940.022114899999</c:v>
                </c:pt>
                <c:pt idx="420">
                  <c:v>91125.863008300003</c:v>
                </c:pt>
                <c:pt idx="421">
                  <c:v>91336.5630083</c:v>
                </c:pt>
                <c:pt idx="422">
                  <c:v>91559.714252499994</c:v>
                </c:pt>
                <c:pt idx="423">
                  <c:v>91788.0772631</c:v>
                </c:pt>
                <c:pt idx="424">
                  <c:v>92005.5959515</c:v>
                </c:pt>
                <c:pt idx="425">
                  <c:v>92205.349480799996</c:v>
                </c:pt>
                <c:pt idx="426">
                  <c:v>92446.709155799996</c:v>
                </c:pt>
                <c:pt idx="427">
                  <c:v>92678.404242599994</c:v>
                </c:pt>
                <c:pt idx="428">
                  <c:v>92962.604733300002</c:v>
                </c:pt>
                <c:pt idx="429">
                  <c:v>93165.856599999999</c:v>
                </c:pt>
                <c:pt idx="430">
                  <c:v>93419.180100700003</c:v>
                </c:pt>
                <c:pt idx="431">
                  <c:v>93634.546067100004</c:v>
                </c:pt>
                <c:pt idx="432">
                  <c:v>93886.105813899994</c:v>
                </c:pt>
                <c:pt idx="433">
                  <c:v>94064.288130600005</c:v>
                </c:pt>
                <c:pt idx="434">
                  <c:v>94285.056626899997</c:v>
                </c:pt>
                <c:pt idx="435">
                  <c:v>94473.640432800006</c:v>
                </c:pt>
                <c:pt idx="436">
                  <c:v>94686.0490498</c:v>
                </c:pt>
                <c:pt idx="437">
                  <c:v>94850.912689000004</c:v>
                </c:pt>
                <c:pt idx="438">
                  <c:v>95055.888297800004</c:v>
                </c:pt>
                <c:pt idx="439">
                  <c:v>95243.583003699998</c:v>
                </c:pt>
                <c:pt idx="440">
                  <c:v>95459.938013000006</c:v>
                </c:pt>
                <c:pt idx="441">
                  <c:v>95643.994737100002</c:v>
                </c:pt>
                <c:pt idx="442">
                  <c:v>95858.778650699998</c:v>
                </c:pt>
                <c:pt idx="443">
                  <c:v>96057.271431100002</c:v>
                </c:pt>
                <c:pt idx="444">
                  <c:v>96253.025926000002</c:v>
                </c:pt>
                <c:pt idx="445">
                  <c:v>96415.246936900003</c:v>
                </c:pt>
                <c:pt idx="446">
                  <c:v>96571.050221800004</c:v>
                </c:pt>
                <c:pt idx="447">
                  <c:v>96749.281383599999</c:v>
                </c:pt>
                <c:pt idx="448">
                  <c:v>96928.449282999994</c:v>
                </c:pt>
                <c:pt idx="449">
                  <c:v>97084.764578600007</c:v>
                </c:pt>
                <c:pt idx="450">
                  <c:v>97261.276808199997</c:v>
                </c:pt>
                <c:pt idx="451">
                  <c:v>97422.114923300003</c:v>
                </c:pt>
                <c:pt idx="452">
                  <c:v>97588.7930891</c:v>
                </c:pt>
                <c:pt idx="453">
                  <c:v>97777.972846499993</c:v>
                </c:pt>
                <c:pt idx="454">
                  <c:v>97983.236039299998</c:v>
                </c:pt>
                <c:pt idx="455">
                  <c:v>98172.408885600002</c:v>
                </c:pt>
                <c:pt idx="456">
                  <c:v>98389.2402955</c:v>
                </c:pt>
                <c:pt idx="457">
                  <c:v>98588.430028999996</c:v>
                </c:pt>
                <c:pt idx="458">
                  <c:v>98804.532014500001</c:v>
                </c:pt>
                <c:pt idx="459">
                  <c:v>99042.734826300002</c:v>
                </c:pt>
                <c:pt idx="460">
                  <c:v>99275.413635699995</c:v>
                </c:pt>
                <c:pt idx="461">
                  <c:v>99488.648161699995</c:v>
                </c:pt>
                <c:pt idx="462">
                  <c:v>99720.660600699994</c:v>
                </c:pt>
                <c:pt idx="463">
                  <c:v>99967.917126400003</c:v>
                </c:pt>
                <c:pt idx="464">
                  <c:v>100191.84464700001</c:v>
                </c:pt>
                <c:pt idx="465">
                  <c:v>100391.343458</c:v>
                </c:pt>
                <c:pt idx="466">
                  <c:v>100617.153401</c:v>
                </c:pt>
                <c:pt idx="467">
                  <c:v>100840.93205800001</c:v>
                </c:pt>
                <c:pt idx="468">
                  <c:v>101062.553629</c:v>
                </c:pt>
                <c:pt idx="469">
                  <c:v>101254.79573899999</c:v>
                </c:pt>
                <c:pt idx="470">
                  <c:v>101477.267989</c:v>
                </c:pt>
                <c:pt idx="471">
                  <c:v>101703.973143</c:v>
                </c:pt>
                <c:pt idx="472">
                  <c:v>101926.941828</c:v>
                </c:pt>
                <c:pt idx="473">
                  <c:v>102120.59304199999</c:v>
                </c:pt>
                <c:pt idx="474">
                  <c:v>102349.99333300001</c:v>
                </c:pt>
                <c:pt idx="475">
                  <c:v>102544.430029</c:v>
                </c:pt>
                <c:pt idx="476">
                  <c:v>102784.16117599999</c:v>
                </c:pt>
                <c:pt idx="477">
                  <c:v>102983.93573500001</c:v>
                </c:pt>
                <c:pt idx="478">
                  <c:v>103188.82687999999</c:v>
                </c:pt>
                <c:pt idx="479">
                  <c:v>103426.221726</c:v>
                </c:pt>
                <c:pt idx="480">
                  <c:v>103670.290905</c:v>
                </c:pt>
                <c:pt idx="481">
                  <c:v>104284.72633799999</c:v>
                </c:pt>
                <c:pt idx="482">
                  <c:v>104815.910237</c:v>
                </c:pt>
                <c:pt idx="483">
                  <c:v>105182.988367</c:v>
                </c:pt>
                <c:pt idx="484">
                  <c:v>105460.398235</c:v>
                </c:pt>
                <c:pt idx="485">
                  <c:v>105757.998597</c:v>
                </c:pt>
                <c:pt idx="486">
                  <c:v>106073.211346</c:v>
                </c:pt>
                <c:pt idx="487">
                  <c:v>106345.387856</c:v>
                </c:pt>
                <c:pt idx="488">
                  <c:v>106649.22394</c:v>
                </c:pt>
                <c:pt idx="489">
                  <c:v>106878.598919</c:v>
                </c:pt>
                <c:pt idx="490">
                  <c:v>107119.538279</c:v>
                </c:pt>
                <c:pt idx="491">
                  <c:v>107440.358998</c:v>
                </c:pt>
                <c:pt idx="492">
                  <c:v>107706.705134</c:v>
                </c:pt>
                <c:pt idx="493">
                  <c:v>107924.46806</c:v>
                </c:pt>
                <c:pt idx="494">
                  <c:v>108202.970678</c:v>
                </c:pt>
                <c:pt idx="495">
                  <c:v>108439.693394</c:v>
                </c:pt>
                <c:pt idx="496">
                  <c:v>108713.03703799999</c:v>
                </c:pt>
                <c:pt idx="497">
                  <c:v>108922.239126</c:v>
                </c:pt>
                <c:pt idx="498">
                  <c:v>109197.800411</c:v>
                </c:pt>
                <c:pt idx="499">
                  <c:v>109439.029502</c:v>
                </c:pt>
                <c:pt idx="500">
                  <c:v>109719.21845499999</c:v>
                </c:pt>
                <c:pt idx="501">
                  <c:v>109952.862981</c:v>
                </c:pt>
                <c:pt idx="502">
                  <c:v>110242.033605</c:v>
                </c:pt>
                <c:pt idx="503">
                  <c:v>110505.880967</c:v>
                </c:pt>
                <c:pt idx="504">
                  <c:v>110789.935828</c:v>
                </c:pt>
                <c:pt idx="505">
                  <c:v>111023.090087</c:v>
                </c:pt>
                <c:pt idx="506">
                  <c:v>111305.98201399999</c:v>
                </c:pt>
                <c:pt idx="507">
                  <c:v>111557.380729</c:v>
                </c:pt>
                <c:pt idx="508">
                  <c:v>111838.762519</c:v>
                </c:pt>
                <c:pt idx="509">
                  <c:v>112076.574224</c:v>
                </c:pt>
                <c:pt idx="510">
                  <c:v>112323.061057</c:v>
                </c:pt>
                <c:pt idx="511">
                  <c:v>112626.388706</c:v>
                </c:pt>
                <c:pt idx="512">
                  <c:v>112916.817767</c:v>
                </c:pt>
                <c:pt idx="513">
                  <c:v>113194.370027</c:v>
                </c:pt>
                <c:pt idx="514">
                  <c:v>113557.451682</c:v>
                </c:pt>
                <c:pt idx="515">
                  <c:v>113820.31935600001</c:v>
                </c:pt>
                <c:pt idx="516">
                  <c:v>114072.098205</c:v>
                </c:pt>
                <c:pt idx="517">
                  <c:v>114344.89046900001</c:v>
                </c:pt>
                <c:pt idx="518">
                  <c:v>114616.37527800001</c:v>
                </c:pt>
                <c:pt idx="519">
                  <c:v>114873.169855</c:v>
                </c:pt>
                <c:pt idx="520">
                  <c:v>115153.16231699999</c:v>
                </c:pt>
                <c:pt idx="521">
                  <c:v>115387.190214</c:v>
                </c:pt>
                <c:pt idx="522">
                  <c:v>115624.363371</c:v>
                </c:pt>
                <c:pt idx="523">
                  <c:v>115912.138903</c:v>
                </c:pt>
                <c:pt idx="524">
                  <c:v>116204.792031</c:v>
                </c:pt>
                <c:pt idx="525">
                  <c:v>116466.08469800001</c:v>
                </c:pt>
                <c:pt idx="526">
                  <c:v>116849.036052</c:v>
                </c:pt>
                <c:pt idx="527">
                  <c:v>117105.458411</c:v>
                </c:pt>
                <c:pt idx="528">
                  <c:v>117410.21838200001</c:v>
                </c:pt>
                <c:pt idx="529">
                  <c:v>117683.37018300001</c:v>
                </c:pt>
                <c:pt idx="530">
                  <c:v>117993.74399</c:v>
                </c:pt>
                <c:pt idx="531">
                  <c:v>118275.071603</c:v>
                </c:pt>
                <c:pt idx="532">
                  <c:v>118592.58556000001</c:v>
                </c:pt>
                <c:pt idx="533">
                  <c:v>118870.49462899999</c:v>
                </c:pt>
                <c:pt idx="534">
                  <c:v>119191.525198</c:v>
                </c:pt>
                <c:pt idx="535">
                  <c:v>119472.058569</c:v>
                </c:pt>
                <c:pt idx="536">
                  <c:v>119795.113163</c:v>
                </c:pt>
                <c:pt idx="537">
                  <c:v>120072.55273</c:v>
                </c:pt>
                <c:pt idx="538">
                  <c:v>120422.264786</c:v>
                </c:pt>
                <c:pt idx="539">
                  <c:v>120716.517697</c:v>
                </c:pt>
                <c:pt idx="540">
                  <c:v>121098.954457</c:v>
                </c:pt>
                <c:pt idx="541">
                  <c:v>121398.15025000001</c:v>
                </c:pt>
                <c:pt idx="542">
                  <c:v>121792.767756</c:v>
                </c:pt>
                <c:pt idx="543">
                  <c:v>122102.448561</c:v>
                </c:pt>
                <c:pt idx="544">
                  <c:v>122473.7162</c:v>
                </c:pt>
                <c:pt idx="545">
                  <c:v>122787.17680099999</c:v>
                </c:pt>
                <c:pt idx="546">
                  <c:v>123167.88604899999</c:v>
                </c:pt>
                <c:pt idx="547">
                  <c:v>123492.05166300001</c:v>
                </c:pt>
                <c:pt idx="548">
                  <c:v>123829.42245100001</c:v>
                </c:pt>
                <c:pt idx="549">
                  <c:v>124275.484063</c:v>
                </c:pt>
                <c:pt idx="550">
                  <c:v>124673.046974</c:v>
                </c:pt>
                <c:pt idx="551">
                  <c:v>125002.385113</c:v>
                </c:pt>
                <c:pt idx="552">
                  <c:v>125393.59398400001</c:v>
                </c:pt>
                <c:pt idx="553">
                  <c:v>125752.76811200001</c:v>
                </c:pt>
                <c:pt idx="554">
                  <c:v>126109.248934</c:v>
                </c:pt>
                <c:pt idx="555">
                  <c:v>126506.68507199999</c:v>
                </c:pt>
                <c:pt idx="556">
                  <c:v>126903.452099</c:v>
                </c:pt>
                <c:pt idx="557">
                  <c:v>127257.66207799999</c:v>
                </c:pt>
                <c:pt idx="558">
                  <c:v>127655.083703</c:v>
                </c:pt>
                <c:pt idx="559">
                  <c:v>128031.32511600001</c:v>
                </c:pt>
                <c:pt idx="560">
                  <c:v>128425.96666999999</c:v>
                </c:pt>
                <c:pt idx="561">
                  <c:v>128767.179817</c:v>
                </c:pt>
                <c:pt idx="562">
                  <c:v>129147.38808</c:v>
                </c:pt>
                <c:pt idx="563">
                  <c:v>129478.171116</c:v>
                </c:pt>
                <c:pt idx="564">
                  <c:v>129833.92337600001</c:v>
                </c:pt>
                <c:pt idx="565">
                  <c:v>130139.88281</c:v>
                </c:pt>
                <c:pt idx="566">
                  <c:v>130489.589272</c:v>
                </c:pt>
                <c:pt idx="567">
                  <c:v>130795.107789</c:v>
                </c:pt>
                <c:pt idx="568">
                  <c:v>131158.29837599999</c:v>
                </c:pt>
                <c:pt idx="569">
                  <c:v>131459.75364899999</c:v>
                </c:pt>
                <c:pt idx="570">
                  <c:v>131791.78388800001</c:v>
                </c:pt>
                <c:pt idx="571">
                  <c:v>132080.8726</c:v>
                </c:pt>
                <c:pt idx="572">
                  <c:v>132402.35274599999</c:v>
                </c:pt>
                <c:pt idx="573">
                  <c:v>132693.90641900001</c:v>
                </c:pt>
                <c:pt idx="574">
                  <c:v>133085.74060700001</c:v>
                </c:pt>
                <c:pt idx="575">
                  <c:v>133380.36274400001</c:v>
                </c:pt>
                <c:pt idx="576">
                  <c:v>133699.336977</c:v>
                </c:pt>
                <c:pt idx="577">
                  <c:v>133992.44931200001</c:v>
                </c:pt>
                <c:pt idx="578">
                  <c:v>134311.76993400001</c:v>
                </c:pt>
                <c:pt idx="579">
                  <c:v>134615.19719400001</c:v>
                </c:pt>
                <c:pt idx="580">
                  <c:v>134923.27619800001</c:v>
                </c:pt>
                <c:pt idx="581">
                  <c:v>135256.34584200001</c:v>
                </c:pt>
                <c:pt idx="582">
                  <c:v>135597.952292</c:v>
                </c:pt>
                <c:pt idx="583">
                  <c:v>135912.31758599999</c:v>
                </c:pt>
                <c:pt idx="584">
                  <c:v>136249.37223899999</c:v>
                </c:pt>
                <c:pt idx="585">
                  <c:v>136567.133179</c:v>
                </c:pt>
                <c:pt idx="586">
                  <c:v>136896.57291700001</c:v>
                </c:pt>
                <c:pt idx="587">
                  <c:v>137232.55636300001</c:v>
                </c:pt>
                <c:pt idx="588">
                  <c:v>137569.81226100001</c:v>
                </c:pt>
                <c:pt idx="589">
                  <c:v>137909.76736100001</c:v>
                </c:pt>
                <c:pt idx="590">
                  <c:v>138245.64280500001</c:v>
                </c:pt>
                <c:pt idx="591">
                  <c:v>138549.03915600001</c:v>
                </c:pt>
                <c:pt idx="592">
                  <c:v>138873.096544</c:v>
                </c:pt>
                <c:pt idx="593">
                  <c:v>139178.999411</c:v>
                </c:pt>
                <c:pt idx="594">
                  <c:v>139519.051764</c:v>
                </c:pt>
                <c:pt idx="595">
                  <c:v>139842.36098500001</c:v>
                </c:pt>
                <c:pt idx="596">
                  <c:v>140183.33291299999</c:v>
                </c:pt>
                <c:pt idx="597">
                  <c:v>140506.72496799999</c:v>
                </c:pt>
                <c:pt idx="598">
                  <c:v>140854.930154</c:v>
                </c:pt>
                <c:pt idx="599">
                  <c:v>141193.471811</c:v>
                </c:pt>
                <c:pt idx="600">
                  <c:v>141553.99366199999</c:v>
                </c:pt>
                <c:pt idx="601">
                  <c:v>141885.12083199999</c:v>
                </c:pt>
                <c:pt idx="602">
                  <c:v>142223.74648999999</c:v>
                </c:pt>
                <c:pt idx="603">
                  <c:v>142536.32829899999</c:v>
                </c:pt>
                <c:pt idx="604">
                  <c:v>142870.39796</c:v>
                </c:pt>
                <c:pt idx="605">
                  <c:v>143189.34828499999</c:v>
                </c:pt>
                <c:pt idx="606">
                  <c:v>143531.319162</c:v>
                </c:pt>
                <c:pt idx="607">
                  <c:v>143855.38641400001</c:v>
                </c:pt>
                <c:pt idx="608">
                  <c:v>144191.48427300001</c:v>
                </c:pt>
                <c:pt idx="609">
                  <c:v>144503.710891</c:v>
                </c:pt>
                <c:pt idx="610">
                  <c:v>144834.11603800001</c:v>
                </c:pt>
                <c:pt idx="611">
                  <c:v>145144.152294</c:v>
                </c:pt>
                <c:pt idx="612">
                  <c:v>145458.02342700001</c:v>
                </c:pt>
                <c:pt idx="613">
                  <c:v>145852.82971399999</c:v>
                </c:pt>
                <c:pt idx="614">
                  <c:v>146196.888419</c:v>
                </c:pt>
                <c:pt idx="615">
                  <c:v>146560.869309</c:v>
                </c:pt>
                <c:pt idx="616">
                  <c:v>147143.769027</c:v>
                </c:pt>
                <c:pt idx="617">
                  <c:v>147480.39845400001</c:v>
                </c:pt>
                <c:pt idx="618">
                  <c:v>147803.168649</c:v>
                </c:pt>
                <c:pt idx="619">
                  <c:v>148147.671845</c:v>
                </c:pt>
                <c:pt idx="620">
                  <c:v>148511.01850199999</c:v>
                </c:pt>
                <c:pt idx="621">
                  <c:v>148937.65563600001</c:v>
                </c:pt>
                <c:pt idx="622">
                  <c:v>149292.45340100001</c:v>
                </c:pt>
                <c:pt idx="623">
                  <c:v>149631.10982499999</c:v>
                </c:pt>
                <c:pt idx="624">
                  <c:v>149961.59009700001</c:v>
                </c:pt>
                <c:pt idx="625">
                  <c:v>150302.99506099999</c:v>
                </c:pt>
                <c:pt idx="626">
                  <c:v>150642.93330199999</c:v>
                </c:pt>
                <c:pt idx="627">
                  <c:v>150961.188536</c:v>
                </c:pt>
                <c:pt idx="628">
                  <c:v>151297.72655200001</c:v>
                </c:pt>
                <c:pt idx="629">
                  <c:v>151609.70419700001</c:v>
                </c:pt>
                <c:pt idx="630">
                  <c:v>151940.854659</c:v>
                </c:pt>
                <c:pt idx="631">
                  <c:v>152254.15213</c:v>
                </c:pt>
                <c:pt idx="632">
                  <c:v>152579.70266800001</c:v>
                </c:pt>
                <c:pt idx="633">
                  <c:v>152883.614673</c:v>
                </c:pt>
                <c:pt idx="634">
                  <c:v>153196.46788000001</c:v>
                </c:pt>
                <c:pt idx="635">
                  <c:v>153489.53056099999</c:v>
                </c:pt>
                <c:pt idx="636">
                  <c:v>153793.12508699999</c:v>
                </c:pt>
                <c:pt idx="637">
                  <c:v>154082.10887900001</c:v>
                </c:pt>
                <c:pt idx="638">
                  <c:v>154385.31062100001</c:v>
                </c:pt>
                <c:pt idx="639">
                  <c:v>154672.072025</c:v>
                </c:pt>
                <c:pt idx="640">
                  <c:v>154967.79023899999</c:v>
                </c:pt>
                <c:pt idx="641">
                  <c:v>155241.25707299999</c:v>
                </c:pt>
                <c:pt idx="642">
                  <c:v>155517.10630700001</c:v>
                </c:pt>
                <c:pt idx="643">
                  <c:v>155782.47257899999</c:v>
                </c:pt>
                <c:pt idx="644">
                  <c:v>156056.57308500001</c:v>
                </c:pt>
                <c:pt idx="645">
                  <c:v>156321.02223800001</c:v>
                </c:pt>
                <c:pt idx="646">
                  <c:v>156597.72964800001</c:v>
                </c:pt>
                <c:pt idx="647">
                  <c:v>156865.599843</c:v>
                </c:pt>
                <c:pt idx="648">
                  <c:v>157142.03816299999</c:v>
                </c:pt>
                <c:pt idx="649">
                  <c:v>157411.95591600001</c:v>
                </c:pt>
                <c:pt idx="650">
                  <c:v>157682.938543</c:v>
                </c:pt>
                <c:pt idx="651">
                  <c:v>157972.240937</c:v>
                </c:pt>
                <c:pt idx="652">
                  <c:v>158262.41940899999</c:v>
                </c:pt>
                <c:pt idx="653">
                  <c:v>158545.36327999999</c:v>
                </c:pt>
                <c:pt idx="654">
                  <c:v>158853.27848000001</c:v>
                </c:pt>
                <c:pt idx="655">
                  <c:v>159156.66864700001</c:v>
                </c:pt>
                <c:pt idx="656">
                  <c:v>159461.08498700001</c:v>
                </c:pt>
                <c:pt idx="657">
                  <c:v>159773.79995399999</c:v>
                </c:pt>
                <c:pt idx="658">
                  <c:v>160079.090975</c:v>
                </c:pt>
                <c:pt idx="659">
                  <c:v>160367.378501</c:v>
                </c:pt>
                <c:pt idx="660">
                  <c:v>160654.95617699999</c:v>
                </c:pt>
                <c:pt idx="661">
                  <c:v>160931.24398100001</c:v>
                </c:pt>
                <c:pt idx="662">
                  <c:v>161217.73053</c:v>
                </c:pt>
                <c:pt idx="663">
                  <c:v>161493.20363</c:v>
                </c:pt>
                <c:pt idx="664">
                  <c:v>161777.41010000001</c:v>
                </c:pt>
                <c:pt idx="665">
                  <c:v>162052.72404</c:v>
                </c:pt>
                <c:pt idx="666">
                  <c:v>162341.39403900001</c:v>
                </c:pt>
                <c:pt idx="667">
                  <c:v>162624.46834399999</c:v>
                </c:pt>
                <c:pt idx="668">
                  <c:v>162915.78763800001</c:v>
                </c:pt>
                <c:pt idx="669">
                  <c:v>163204.877389</c:v>
                </c:pt>
                <c:pt idx="670">
                  <c:v>163503.986947</c:v>
                </c:pt>
                <c:pt idx="671">
                  <c:v>175800</c:v>
                </c:pt>
              </c:numCache>
            </c:numRef>
          </c:yVal>
          <c:smooth val="0"/>
          <c:extLst>
            <c:ext xmlns:c16="http://schemas.microsoft.com/office/drawing/2014/chart" uri="{C3380CC4-5D6E-409C-BE32-E72D297353CC}">
              <c16:uniqueId val="{00000000-C1C4-4EB3-9AAD-15800EF14B46}"/>
            </c:ext>
          </c:extLst>
        </c:ser>
        <c:dLbls>
          <c:showLegendKey val="0"/>
          <c:showVal val="0"/>
          <c:showCatName val="0"/>
          <c:showSerName val="0"/>
          <c:showPercent val="0"/>
          <c:showBubbleSize val="0"/>
        </c:dLbls>
        <c:axId val="488938120"/>
        <c:axId val="488938512"/>
      </c:scatterChart>
      <c:valAx>
        <c:axId val="488938120"/>
        <c:scaling>
          <c:orientation val="minMax"/>
        </c:scaling>
        <c:delete val="0"/>
        <c:axPos val="b"/>
        <c:title>
          <c:tx>
            <c:rich>
              <a:bodyPr/>
              <a:lstStyle/>
              <a:p>
                <a:pPr>
                  <a:defRPr sz="1000" b="1" i="0" u="none" strike="noStrike" baseline="0">
                    <a:solidFill>
                      <a:srgbClr val="000000"/>
                    </a:solidFill>
                    <a:latin typeface="Calibri"/>
                    <a:ea typeface="Calibri"/>
                    <a:cs typeface="Calibri"/>
                  </a:defRPr>
                </a:pPr>
                <a:r>
                  <a:rPr lang="en-US"/>
                  <a:t>Total Storage (Acre Feet)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38512"/>
        <c:crosses val="autoZero"/>
        <c:crossBetween val="midCat"/>
        <c:majorUnit val="10000000"/>
      </c:valAx>
      <c:valAx>
        <c:axId val="488938512"/>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en-US"/>
                  <a:t>Area (acres)</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38120"/>
        <c:crosses val="autoZero"/>
        <c:crossBetween val="midCat"/>
      </c:valAx>
      <c:spPr>
        <a:ln w="12700">
          <a:solidFill>
            <a:schemeClr val="tx1"/>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3351308855503827"/>
          <c:y val="3.4745872660633781E-2"/>
          <c:w val="0.74080001966455544"/>
          <c:h val="0.87719197828007334"/>
        </c:manualLayout>
      </c:layout>
      <c:lineChart>
        <c:grouping val="standard"/>
        <c:varyColors val="0"/>
        <c:ser>
          <c:idx val="0"/>
          <c:order val="0"/>
          <c:tx>
            <c:v>With 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'11.0-LawOfRiver'!$C$24:$G$24</c:f>
              <c:strCache>
                <c:ptCount val="5"/>
                <c:pt idx="0">
                  <c:v>Year 1</c:v>
                </c:pt>
                <c:pt idx="1">
                  <c:v>Year 2</c:v>
                </c:pt>
                <c:pt idx="2">
                  <c:v>Year 3</c:v>
                </c:pt>
                <c:pt idx="3">
                  <c:v>Year 4</c:v>
                </c:pt>
                <c:pt idx="4">
                  <c:v>Year 5</c:v>
                </c:pt>
              </c:strCache>
            </c:strRef>
          </c:cat>
          <c:val>
            <c:numRef>
              <c:f>'11.0-Trade'!$C$28:$G$28</c:f>
              <c:numCache>
                <c:formatCode>0.0</c:formatCode>
                <c:ptCount val="5"/>
                <c:pt idx="0">
                  <c:v>11</c:v>
                </c:pt>
                <c:pt idx="1">
                  <c:v>9.0322571336493027</c:v>
                </c:pt>
                <c:pt idx="2">
                  <c:v>7.6425607766800914</c:v>
                </c:pt>
                <c:pt idx="3">
                  <c:v>6.6113060670383863</c:v>
                </c:pt>
                <c:pt idx="4">
                  <c:v>6.2249460986089646</c:v>
                </c:pt>
              </c:numCache>
            </c:numRef>
          </c:val>
          <c:smooth val="0"/>
          <c:extLst>
            <c:ext xmlns:c16="http://schemas.microsoft.com/office/drawing/2014/chart" uri="{C3380CC4-5D6E-409C-BE32-E72D297353CC}">
              <c16:uniqueId val="{00000000-A243-4D6A-9A25-2CBF47155BF4}"/>
            </c:ext>
          </c:extLst>
        </c:ser>
        <c:ser>
          <c:idx val="1"/>
          <c:order val="1"/>
          <c:tx>
            <c:v>With Trade</c:v>
          </c:tx>
          <c:spPr>
            <a:ln w="19050" cap="rnd">
              <a:solidFill>
                <a:schemeClr val="accent2"/>
              </a:solidFill>
              <a:prstDash val="dash"/>
              <a:round/>
            </a:ln>
            <a:effectLst/>
          </c:spPr>
          <c:marker>
            <c:symbol val="triangle"/>
            <c:size val="8"/>
            <c:spPr>
              <a:solidFill>
                <a:schemeClr val="accent2"/>
              </a:solidFill>
              <a:ln w="9525">
                <a:solidFill>
                  <a:schemeClr val="accent2"/>
                </a:solidFill>
              </a:ln>
              <a:effectLst/>
            </c:spPr>
          </c:marker>
          <c:cat>
            <c:strRef>
              <c:f>'11.0-LawOfRiver'!$C$24:$G$24</c:f>
              <c:strCache>
                <c:ptCount val="5"/>
                <c:pt idx="0">
                  <c:v>Year 1</c:v>
                </c:pt>
                <c:pt idx="1">
                  <c:v>Year 2</c:v>
                </c:pt>
                <c:pt idx="2">
                  <c:v>Year 3</c:v>
                </c:pt>
                <c:pt idx="3">
                  <c:v>Year 4</c:v>
                </c:pt>
                <c:pt idx="4">
                  <c:v>Year 5</c:v>
                </c:pt>
              </c:strCache>
            </c:strRef>
          </c:cat>
          <c:val>
            <c:numRef>
              <c:f>'11.0-LawOfRiver'!$C$28:$G$28</c:f>
              <c:numCache>
                <c:formatCode>0.0</c:formatCode>
                <c:ptCount val="5"/>
                <c:pt idx="0">
                  <c:v>11</c:v>
                </c:pt>
                <c:pt idx="1">
                  <c:v>9.0322571336493027</c:v>
                </c:pt>
                <c:pt idx="2">
                  <c:v>7.1385464313993898</c:v>
                </c:pt>
                <c:pt idx="3">
                  <c:v>6.1</c:v>
                </c:pt>
                <c:pt idx="4">
                  <c:v>6.1</c:v>
                </c:pt>
              </c:numCache>
            </c:numRef>
          </c:val>
          <c:smooth val="0"/>
          <c:extLst>
            <c:ext xmlns:c16="http://schemas.microsoft.com/office/drawing/2014/chart" uri="{C3380CC4-5D6E-409C-BE32-E72D297353CC}">
              <c16:uniqueId val="{00000001-A243-4D6A-9A25-2CBF47155BF4}"/>
            </c:ext>
          </c:extLst>
        </c:ser>
        <c:ser>
          <c:idx val="2"/>
          <c:order val="2"/>
          <c:tx>
            <c:v>Trade, Reserve</c:v>
          </c:tx>
          <c:spPr>
            <a:ln w="19050" cap="rnd">
              <a:solidFill>
                <a:schemeClr val="tx1"/>
              </a:solidFill>
              <a:prstDash val="lgDash"/>
              <a:round/>
            </a:ln>
            <a:effectLst/>
          </c:spPr>
          <c:marker>
            <c:symbol val="x"/>
            <c:size val="6"/>
            <c:spPr>
              <a:noFill/>
              <a:ln w="9525">
                <a:solidFill>
                  <a:schemeClr val="tx1"/>
                </a:solidFill>
              </a:ln>
              <a:effectLst/>
            </c:spPr>
          </c:marker>
          <c:val>
            <c:numRef>
              <c:f>'11.0-TradeReserve'!$C$85:$G$85</c:f>
              <c:numCache>
                <c:formatCode>0.0</c:formatCode>
                <c:ptCount val="5"/>
                <c:pt idx="0">
                  <c:v>3.2624438809560035</c:v>
                </c:pt>
                <c:pt idx="1">
                  <c:v>2.6059121066952144</c:v>
                </c:pt>
                <c:pt idx="2">
                  <c:v>2.2851245093047288</c:v>
                </c:pt>
                <c:pt idx="3">
                  <c:v>2.5817095100952416</c:v>
                </c:pt>
                <c:pt idx="4">
                  <c:v>2.8637198302764233</c:v>
                </c:pt>
              </c:numCache>
            </c:numRef>
          </c:val>
          <c:smooth val="0"/>
          <c:extLst>
            <c:ext xmlns:c16="http://schemas.microsoft.com/office/drawing/2014/chart" uri="{C3380CC4-5D6E-409C-BE32-E72D297353CC}">
              <c16:uniqueId val="{00000000-04A7-4822-A6EB-C6AA51C40F6F}"/>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in val="2"/>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Acount Balance </a:t>
                </a:r>
              </a:p>
              <a:p>
                <a:pPr>
                  <a:defRPr sz="2000"/>
                </a:pPr>
                <a:r>
                  <a:rPr lang="en-US" sz="2000" b="0" i="0" u="none" strike="noStrike" baseline="0">
                    <a:effectLst/>
                  </a:rPr>
                  <a:t>Begin of Year </a:t>
                </a:r>
                <a:r>
                  <a:rPr lang="en-US" sz="2000"/>
                  <a:t>(MAF )</a:t>
                </a:r>
              </a:p>
            </c:rich>
          </c:tx>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991061036580484"/>
          <c:y val="3.4745872660633781E-2"/>
          <c:w val="0.84174821055806082"/>
          <c:h val="0.87719197828007334"/>
        </c:manualLayout>
      </c:layout>
      <c:lineChart>
        <c:grouping val="standard"/>
        <c:varyColors val="0"/>
        <c:ser>
          <c:idx val="0"/>
          <c:order val="0"/>
          <c:tx>
            <c:v>With 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'11.0-LawOfRiver'!$C$24:$G$24</c:f>
              <c:strCache>
                <c:ptCount val="5"/>
                <c:pt idx="0">
                  <c:v>Year 1</c:v>
                </c:pt>
                <c:pt idx="1">
                  <c:v>Year 2</c:v>
                </c:pt>
                <c:pt idx="2">
                  <c:v>Year 3</c:v>
                </c:pt>
                <c:pt idx="3">
                  <c:v>Year 4</c:v>
                </c:pt>
                <c:pt idx="4">
                  <c:v>Year 5</c:v>
                </c:pt>
              </c:strCache>
            </c:strRef>
          </c:cat>
          <c:val>
            <c:numRef>
              <c:f>'11.0-Trade'!$C$77:$G$77</c:f>
              <c:numCache>
                <c:formatCode>0.0</c:formatCode>
                <c:ptCount val="5"/>
                <c:pt idx="0">
                  <c:v>6.867</c:v>
                </c:pt>
                <c:pt idx="1">
                  <c:v>6.867</c:v>
                </c:pt>
                <c:pt idx="2">
                  <c:v>6.867</c:v>
                </c:pt>
                <c:pt idx="3">
                  <c:v>6.867</c:v>
                </c:pt>
                <c:pt idx="4">
                  <c:v>6.867</c:v>
                </c:pt>
              </c:numCache>
            </c:numRef>
          </c:val>
          <c:smooth val="0"/>
          <c:extLst>
            <c:ext xmlns:c16="http://schemas.microsoft.com/office/drawing/2014/chart" uri="{C3380CC4-5D6E-409C-BE32-E72D297353CC}">
              <c16:uniqueId val="{00000000-B987-46E0-BA8D-5A8EF0E19845}"/>
            </c:ext>
          </c:extLst>
        </c:ser>
        <c:ser>
          <c:idx val="1"/>
          <c:order val="1"/>
          <c:tx>
            <c:v>Law of River</c:v>
          </c:tx>
          <c:spPr>
            <a:ln w="19050" cap="rnd">
              <a:solidFill>
                <a:schemeClr val="accent2"/>
              </a:solidFill>
              <a:prstDash val="dash"/>
              <a:round/>
            </a:ln>
            <a:effectLst/>
          </c:spPr>
          <c:marker>
            <c:symbol val="triangle"/>
            <c:size val="8"/>
            <c:spPr>
              <a:solidFill>
                <a:schemeClr val="accent2"/>
              </a:solidFill>
              <a:ln w="9525">
                <a:solidFill>
                  <a:schemeClr val="accent2"/>
                </a:solidFill>
              </a:ln>
              <a:effectLst/>
            </c:spPr>
          </c:marker>
          <c:cat>
            <c:strRef>
              <c:f>'11.0-LawOfRiver'!$C$24:$G$24</c:f>
              <c:strCache>
                <c:ptCount val="5"/>
                <c:pt idx="0">
                  <c:v>Year 1</c:v>
                </c:pt>
                <c:pt idx="1">
                  <c:v>Year 2</c:v>
                </c:pt>
                <c:pt idx="2">
                  <c:v>Year 3</c:v>
                </c:pt>
                <c:pt idx="3">
                  <c:v>Year 4</c:v>
                </c:pt>
                <c:pt idx="4">
                  <c:v>Year 5</c:v>
                </c:pt>
              </c:strCache>
            </c:strRef>
          </c:cat>
          <c:val>
            <c:numRef>
              <c:f>'11.0-LawOfRiver'!$C$77:$G$77</c:f>
              <c:numCache>
                <c:formatCode>0.0</c:formatCode>
                <c:ptCount val="5"/>
                <c:pt idx="0">
                  <c:v>6.867</c:v>
                </c:pt>
                <c:pt idx="1">
                  <c:v>6.867</c:v>
                </c:pt>
                <c:pt idx="2">
                  <c:v>6.7830000000000004</c:v>
                </c:pt>
                <c:pt idx="3">
                  <c:v>6.7830000000000004</c:v>
                </c:pt>
                <c:pt idx="4">
                  <c:v>6.7830000000000004</c:v>
                </c:pt>
              </c:numCache>
            </c:numRef>
          </c:val>
          <c:smooth val="0"/>
          <c:extLst>
            <c:ext xmlns:c16="http://schemas.microsoft.com/office/drawing/2014/chart" uri="{C3380CC4-5D6E-409C-BE32-E72D297353CC}">
              <c16:uniqueId val="{00000001-B987-46E0-BA8D-5A8EF0E19845}"/>
            </c:ext>
          </c:extLst>
        </c:ser>
        <c:ser>
          <c:idx val="2"/>
          <c:order val="2"/>
          <c:tx>
            <c:v>Trade, Reserve</c:v>
          </c:tx>
          <c:spPr>
            <a:ln w="19050" cap="rnd">
              <a:solidFill>
                <a:schemeClr val="tx1"/>
              </a:solidFill>
              <a:prstDash val="lgDash"/>
              <a:round/>
            </a:ln>
            <a:effectLst/>
          </c:spPr>
          <c:marker>
            <c:symbol val="x"/>
            <c:size val="7"/>
            <c:spPr>
              <a:noFill/>
              <a:ln w="9525">
                <a:solidFill>
                  <a:schemeClr val="tx1"/>
                </a:solidFill>
              </a:ln>
              <a:effectLst/>
            </c:spPr>
          </c:marker>
          <c:val>
            <c:numRef>
              <c:f>'11.0-TradeReserve'!$C$79:$G$79</c:f>
              <c:numCache>
                <c:formatCode>0.0</c:formatCode>
                <c:ptCount val="5"/>
                <c:pt idx="0">
                  <c:v>6.9</c:v>
                </c:pt>
                <c:pt idx="1">
                  <c:v>6.9</c:v>
                </c:pt>
                <c:pt idx="2">
                  <c:v>6.9</c:v>
                </c:pt>
                <c:pt idx="3">
                  <c:v>6.9</c:v>
                </c:pt>
                <c:pt idx="4">
                  <c:v>6.9</c:v>
                </c:pt>
              </c:numCache>
            </c:numRef>
          </c:val>
          <c:smooth val="0"/>
          <c:extLst>
            <c:ext xmlns:c16="http://schemas.microsoft.com/office/drawing/2014/chart" uri="{C3380CC4-5D6E-409C-BE32-E72D297353CC}">
              <c16:uniqueId val="{00000000-3D35-4113-A3D3-11A0935FD7C1}"/>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ax val="7"/>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solidFill>
            <a:schemeClr val="tx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82892438617434"/>
          <c:y val="3.4745872660633781E-2"/>
          <c:w val="0.8441852306217551"/>
          <c:h val="0.77624649057829043"/>
        </c:manualLayout>
      </c:layout>
      <c:lineChart>
        <c:grouping val="standard"/>
        <c:varyColors val="0"/>
        <c:ser>
          <c:idx val="1"/>
          <c:order val="0"/>
          <c:tx>
            <c:v>Law of River</c:v>
          </c:tx>
          <c:spPr>
            <a:ln w="19050" cap="rnd">
              <a:solidFill>
                <a:schemeClr val="accent2"/>
              </a:solidFill>
              <a:prstDash val="dash"/>
              <a:round/>
            </a:ln>
            <a:effectLst/>
          </c:spPr>
          <c:marker>
            <c:symbol val="triangle"/>
            <c:size val="8"/>
            <c:spPr>
              <a:solidFill>
                <a:schemeClr val="accent2"/>
              </a:solidFill>
              <a:ln w="9525">
                <a:solidFill>
                  <a:schemeClr val="accent2"/>
                </a:solidFill>
              </a:ln>
              <a:effectLst/>
            </c:spPr>
          </c:marker>
          <c:cat>
            <c:strRef>
              <c:f>'11.0-LawOfRiver'!$C$24:$G$24</c:f>
              <c:strCache>
                <c:ptCount val="5"/>
                <c:pt idx="0">
                  <c:v>Year 1</c:v>
                </c:pt>
                <c:pt idx="1">
                  <c:v>Year 2</c:v>
                </c:pt>
                <c:pt idx="2">
                  <c:v>Year 3</c:v>
                </c:pt>
                <c:pt idx="3">
                  <c:v>Year 4</c:v>
                </c:pt>
                <c:pt idx="4">
                  <c:v>Year 5</c:v>
                </c:pt>
              </c:strCache>
            </c:strRef>
          </c:cat>
          <c:val>
            <c:numRef>
              <c:f>'11.0-LawOfRiver'!$C$29:$G$29</c:f>
              <c:numCache>
                <c:formatCode>0.0</c:formatCode>
                <c:ptCount val="5"/>
                <c:pt idx="0">
                  <c:v>10.058999999999999</c:v>
                </c:pt>
                <c:pt idx="1">
                  <c:v>9.6698308643071194</c:v>
                </c:pt>
                <c:pt idx="2">
                  <c:v>9.2767404490576055</c:v>
                </c:pt>
                <c:pt idx="3">
                  <c:v>8.9640950761011382</c:v>
                </c:pt>
                <c:pt idx="4">
                  <c:v>8.6506809620768621</c:v>
                </c:pt>
              </c:numCache>
            </c:numRef>
          </c:val>
          <c:smooth val="0"/>
          <c:extLst>
            <c:ext xmlns:c16="http://schemas.microsoft.com/office/drawing/2014/chart" uri="{C3380CC4-5D6E-409C-BE32-E72D297353CC}">
              <c16:uniqueId val="{00000000-D877-4E0B-8DD9-991F585A264B}"/>
            </c:ext>
          </c:extLst>
        </c:ser>
        <c:ser>
          <c:idx val="0"/>
          <c:order val="1"/>
          <c:tx>
            <c:v>With 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'11.0-LawOfRiver'!$C$24:$G$24</c:f>
              <c:strCache>
                <c:ptCount val="5"/>
                <c:pt idx="0">
                  <c:v>Year 1</c:v>
                </c:pt>
                <c:pt idx="1">
                  <c:v>Year 2</c:v>
                </c:pt>
                <c:pt idx="2">
                  <c:v>Year 3</c:v>
                </c:pt>
                <c:pt idx="3">
                  <c:v>Year 4</c:v>
                </c:pt>
                <c:pt idx="4">
                  <c:v>Year 5</c:v>
                </c:pt>
              </c:strCache>
            </c:strRef>
          </c:cat>
          <c:val>
            <c:numRef>
              <c:f>'11.0-Trade'!$C$29:$G$29</c:f>
              <c:numCache>
                <c:formatCode>0.0</c:formatCode>
                <c:ptCount val="5"/>
                <c:pt idx="0">
                  <c:v>10.058999999999999</c:v>
                </c:pt>
                <c:pt idx="1">
                  <c:v>10.169830864307119</c:v>
                </c:pt>
                <c:pt idx="2">
                  <c:v>10.155867467276902</c:v>
                </c:pt>
                <c:pt idx="3">
                  <c:v>10.127301773918607</c:v>
                </c:pt>
                <c:pt idx="4">
                  <c:v>9.687083092847427</c:v>
                </c:pt>
              </c:numCache>
            </c:numRef>
          </c:val>
          <c:smooth val="0"/>
          <c:extLst>
            <c:ext xmlns:c16="http://schemas.microsoft.com/office/drawing/2014/chart" uri="{C3380CC4-5D6E-409C-BE32-E72D297353CC}">
              <c16:uniqueId val="{00000001-D877-4E0B-8DD9-991F585A264B}"/>
            </c:ext>
          </c:extLst>
        </c:ser>
        <c:ser>
          <c:idx val="2"/>
          <c:order val="2"/>
          <c:tx>
            <c:v>Trade, Reserve</c:v>
          </c:tx>
          <c:spPr>
            <a:ln w="19050" cap="rnd">
              <a:solidFill>
                <a:schemeClr val="tx1"/>
              </a:solidFill>
              <a:prstDash val="lgDash"/>
              <a:round/>
            </a:ln>
            <a:effectLst/>
          </c:spPr>
          <c:marker>
            <c:symbol val="x"/>
            <c:size val="7"/>
            <c:spPr>
              <a:noFill/>
              <a:ln w="9525">
                <a:solidFill>
                  <a:schemeClr val="tx1"/>
                </a:solidFill>
              </a:ln>
              <a:effectLst/>
            </c:spPr>
          </c:marker>
          <c:val>
            <c:numRef>
              <c:f>'11.0-TradeReserve'!$C$86:$G$86</c:f>
              <c:numCache>
                <c:formatCode>0.0</c:formatCode>
                <c:ptCount val="5"/>
                <c:pt idx="0">
                  <c:v>4.566312706382833</c:v>
                </c:pt>
                <c:pt idx="1">
                  <c:v>4.6147112984892829</c:v>
                </c:pt>
                <c:pt idx="2">
                  <c:v>4.6537848163901909</c:v>
                </c:pt>
                <c:pt idx="3">
                  <c:v>4.2884546174808307</c:v>
                </c:pt>
                <c:pt idx="4">
                  <c:v>3.9404978431203883</c:v>
                </c:pt>
              </c:numCache>
            </c:numRef>
          </c:val>
          <c:smooth val="0"/>
          <c:extLst>
            <c:ext xmlns:c16="http://schemas.microsoft.com/office/drawing/2014/chart" uri="{C3380CC4-5D6E-409C-BE32-E72D297353CC}">
              <c16:uniqueId val="{00000000-4CE3-4BC1-B35E-9665CC053CA4}"/>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ax val="12"/>
          <c:min val="2"/>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2498069941313717"/>
          <c:y val="3.4745872660633781E-2"/>
          <c:w val="0.74072428762167097"/>
          <c:h val="0.87719197828007334"/>
        </c:manualLayout>
      </c:layout>
      <c:lineChart>
        <c:grouping val="standard"/>
        <c:varyColors val="0"/>
        <c:ser>
          <c:idx val="1"/>
          <c:order val="0"/>
          <c:tx>
            <c:v>Law of River</c:v>
          </c:tx>
          <c:spPr>
            <a:ln w="19050" cap="rnd">
              <a:solidFill>
                <a:schemeClr val="accent2"/>
              </a:solidFill>
              <a:prstDash val="dash"/>
              <a:round/>
            </a:ln>
            <a:effectLst/>
          </c:spPr>
          <c:marker>
            <c:symbol val="triangle"/>
            <c:size val="8"/>
            <c:spPr>
              <a:solidFill>
                <a:schemeClr val="accent2"/>
              </a:solidFill>
              <a:ln w="9525">
                <a:solidFill>
                  <a:schemeClr val="accent2"/>
                </a:solidFill>
              </a:ln>
              <a:effectLst/>
            </c:spPr>
          </c:marker>
          <c:cat>
            <c:strRef>
              <c:f>'MillenniumRecover-LawOfRiver'!$C$24:$L$24</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'MillenniumRecover-LawOfRiver'!$C$76:$L$76</c:f>
              <c:numCache>
                <c:formatCode>0.0</c:formatCode>
                <c:ptCount val="10"/>
                <c:pt idx="0">
                  <c:v>4.2</c:v>
                </c:pt>
                <c:pt idx="1">
                  <c:v>4.2</c:v>
                </c:pt>
                <c:pt idx="2">
                  <c:v>4.2</c:v>
                </c:pt>
                <c:pt idx="3">
                  <c:v>4.2</c:v>
                </c:pt>
                <c:pt idx="4">
                  <c:v>4.2</c:v>
                </c:pt>
                <c:pt idx="5">
                  <c:v>4.2</c:v>
                </c:pt>
                <c:pt idx="6">
                  <c:v>4.2</c:v>
                </c:pt>
                <c:pt idx="7">
                  <c:v>4.2</c:v>
                </c:pt>
                <c:pt idx="8">
                  <c:v>4.2</c:v>
                </c:pt>
                <c:pt idx="9">
                  <c:v>4.2</c:v>
                </c:pt>
              </c:numCache>
            </c:numRef>
          </c:val>
          <c:smooth val="0"/>
          <c:extLst>
            <c:ext xmlns:c16="http://schemas.microsoft.com/office/drawing/2014/chart" uri="{C3380CC4-5D6E-409C-BE32-E72D297353CC}">
              <c16:uniqueId val="{00000000-7A70-4488-AFB5-EE82F3CC5EAB}"/>
            </c:ext>
          </c:extLst>
        </c:ser>
        <c:ser>
          <c:idx val="0"/>
          <c:order val="1"/>
          <c:tx>
            <c:v>With 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'MillenniumRecover-LawOfRiver'!$C$24:$L$24</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'MillenniumRecover-Trade'!$C$76:$L$76</c:f>
              <c:numCache>
                <c:formatCode>0.0</c:formatCode>
                <c:ptCount val="10"/>
                <c:pt idx="0">
                  <c:v>4.2</c:v>
                </c:pt>
                <c:pt idx="1">
                  <c:v>4.2</c:v>
                </c:pt>
                <c:pt idx="2">
                  <c:v>4.2</c:v>
                </c:pt>
                <c:pt idx="3">
                  <c:v>4.2</c:v>
                </c:pt>
                <c:pt idx="4">
                  <c:v>4.2</c:v>
                </c:pt>
                <c:pt idx="5">
                  <c:v>4.2</c:v>
                </c:pt>
                <c:pt idx="6">
                  <c:v>4.2</c:v>
                </c:pt>
                <c:pt idx="7">
                  <c:v>4.2</c:v>
                </c:pt>
                <c:pt idx="8">
                  <c:v>4.2</c:v>
                </c:pt>
                <c:pt idx="9">
                  <c:v>4.2</c:v>
                </c:pt>
              </c:numCache>
            </c:numRef>
          </c:val>
          <c:smooth val="0"/>
          <c:extLst>
            <c:ext xmlns:c16="http://schemas.microsoft.com/office/drawing/2014/chart" uri="{C3380CC4-5D6E-409C-BE32-E72D297353CC}">
              <c16:uniqueId val="{00000001-7A70-4488-AFB5-EE82F3CC5EAB}"/>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ax val="7"/>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Consumptive Use</a:t>
                </a:r>
              </a:p>
              <a:p>
                <a:pPr>
                  <a:defRPr sz="2000"/>
                </a:pPr>
                <a:r>
                  <a:rPr lang="en-US" sz="2000"/>
                  <a:t> (MAF per year)</a:t>
                </a:r>
              </a:p>
            </c:rich>
          </c:tx>
          <c:layout>
            <c:manualLayout>
              <c:xMode val="edge"/>
              <c:yMode val="edge"/>
              <c:x val="1.6550643851788598E-2"/>
              <c:y val="5.3557317492761394E-2"/>
            </c:manualLayout>
          </c:layout>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legend>
      <c:legendPos val="r"/>
      <c:layout>
        <c:manualLayout>
          <c:xMode val="edge"/>
          <c:yMode val="edge"/>
          <c:x val="0.63885551056014311"/>
          <c:y val="6.7968706906245957E-2"/>
          <c:w val="0.30282398752920586"/>
          <c:h val="0.2029711433937666"/>
        </c:manualLayout>
      </c:layout>
      <c:overlay val="0"/>
      <c:spPr>
        <a:solidFill>
          <a:schemeClr val="bg1"/>
        </a:solidFill>
        <a:ln>
          <a:solidFill>
            <a:schemeClr val="tx1"/>
          </a:solid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397533772845323"/>
          <c:y val="4.4031242550446624E-2"/>
          <c:w val="0.74080001966455544"/>
          <c:h val="0.79067360409193843"/>
        </c:manualLayout>
      </c:layout>
      <c:lineChart>
        <c:grouping val="standard"/>
        <c:varyColors val="0"/>
        <c:ser>
          <c:idx val="0"/>
          <c:order val="0"/>
          <c:tx>
            <c:v>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'MillenniumRecover-LawOfRiver'!$C$24:$L$24</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'MillenniumRecover-Trade'!$C$28:$L$28</c:f>
              <c:numCache>
                <c:formatCode>0.0</c:formatCode>
                <c:ptCount val="10"/>
                <c:pt idx="0">
                  <c:v>11</c:v>
                </c:pt>
                <c:pt idx="1">
                  <c:v>10.432257133649305</c:v>
                </c:pt>
                <c:pt idx="2">
                  <c:v>9.883093333626892</c:v>
                </c:pt>
                <c:pt idx="3">
                  <c:v>9.3510855529839212</c:v>
                </c:pt>
                <c:pt idx="4">
                  <c:v>8.8372366863848768</c:v>
                </c:pt>
                <c:pt idx="5">
                  <c:v>8.3417616560002301</c:v>
                </c:pt>
                <c:pt idx="6">
                  <c:v>7.8638689563828423</c:v>
                </c:pt>
                <c:pt idx="7">
                  <c:v>8.9036315279864233</c:v>
                </c:pt>
                <c:pt idx="8">
                  <c:v>9.902385129376853</c:v>
                </c:pt>
                <c:pt idx="9">
                  <c:v>10.862467282554409</c:v>
                </c:pt>
              </c:numCache>
            </c:numRef>
          </c:val>
          <c:smooth val="0"/>
          <c:extLst>
            <c:ext xmlns:c16="http://schemas.microsoft.com/office/drawing/2014/chart" uri="{C3380CC4-5D6E-409C-BE32-E72D297353CC}">
              <c16:uniqueId val="{00000000-66A1-42AF-BC1F-CF6F1223B618}"/>
            </c:ext>
          </c:extLst>
        </c:ser>
        <c:ser>
          <c:idx val="1"/>
          <c:order val="1"/>
          <c:tx>
            <c:v>Law of River</c:v>
          </c:tx>
          <c:spPr>
            <a:ln w="19050" cap="rnd">
              <a:solidFill>
                <a:schemeClr val="accent2"/>
              </a:solidFill>
              <a:prstDash val="dash"/>
              <a:round/>
            </a:ln>
            <a:effectLst/>
          </c:spPr>
          <c:marker>
            <c:symbol val="triangle"/>
            <c:size val="8"/>
            <c:spPr>
              <a:solidFill>
                <a:schemeClr val="accent2"/>
              </a:solidFill>
              <a:ln w="9525">
                <a:solidFill>
                  <a:schemeClr val="accent2"/>
                </a:solidFill>
              </a:ln>
              <a:effectLst/>
            </c:spPr>
          </c:marker>
          <c:cat>
            <c:strRef>
              <c:f>'MillenniumRecover-LawOfRiver'!$C$24:$L$24</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'MillenniumRecover-LawOfRiver'!$C$28:$L$28</c:f>
              <c:numCache>
                <c:formatCode>0.0</c:formatCode>
                <c:ptCount val="10"/>
                <c:pt idx="0">
                  <c:v>11</c:v>
                </c:pt>
                <c:pt idx="1">
                  <c:v>10.432257133649305</c:v>
                </c:pt>
                <c:pt idx="2">
                  <c:v>9.883093333626892</c:v>
                </c:pt>
                <c:pt idx="3">
                  <c:v>9.3510855529839212</c:v>
                </c:pt>
                <c:pt idx="4">
                  <c:v>8.8372366863848768</c:v>
                </c:pt>
                <c:pt idx="5">
                  <c:v>8.3417616560002301</c:v>
                </c:pt>
                <c:pt idx="6">
                  <c:v>7.8638689563828423</c:v>
                </c:pt>
                <c:pt idx="7">
                  <c:v>9.4036315279864233</c:v>
                </c:pt>
                <c:pt idx="8">
                  <c:v>10.876202195079536</c:v>
                </c:pt>
                <c:pt idx="9">
                  <c:v>12.286629885257579</c:v>
                </c:pt>
              </c:numCache>
            </c:numRef>
          </c:val>
          <c:smooth val="0"/>
          <c:extLst>
            <c:ext xmlns:c16="http://schemas.microsoft.com/office/drawing/2014/chart" uri="{C3380CC4-5D6E-409C-BE32-E72D297353CC}">
              <c16:uniqueId val="{00000001-66A1-42AF-BC1F-CF6F1223B618}"/>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in val="4"/>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Acount Balance </a:t>
                </a:r>
              </a:p>
              <a:p>
                <a:pPr>
                  <a:defRPr sz="2000"/>
                </a:pPr>
                <a:r>
                  <a:rPr lang="en-US" sz="2000" b="0" i="0" u="none" strike="noStrike" baseline="0">
                    <a:effectLst/>
                  </a:rPr>
                  <a:t>Begin of Year </a:t>
                </a:r>
                <a:r>
                  <a:rPr lang="en-US" sz="2000"/>
                  <a:t>(MAF )</a:t>
                </a:r>
              </a:p>
            </c:rich>
          </c:tx>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4329374030883646E-2"/>
          <c:y val="4.7662190096618665E-2"/>
          <c:w val="0.90974433052796222"/>
          <c:h val="0.84595737564206464"/>
        </c:manualLayout>
      </c:layout>
      <c:lineChart>
        <c:grouping val="standard"/>
        <c:varyColors val="0"/>
        <c:ser>
          <c:idx val="0"/>
          <c:order val="0"/>
          <c:tx>
            <c:v>With 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'MillenniumRecover-LawOfRiver'!$C$24:$L$24</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'MillenniumRecover-Trade'!$C$77:$L$77</c:f>
              <c:numCache>
                <c:formatCode>0.0</c:formatCode>
                <c:ptCount val="10"/>
                <c:pt idx="0">
                  <c:v>6.867</c:v>
                </c:pt>
                <c:pt idx="1">
                  <c:v>6.867</c:v>
                </c:pt>
                <c:pt idx="2">
                  <c:v>6.7830000000000004</c:v>
                </c:pt>
                <c:pt idx="3">
                  <c:v>6.7830000000000004</c:v>
                </c:pt>
                <c:pt idx="4">
                  <c:v>6.7830000000000004</c:v>
                </c:pt>
                <c:pt idx="5">
                  <c:v>6.7830000000000004</c:v>
                </c:pt>
                <c:pt idx="6">
                  <c:v>6.7830000000000004</c:v>
                </c:pt>
                <c:pt idx="7">
                  <c:v>6.7830000000000004</c:v>
                </c:pt>
                <c:pt idx="8">
                  <c:v>6.7830000000000004</c:v>
                </c:pt>
                <c:pt idx="9">
                  <c:v>6.7830000000000004</c:v>
                </c:pt>
              </c:numCache>
            </c:numRef>
          </c:val>
          <c:smooth val="0"/>
          <c:extLst>
            <c:ext xmlns:c16="http://schemas.microsoft.com/office/drawing/2014/chart" uri="{C3380CC4-5D6E-409C-BE32-E72D297353CC}">
              <c16:uniqueId val="{00000000-0CAD-4C47-BAE4-5168D1A27369}"/>
            </c:ext>
          </c:extLst>
        </c:ser>
        <c:ser>
          <c:idx val="1"/>
          <c:order val="1"/>
          <c:tx>
            <c:v>Law of River</c:v>
          </c:tx>
          <c:spPr>
            <a:ln w="19050" cap="rnd">
              <a:solidFill>
                <a:schemeClr val="accent2"/>
              </a:solidFill>
              <a:prstDash val="dash"/>
              <a:round/>
            </a:ln>
            <a:effectLst/>
          </c:spPr>
          <c:marker>
            <c:symbol val="triangle"/>
            <c:size val="8"/>
            <c:spPr>
              <a:solidFill>
                <a:schemeClr val="accent2"/>
              </a:solidFill>
              <a:ln w="9525">
                <a:solidFill>
                  <a:schemeClr val="accent2"/>
                </a:solidFill>
              </a:ln>
              <a:effectLst/>
            </c:spPr>
          </c:marker>
          <c:cat>
            <c:strRef>
              <c:f>'MillenniumRecover-LawOfRiver'!$C$24:$L$24</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'MillenniumRecover-LawOfRiver'!$C$77:$L$77</c:f>
              <c:numCache>
                <c:formatCode>0.0</c:formatCode>
                <c:ptCount val="10"/>
                <c:pt idx="0">
                  <c:v>6.867</c:v>
                </c:pt>
                <c:pt idx="1">
                  <c:v>6.867</c:v>
                </c:pt>
                <c:pt idx="2">
                  <c:v>6.7830000000000004</c:v>
                </c:pt>
                <c:pt idx="3">
                  <c:v>6.7830000000000004</c:v>
                </c:pt>
                <c:pt idx="4">
                  <c:v>6.7830000000000004</c:v>
                </c:pt>
                <c:pt idx="5">
                  <c:v>6.7830000000000004</c:v>
                </c:pt>
                <c:pt idx="6">
                  <c:v>6.7830000000000004</c:v>
                </c:pt>
                <c:pt idx="7">
                  <c:v>6.7830000000000004</c:v>
                </c:pt>
                <c:pt idx="8">
                  <c:v>6.7830000000000004</c:v>
                </c:pt>
                <c:pt idx="9">
                  <c:v>6.5330000000000004</c:v>
                </c:pt>
              </c:numCache>
            </c:numRef>
          </c:val>
          <c:smooth val="0"/>
          <c:extLst>
            <c:ext xmlns:c16="http://schemas.microsoft.com/office/drawing/2014/chart" uri="{C3380CC4-5D6E-409C-BE32-E72D297353CC}">
              <c16:uniqueId val="{00000001-0CAD-4C47-BAE4-5168D1A27369}"/>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ax val="7"/>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4850857759708025E-2"/>
          <c:y val="4.635017936459581E-2"/>
          <c:w val="0.9140122529167104"/>
          <c:h val="0.77624649057829043"/>
        </c:manualLayout>
      </c:layout>
      <c:lineChart>
        <c:grouping val="standard"/>
        <c:varyColors val="0"/>
        <c:ser>
          <c:idx val="1"/>
          <c:order val="0"/>
          <c:tx>
            <c:v>Law of River</c:v>
          </c:tx>
          <c:spPr>
            <a:ln w="19050" cap="rnd">
              <a:solidFill>
                <a:schemeClr val="accent2"/>
              </a:solidFill>
              <a:prstDash val="dash"/>
              <a:round/>
            </a:ln>
            <a:effectLst/>
          </c:spPr>
          <c:marker>
            <c:symbol val="triangle"/>
            <c:size val="8"/>
            <c:spPr>
              <a:solidFill>
                <a:schemeClr val="accent2"/>
              </a:solidFill>
              <a:ln w="9525">
                <a:solidFill>
                  <a:schemeClr val="accent2"/>
                </a:solidFill>
              </a:ln>
              <a:effectLst/>
            </c:spPr>
          </c:marker>
          <c:cat>
            <c:strRef>
              <c:f>'MillenniumRecover-LawOfRiver'!$C$24:$L$24</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'MillenniumRecover-LawOfRiver'!$C$29:$L$29</c:f>
              <c:numCache>
                <c:formatCode>0.0</c:formatCode>
                <c:ptCount val="10"/>
                <c:pt idx="0">
                  <c:v>10.058999999999999</c:v>
                </c:pt>
                <c:pt idx="1">
                  <c:v>9.6698308643071194</c:v>
                </c:pt>
                <c:pt idx="2">
                  <c:v>9.2912439743301327</c:v>
                </c:pt>
                <c:pt idx="3">
                  <c:v>9.0079995204725307</c:v>
                </c:pt>
                <c:pt idx="4">
                  <c:v>8.7307193475704032</c:v>
                </c:pt>
                <c:pt idx="5">
                  <c:v>8.4597945334544526</c:v>
                </c:pt>
                <c:pt idx="6">
                  <c:v>8.1946350640712673</c:v>
                </c:pt>
                <c:pt idx="7">
                  <c:v>7.9355115124682873</c:v>
                </c:pt>
                <c:pt idx="8">
                  <c:v>7.703961559375176</c:v>
                </c:pt>
                <c:pt idx="9">
                  <c:v>7.4951402711965605</c:v>
                </c:pt>
              </c:numCache>
            </c:numRef>
          </c:val>
          <c:smooth val="0"/>
          <c:extLst>
            <c:ext xmlns:c16="http://schemas.microsoft.com/office/drawing/2014/chart" uri="{C3380CC4-5D6E-409C-BE32-E72D297353CC}">
              <c16:uniqueId val="{00000000-052F-40FA-A317-8481C9398C82}"/>
            </c:ext>
          </c:extLst>
        </c:ser>
        <c:ser>
          <c:idx val="0"/>
          <c:order val="1"/>
          <c:tx>
            <c:v>With 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'MillenniumRecover-LawOfRiver'!$C$24:$L$24</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'MillenniumRecover-Trade'!$C$29:$L$29</c:f>
              <c:numCache>
                <c:formatCode>0.0</c:formatCode>
                <c:ptCount val="10"/>
                <c:pt idx="0">
                  <c:v>10.058999999999999</c:v>
                </c:pt>
                <c:pt idx="1">
                  <c:v>9.6698308643071194</c:v>
                </c:pt>
                <c:pt idx="2">
                  <c:v>9.2912439743301327</c:v>
                </c:pt>
                <c:pt idx="3">
                  <c:v>9.0079995204725307</c:v>
                </c:pt>
                <c:pt idx="4">
                  <c:v>8.7307193475704032</c:v>
                </c:pt>
                <c:pt idx="5">
                  <c:v>8.4597945334544526</c:v>
                </c:pt>
                <c:pt idx="6">
                  <c:v>8.1946350640712673</c:v>
                </c:pt>
                <c:pt idx="7">
                  <c:v>8.4355115124682882</c:v>
                </c:pt>
                <c:pt idx="8">
                  <c:v>8.6777786250778597</c:v>
                </c:pt>
                <c:pt idx="9">
                  <c:v>8.9193028738997313</c:v>
                </c:pt>
              </c:numCache>
            </c:numRef>
          </c:val>
          <c:smooth val="0"/>
          <c:extLst>
            <c:ext xmlns:c16="http://schemas.microsoft.com/office/drawing/2014/chart" uri="{C3380CC4-5D6E-409C-BE32-E72D297353CC}">
              <c16:uniqueId val="{00000001-052F-40FA-A317-8481C9398C82}"/>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ax val="14"/>
          <c:min val="4"/>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Elevation-Storage</c:v>
          </c:tx>
          <c:xVal>
            <c:numRef>
              <c:f>'Powell-Elevation-Area'!$A$5:$A$688</c:f>
              <c:numCache>
                <c:formatCode>_(* #,##0.0_);_(* \(#,##0.0\);_(* "-"??_);_(@_)</c:formatCode>
                <c:ptCount val="684"/>
                <c:pt idx="0">
                  <c:v>3370</c:v>
                </c:pt>
                <c:pt idx="1">
                  <c:v>3370.5</c:v>
                </c:pt>
                <c:pt idx="2">
                  <c:v>3371</c:v>
                </c:pt>
                <c:pt idx="3">
                  <c:v>3371.5</c:v>
                </c:pt>
                <c:pt idx="4">
                  <c:v>3372</c:v>
                </c:pt>
                <c:pt idx="5">
                  <c:v>3372.5</c:v>
                </c:pt>
                <c:pt idx="6">
                  <c:v>3373</c:v>
                </c:pt>
                <c:pt idx="7">
                  <c:v>3373.5</c:v>
                </c:pt>
                <c:pt idx="8">
                  <c:v>3374</c:v>
                </c:pt>
                <c:pt idx="9">
                  <c:v>3374.5</c:v>
                </c:pt>
                <c:pt idx="10">
                  <c:v>3375</c:v>
                </c:pt>
                <c:pt idx="11">
                  <c:v>3375.5</c:v>
                </c:pt>
                <c:pt idx="12">
                  <c:v>3376</c:v>
                </c:pt>
                <c:pt idx="13">
                  <c:v>3376.5</c:v>
                </c:pt>
                <c:pt idx="14">
                  <c:v>3377</c:v>
                </c:pt>
                <c:pt idx="15">
                  <c:v>3377.5</c:v>
                </c:pt>
                <c:pt idx="16">
                  <c:v>3378</c:v>
                </c:pt>
                <c:pt idx="17">
                  <c:v>3378.5</c:v>
                </c:pt>
                <c:pt idx="18">
                  <c:v>3379</c:v>
                </c:pt>
                <c:pt idx="19">
                  <c:v>3379.5</c:v>
                </c:pt>
                <c:pt idx="20">
                  <c:v>3380</c:v>
                </c:pt>
                <c:pt idx="21">
                  <c:v>3380.5</c:v>
                </c:pt>
                <c:pt idx="22">
                  <c:v>3381</c:v>
                </c:pt>
                <c:pt idx="23">
                  <c:v>3381.5</c:v>
                </c:pt>
                <c:pt idx="24">
                  <c:v>3382</c:v>
                </c:pt>
                <c:pt idx="25">
                  <c:v>3382.5</c:v>
                </c:pt>
                <c:pt idx="26">
                  <c:v>3383</c:v>
                </c:pt>
                <c:pt idx="27">
                  <c:v>3383.5</c:v>
                </c:pt>
                <c:pt idx="28">
                  <c:v>3384</c:v>
                </c:pt>
                <c:pt idx="29">
                  <c:v>3384.5</c:v>
                </c:pt>
                <c:pt idx="30">
                  <c:v>3385</c:v>
                </c:pt>
                <c:pt idx="31">
                  <c:v>3385.5</c:v>
                </c:pt>
                <c:pt idx="32">
                  <c:v>3386</c:v>
                </c:pt>
                <c:pt idx="33">
                  <c:v>3386.5</c:v>
                </c:pt>
                <c:pt idx="34">
                  <c:v>3387</c:v>
                </c:pt>
                <c:pt idx="35">
                  <c:v>3387.5</c:v>
                </c:pt>
                <c:pt idx="36">
                  <c:v>3388</c:v>
                </c:pt>
                <c:pt idx="37">
                  <c:v>3388.5</c:v>
                </c:pt>
                <c:pt idx="38">
                  <c:v>3389</c:v>
                </c:pt>
                <c:pt idx="39">
                  <c:v>3389.5</c:v>
                </c:pt>
                <c:pt idx="40">
                  <c:v>3390</c:v>
                </c:pt>
                <c:pt idx="41">
                  <c:v>3390.5</c:v>
                </c:pt>
                <c:pt idx="42">
                  <c:v>3391</c:v>
                </c:pt>
                <c:pt idx="43">
                  <c:v>3391.5</c:v>
                </c:pt>
                <c:pt idx="44">
                  <c:v>3392</c:v>
                </c:pt>
                <c:pt idx="45">
                  <c:v>3392.5</c:v>
                </c:pt>
                <c:pt idx="46">
                  <c:v>3393</c:v>
                </c:pt>
                <c:pt idx="47">
                  <c:v>3393.5</c:v>
                </c:pt>
                <c:pt idx="48">
                  <c:v>3394</c:v>
                </c:pt>
                <c:pt idx="49">
                  <c:v>3394.5</c:v>
                </c:pt>
                <c:pt idx="50">
                  <c:v>3395</c:v>
                </c:pt>
                <c:pt idx="51">
                  <c:v>3395.5</c:v>
                </c:pt>
                <c:pt idx="52">
                  <c:v>3396</c:v>
                </c:pt>
                <c:pt idx="53">
                  <c:v>3396.5</c:v>
                </c:pt>
                <c:pt idx="54">
                  <c:v>3397</c:v>
                </c:pt>
                <c:pt idx="55">
                  <c:v>3397.5</c:v>
                </c:pt>
                <c:pt idx="56">
                  <c:v>3398</c:v>
                </c:pt>
                <c:pt idx="57">
                  <c:v>3398.5</c:v>
                </c:pt>
                <c:pt idx="58">
                  <c:v>3399</c:v>
                </c:pt>
                <c:pt idx="59">
                  <c:v>3399.5</c:v>
                </c:pt>
                <c:pt idx="60">
                  <c:v>3400</c:v>
                </c:pt>
                <c:pt idx="61">
                  <c:v>3400.5</c:v>
                </c:pt>
                <c:pt idx="62">
                  <c:v>3401</c:v>
                </c:pt>
                <c:pt idx="63">
                  <c:v>3401.5</c:v>
                </c:pt>
                <c:pt idx="64">
                  <c:v>3402</c:v>
                </c:pt>
                <c:pt idx="65">
                  <c:v>3402.5</c:v>
                </c:pt>
                <c:pt idx="66">
                  <c:v>3403</c:v>
                </c:pt>
                <c:pt idx="67">
                  <c:v>3403.5</c:v>
                </c:pt>
                <c:pt idx="68">
                  <c:v>3404</c:v>
                </c:pt>
                <c:pt idx="69">
                  <c:v>3404.5</c:v>
                </c:pt>
                <c:pt idx="70">
                  <c:v>3405</c:v>
                </c:pt>
                <c:pt idx="71">
                  <c:v>3405.5</c:v>
                </c:pt>
                <c:pt idx="72">
                  <c:v>3406</c:v>
                </c:pt>
                <c:pt idx="73">
                  <c:v>3406.5</c:v>
                </c:pt>
                <c:pt idx="74">
                  <c:v>3407</c:v>
                </c:pt>
                <c:pt idx="75">
                  <c:v>3407.5</c:v>
                </c:pt>
                <c:pt idx="76">
                  <c:v>3408</c:v>
                </c:pt>
                <c:pt idx="77">
                  <c:v>3408.5</c:v>
                </c:pt>
                <c:pt idx="78">
                  <c:v>3409</c:v>
                </c:pt>
                <c:pt idx="79">
                  <c:v>3409.5</c:v>
                </c:pt>
                <c:pt idx="80">
                  <c:v>3410</c:v>
                </c:pt>
                <c:pt idx="81">
                  <c:v>3410.5</c:v>
                </c:pt>
                <c:pt idx="82">
                  <c:v>3411</c:v>
                </c:pt>
                <c:pt idx="83">
                  <c:v>3411.5</c:v>
                </c:pt>
                <c:pt idx="84">
                  <c:v>3412</c:v>
                </c:pt>
                <c:pt idx="85">
                  <c:v>3412.5</c:v>
                </c:pt>
                <c:pt idx="86">
                  <c:v>3413</c:v>
                </c:pt>
                <c:pt idx="87">
                  <c:v>3413.5</c:v>
                </c:pt>
                <c:pt idx="88">
                  <c:v>3414</c:v>
                </c:pt>
                <c:pt idx="89">
                  <c:v>3414.5</c:v>
                </c:pt>
                <c:pt idx="90">
                  <c:v>3415</c:v>
                </c:pt>
                <c:pt idx="91">
                  <c:v>3415.5</c:v>
                </c:pt>
                <c:pt idx="92">
                  <c:v>3416</c:v>
                </c:pt>
                <c:pt idx="93">
                  <c:v>3416.5</c:v>
                </c:pt>
                <c:pt idx="94">
                  <c:v>3417</c:v>
                </c:pt>
                <c:pt idx="95">
                  <c:v>3417.5</c:v>
                </c:pt>
                <c:pt idx="96">
                  <c:v>3418</c:v>
                </c:pt>
                <c:pt idx="97">
                  <c:v>3418.5</c:v>
                </c:pt>
                <c:pt idx="98">
                  <c:v>3419</c:v>
                </c:pt>
                <c:pt idx="99">
                  <c:v>3419.5</c:v>
                </c:pt>
                <c:pt idx="100">
                  <c:v>3420</c:v>
                </c:pt>
                <c:pt idx="101">
                  <c:v>3420.5</c:v>
                </c:pt>
                <c:pt idx="102">
                  <c:v>3421</c:v>
                </c:pt>
                <c:pt idx="103">
                  <c:v>3421.5</c:v>
                </c:pt>
                <c:pt idx="104">
                  <c:v>3422</c:v>
                </c:pt>
                <c:pt idx="105">
                  <c:v>3422.5</c:v>
                </c:pt>
                <c:pt idx="106">
                  <c:v>3423</c:v>
                </c:pt>
                <c:pt idx="107">
                  <c:v>3423.5</c:v>
                </c:pt>
                <c:pt idx="108">
                  <c:v>3424</c:v>
                </c:pt>
                <c:pt idx="109">
                  <c:v>3424.5</c:v>
                </c:pt>
                <c:pt idx="110">
                  <c:v>3425</c:v>
                </c:pt>
                <c:pt idx="111">
                  <c:v>3425.5</c:v>
                </c:pt>
                <c:pt idx="112">
                  <c:v>3426</c:v>
                </c:pt>
                <c:pt idx="113">
                  <c:v>3426.5</c:v>
                </c:pt>
                <c:pt idx="114">
                  <c:v>3427</c:v>
                </c:pt>
                <c:pt idx="115">
                  <c:v>3427.5</c:v>
                </c:pt>
                <c:pt idx="116">
                  <c:v>3428</c:v>
                </c:pt>
                <c:pt idx="117">
                  <c:v>3428.5</c:v>
                </c:pt>
                <c:pt idx="118">
                  <c:v>3429</c:v>
                </c:pt>
                <c:pt idx="119">
                  <c:v>3429.5</c:v>
                </c:pt>
                <c:pt idx="120">
                  <c:v>3430</c:v>
                </c:pt>
                <c:pt idx="121">
                  <c:v>3430.5</c:v>
                </c:pt>
                <c:pt idx="122">
                  <c:v>3431</c:v>
                </c:pt>
                <c:pt idx="123">
                  <c:v>3431.5</c:v>
                </c:pt>
                <c:pt idx="124">
                  <c:v>3432</c:v>
                </c:pt>
                <c:pt idx="125">
                  <c:v>3432.5</c:v>
                </c:pt>
                <c:pt idx="126">
                  <c:v>3433</c:v>
                </c:pt>
                <c:pt idx="127">
                  <c:v>3433.5</c:v>
                </c:pt>
                <c:pt idx="128">
                  <c:v>3434</c:v>
                </c:pt>
                <c:pt idx="129">
                  <c:v>3434.5</c:v>
                </c:pt>
                <c:pt idx="130">
                  <c:v>3435</c:v>
                </c:pt>
                <c:pt idx="131">
                  <c:v>3435.5</c:v>
                </c:pt>
                <c:pt idx="132">
                  <c:v>3436</c:v>
                </c:pt>
                <c:pt idx="133">
                  <c:v>3436.5</c:v>
                </c:pt>
                <c:pt idx="134">
                  <c:v>3437</c:v>
                </c:pt>
                <c:pt idx="135">
                  <c:v>3437.5</c:v>
                </c:pt>
                <c:pt idx="136">
                  <c:v>3438</c:v>
                </c:pt>
                <c:pt idx="137">
                  <c:v>3438.5</c:v>
                </c:pt>
                <c:pt idx="138">
                  <c:v>3439</c:v>
                </c:pt>
                <c:pt idx="139">
                  <c:v>3439.5</c:v>
                </c:pt>
                <c:pt idx="140">
                  <c:v>3440</c:v>
                </c:pt>
                <c:pt idx="141">
                  <c:v>3440.5</c:v>
                </c:pt>
                <c:pt idx="142">
                  <c:v>3441</c:v>
                </c:pt>
                <c:pt idx="143">
                  <c:v>3441.5</c:v>
                </c:pt>
                <c:pt idx="144">
                  <c:v>3442</c:v>
                </c:pt>
                <c:pt idx="145">
                  <c:v>3442.5</c:v>
                </c:pt>
                <c:pt idx="146">
                  <c:v>3443</c:v>
                </c:pt>
                <c:pt idx="147">
                  <c:v>3443.5</c:v>
                </c:pt>
                <c:pt idx="148">
                  <c:v>3444</c:v>
                </c:pt>
                <c:pt idx="149">
                  <c:v>3444.5</c:v>
                </c:pt>
                <c:pt idx="150">
                  <c:v>3445</c:v>
                </c:pt>
                <c:pt idx="151">
                  <c:v>3445.5</c:v>
                </c:pt>
                <c:pt idx="152">
                  <c:v>3446</c:v>
                </c:pt>
                <c:pt idx="153">
                  <c:v>3446.5</c:v>
                </c:pt>
                <c:pt idx="154">
                  <c:v>3447</c:v>
                </c:pt>
                <c:pt idx="155">
                  <c:v>3447.5</c:v>
                </c:pt>
                <c:pt idx="156">
                  <c:v>3448</c:v>
                </c:pt>
                <c:pt idx="157">
                  <c:v>3448.5</c:v>
                </c:pt>
                <c:pt idx="158">
                  <c:v>3449</c:v>
                </c:pt>
                <c:pt idx="159">
                  <c:v>3449.5</c:v>
                </c:pt>
                <c:pt idx="160">
                  <c:v>3450</c:v>
                </c:pt>
                <c:pt idx="161">
                  <c:v>3450.5</c:v>
                </c:pt>
                <c:pt idx="162">
                  <c:v>3451</c:v>
                </c:pt>
                <c:pt idx="163">
                  <c:v>3451.5</c:v>
                </c:pt>
                <c:pt idx="164">
                  <c:v>3452</c:v>
                </c:pt>
                <c:pt idx="165">
                  <c:v>3452.5</c:v>
                </c:pt>
                <c:pt idx="166">
                  <c:v>3453</c:v>
                </c:pt>
                <c:pt idx="167">
                  <c:v>3453.5</c:v>
                </c:pt>
                <c:pt idx="168">
                  <c:v>3454</c:v>
                </c:pt>
                <c:pt idx="169">
                  <c:v>3454.5</c:v>
                </c:pt>
                <c:pt idx="170">
                  <c:v>3455</c:v>
                </c:pt>
                <c:pt idx="171">
                  <c:v>3455.5</c:v>
                </c:pt>
                <c:pt idx="172">
                  <c:v>3456</c:v>
                </c:pt>
                <c:pt idx="173">
                  <c:v>3456.5</c:v>
                </c:pt>
                <c:pt idx="174">
                  <c:v>3457</c:v>
                </c:pt>
                <c:pt idx="175">
                  <c:v>3457.5</c:v>
                </c:pt>
                <c:pt idx="176">
                  <c:v>3458</c:v>
                </c:pt>
                <c:pt idx="177">
                  <c:v>3458.5</c:v>
                </c:pt>
                <c:pt idx="178">
                  <c:v>3459</c:v>
                </c:pt>
                <c:pt idx="179">
                  <c:v>3459.5</c:v>
                </c:pt>
                <c:pt idx="180">
                  <c:v>3460</c:v>
                </c:pt>
                <c:pt idx="181">
                  <c:v>3460.5</c:v>
                </c:pt>
                <c:pt idx="182">
                  <c:v>3461</c:v>
                </c:pt>
                <c:pt idx="183">
                  <c:v>3461.5</c:v>
                </c:pt>
                <c:pt idx="184">
                  <c:v>3462</c:v>
                </c:pt>
                <c:pt idx="185">
                  <c:v>3462.5</c:v>
                </c:pt>
                <c:pt idx="186">
                  <c:v>3463</c:v>
                </c:pt>
                <c:pt idx="187">
                  <c:v>3463.5</c:v>
                </c:pt>
                <c:pt idx="188">
                  <c:v>3464</c:v>
                </c:pt>
                <c:pt idx="189">
                  <c:v>3464.5</c:v>
                </c:pt>
                <c:pt idx="190">
                  <c:v>3465</c:v>
                </c:pt>
                <c:pt idx="191">
                  <c:v>3465.5</c:v>
                </c:pt>
                <c:pt idx="192">
                  <c:v>3466</c:v>
                </c:pt>
                <c:pt idx="193">
                  <c:v>3466.5</c:v>
                </c:pt>
                <c:pt idx="194">
                  <c:v>3467</c:v>
                </c:pt>
                <c:pt idx="195">
                  <c:v>3467.5</c:v>
                </c:pt>
                <c:pt idx="196">
                  <c:v>3468</c:v>
                </c:pt>
                <c:pt idx="197">
                  <c:v>3468.5</c:v>
                </c:pt>
                <c:pt idx="198">
                  <c:v>3469</c:v>
                </c:pt>
                <c:pt idx="199">
                  <c:v>3469.5</c:v>
                </c:pt>
                <c:pt idx="200">
                  <c:v>3470</c:v>
                </c:pt>
                <c:pt idx="201">
                  <c:v>3470.5</c:v>
                </c:pt>
                <c:pt idx="202">
                  <c:v>3471</c:v>
                </c:pt>
                <c:pt idx="203">
                  <c:v>3471.5</c:v>
                </c:pt>
                <c:pt idx="204">
                  <c:v>3472</c:v>
                </c:pt>
                <c:pt idx="205">
                  <c:v>3472.5</c:v>
                </c:pt>
                <c:pt idx="206">
                  <c:v>3473</c:v>
                </c:pt>
                <c:pt idx="207">
                  <c:v>3473.5</c:v>
                </c:pt>
                <c:pt idx="208">
                  <c:v>3474</c:v>
                </c:pt>
                <c:pt idx="209">
                  <c:v>3474.5</c:v>
                </c:pt>
                <c:pt idx="210">
                  <c:v>3475</c:v>
                </c:pt>
                <c:pt idx="211">
                  <c:v>3475.5</c:v>
                </c:pt>
                <c:pt idx="212">
                  <c:v>3476</c:v>
                </c:pt>
                <c:pt idx="213">
                  <c:v>3476.5</c:v>
                </c:pt>
                <c:pt idx="214">
                  <c:v>3477</c:v>
                </c:pt>
                <c:pt idx="215">
                  <c:v>3477.5</c:v>
                </c:pt>
                <c:pt idx="216">
                  <c:v>3478</c:v>
                </c:pt>
                <c:pt idx="217">
                  <c:v>3478.5</c:v>
                </c:pt>
                <c:pt idx="218">
                  <c:v>3479</c:v>
                </c:pt>
                <c:pt idx="219">
                  <c:v>3479.5</c:v>
                </c:pt>
                <c:pt idx="220">
                  <c:v>3480</c:v>
                </c:pt>
                <c:pt idx="221">
                  <c:v>3480.5</c:v>
                </c:pt>
                <c:pt idx="222">
                  <c:v>3481</c:v>
                </c:pt>
                <c:pt idx="223">
                  <c:v>3481.5</c:v>
                </c:pt>
                <c:pt idx="224">
                  <c:v>3482</c:v>
                </c:pt>
                <c:pt idx="225">
                  <c:v>3482.5</c:v>
                </c:pt>
                <c:pt idx="226">
                  <c:v>3483</c:v>
                </c:pt>
                <c:pt idx="227">
                  <c:v>3483.5</c:v>
                </c:pt>
                <c:pt idx="228">
                  <c:v>3484</c:v>
                </c:pt>
                <c:pt idx="229">
                  <c:v>3484.5</c:v>
                </c:pt>
                <c:pt idx="230">
                  <c:v>3485</c:v>
                </c:pt>
                <c:pt idx="231">
                  <c:v>3485.5</c:v>
                </c:pt>
                <c:pt idx="232">
                  <c:v>3486</c:v>
                </c:pt>
                <c:pt idx="233">
                  <c:v>3486.5</c:v>
                </c:pt>
                <c:pt idx="234">
                  <c:v>3487</c:v>
                </c:pt>
                <c:pt idx="235">
                  <c:v>3487.5</c:v>
                </c:pt>
                <c:pt idx="236">
                  <c:v>3488</c:v>
                </c:pt>
                <c:pt idx="237">
                  <c:v>3488.5</c:v>
                </c:pt>
                <c:pt idx="238">
                  <c:v>3489</c:v>
                </c:pt>
                <c:pt idx="239">
                  <c:v>3489.5</c:v>
                </c:pt>
                <c:pt idx="240">
                  <c:v>3490</c:v>
                </c:pt>
                <c:pt idx="241">
                  <c:v>3490.5</c:v>
                </c:pt>
                <c:pt idx="242">
                  <c:v>3491</c:v>
                </c:pt>
                <c:pt idx="243">
                  <c:v>3491.5</c:v>
                </c:pt>
                <c:pt idx="244">
                  <c:v>3492</c:v>
                </c:pt>
                <c:pt idx="245">
                  <c:v>3492.5</c:v>
                </c:pt>
                <c:pt idx="246">
                  <c:v>3493</c:v>
                </c:pt>
                <c:pt idx="247">
                  <c:v>3493.5</c:v>
                </c:pt>
                <c:pt idx="248">
                  <c:v>3494</c:v>
                </c:pt>
                <c:pt idx="249">
                  <c:v>3494.5</c:v>
                </c:pt>
                <c:pt idx="250">
                  <c:v>3495</c:v>
                </c:pt>
                <c:pt idx="251">
                  <c:v>3495.5</c:v>
                </c:pt>
                <c:pt idx="252">
                  <c:v>3496</c:v>
                </c:pt>
                <c:pt idx="253">
                  <c:v>3496.5</c:v>
                </c:pt>
                <c:pt idx="254">
                  <c:v>3497</c:v>
                </c:pt>
                <c:pt idx="255">
                  <c:v>3497.5</c:v>
                </c:pt>
                <c:pt idx="256">
                  <c:v>3498</c:v>
                </c:pt>
                <c:pt idx="257">
                  <c:v>3498.5</c:v>
                </c:pt>
                <c:pt idx="258">
                  <c:v>3499</c:v>
                </c:pt>
                <c:pt idx="259">
                  <c:v>3499.5</c:v>
                </c:pt>
                <c:pt idx="260">
                  <c:v>3500</c:v>
                </c:pt>
                <c:pt idx="261">
                  <c:v>3500.5</c:v>
                </c:pt>
                <c:pt idx="262">
                  <c:v>3501</c:v>
                </c:pt>
                <c:pt idx="263">
                  <c:v>3501.5</c:v>
                </c:pt>
                <c:pt idx="264">
                  <c:v>3502</c:v>
                </c:pt>
                <c:pt idx="265">
                  <c:v>3502.5</c:v>
                </c:pt>
                <c:pt idx="266">
                  <c:v>3503</c:v>
                </c:pt>
                <c:pt idx="267">
                  <c:v>3503.5</c:v>
                </c:pt>
                <c:pt idx="268">
                  <c:v>3504</c:v>
                </c:pt>
                <c:pt idx="269">
                  <c:v>3504.5</c:v>
                </c:pt>
                <c:pt idx="270">
                  <c:v>3505</c:v>
                </c:pt>
                <c:pt idx="271">
                  <c:v>3505.5</c:v>
                </c:pt>
                <c:pt idx="272">
                  <c:v>3506</c:v>
                </c:pt>
                <c:pt idx="273">
                  <c:v>3506.5</c:v>
                </c:pt>
                <c:pt idx="274">
                  <c:v>3507</c:v>
                </c:pt>
                <c:pt idx="275">
                  <c:v>3507.5</c:v>
                </c:pt>
                <c:pt idx="276">
                  <c:v>3508</c:v>
                </c:pt>
                <c:pt idx="277">
                  <c:v>3508.5</c:v>
                </c:pt>
                <c:pt idx="278">
                  <c:v>3509</c:v>
                </c:pt>
                <c:pt idx="279">
                  <c:v>3509.5</c:v>
                </c:pt>
                <c:pt idx="280">
                  <c:v>3510</c:v>
                </c:pt>
                <c:pt idx="281">
                  <c:v>3510.5</c:v>
                </c:pt>
                <c:pt idx="282">
                  <c:v>3511</c:v>
                </c:pt>
                <c:pt idx="283">
                  <c:v>3511.5</c:v>
                </c:pt>
                <c:pt idx="284">
                  <c:v>3512</c:v>
                </c:pt>
                <c:pt idx="285">
                  <c:v>3512.5</c:v>
                </c:pt>
                <c:pt idx="286">
                  <c:v>3513</c:v>
                </c:pt>
                <c:pt idx="287">
                  <c:v>3513.5</c:v>
                </c:pt>
                <c:pt idx="288">
                  <c:v>3514</c:v>
                </c:pt>
                <c:pt idx="289">
                  <c:v>3514.5</c:v>
                </c:pt>
                <c:pt idx="290">
                  <c:v>3515</c:v>
                </c:pt>
                <c:pt idx="291">
                  <c:v>3515.5</c:v>
                </c:pt>
                <c:pt idx="292">
                  <c:v>3516</c:v>
                </c:pt>
                <c:pt idx="293">
                  <c:v>3516.5</c:v>
                </c:pt>
                <c:pt idx="294">
                  <c:v>3517</c:v>
                </c:pt>
                <c:pt idx="295">
                  <c:v>3517.5</c:v>
                </c:pt>
                <c:pt idx="296">
                  <c:v>3518</c:v>
                </c:pt>
                <c:pt idx="297">
                  <c:v>3518.5</c:v>
                </c:pt>
                <c:pt idx="298">
                  <c:v>3519</c:v>
                </c:pt>
                <c:pt idx="299">
                  <c:v>3519.5</c:v>
                </c:pt>
                <c:pt idx="300">
                  <c:v>3520</c:v>
                </c:pt>
                <c:pt idx="301">
                  <c:v>3520.5</c:v>
                </c:pt>
                <c:pt idx="302">
                  <c:v>3521</c:v>
                </c:pt>
                <c:pt idx="303">
                  <c:v>3521.5</c:v>
                </c:pt>
                <c:pt idx="304">
                  <c:v>3522</c:v>
                </c:pt>
                <c:pt idx="305">
                  <c:v>3522.5</c:v>
                </c:pt>
                <c:pt idx="306">
                  <c:v>3523</c:v>
                </c:pt>
                <c:pt idx="307">
                  <c:v>3523.5</c:v>
                </c:pt>
                <c:pt idx="308">
                  <c:v>3524</c:v>
                </c:pt>
                <c:pt idx="309">
                  <c:v>3524.5</c:v>
                </c:pt>
                <c:pt idx="310">
                  <c:v>3525</c:v>
                </c:pt>
                <c:pt idx="311">
                  <c:v>3525.5</c:v>
                </c:pt>
                <c:pt idx="312">
                  <c:v>3526</c:v>
                </c:pt>
                <c:pt idx="313">
                  <c:v>3526.5</c:v>
                </c:pt>
                <c:pt idx="314">
                  <c:v>3527</c:v>
                </c:pt>
                <c:pt idx="315">
                  <c:v>3527.5</c:v>
                </c:pt>
                <c:pt idx="316">
                  <c:v>3528</c:v>
                </c:pt>
                <c:pt idx="317">
                  <c:v>3528.5</c:v>
                </c:pt>
                <c:pt idx="318">
                  <c:v>3529</c:v>
                </c:pt>
                <c:pt idx="319">
                  <c:v>3529.5</c:v>
                </c:pt>
                <c:pt idx="320">
                  <c:v>3530</c:v>
                </c:pt>
                <c:pt idx="321">
                  <c:v>3530.5</c:v>
                </c:pt>
                <c:pt idx="322">
                  <c:v>3531</c:v>
                </c:pt>
                <c:pt idx="323">
                  <c:v>3531.5</c:v>
                </c:pt>
                <c:pt idx="324">
                  <c:v>3532</c:v>
                </c:pt>
                <c:pt idx="325">
                  <c:v>3532.5</c:v>
                </c:pt>
                <c:pt idx="326">
                  <c:v>3533</c:v>
                </c:pt>
                <c:pt idx="327">
                  <c:v>3533.5</c:v>
                </c:pt>
                <c:pt idx="328">
                  <c:v>3534</c:v>
                </c:pt>
                <c:pt idx="329">
                  <c:v>3534.5</c:v>
                </c:pt>
                <c:pt idx="330">
                  <c:v>3535</c:v>
                </c:pt>
                <c:pt idx="331">
                  <c:v>3535.5</c:v>
                </c:pt>
                <c:pt idx="332">
                  <c:v>3536</c:v>
                </c:pt>
                <c:pt idx="333">
                  <c:v>3536.5</c:v>
                </c:pt>
                <c:pt idx="334">
                  <c:v>3537</c:v>
                </c:pt>
                <c:pt idx="335">
                  <c:v>3537.5</c:v>
                </c:pt>
                <c:pt idx="336">
                  <c:v>3538</c:v>
                </c:pt>
                <c:pt idx="337">
                  <c:v>3538.5</c:v>
                </c:pt>
                <c:pt idx="338">
                  <c:v>3539</c:v>
                </c:pt>
                <c:pt idx="339">
                  <c:v>3539.5</c:v>
                </c:pt>
                <c:pt idx="340">
                  <c:v>3540</c:v>
                </c:pt>
                <c:pt idx="341">
                  <c:v>3540.5</c:v>
                </c:pt>
                <c:pt idx="342">
                  <c:v>3541</c:v>
                </c:pt>
                <c:pt idx="343">
                  <c:v>3541.5</c:v>
                </c:pt>
                <c:pt idx="344">
                  <c:v>3542</c:v>
                </c:pt>
                <c:pt idx="345">
                  <c:v>3542.5</c:v>
                </c:pt>
                <c:pt idx="346">
                  <c:v>3543</c:v>
                </c:pt>
                <c:pt idx="347">
                  <c:v>3543.5</c:v>
                </c:pt>
                <c:pt idx="348">
                  <c:v>3544</c:v>
                </c:pt>
                <c:pt idx="349">
                  <c:v>3544.5</c:v>
                </c:pt>
                <c:pt idx="350">
                  <c:v>3545</c:v>
                </c:pt>
                <c:pt idx="351">
                  <c:v>3545.5</c:v>
                </c:pt>
                <c:pt idx="352">
                  <c:v>3546</c:v>
                </c:pt>
                <c:pt idx="353">
                  <c:v>3546.5</c:v>
                </c:pt>
                <c:pt idx="354">
                  <c:v>3547</c:v>
                </c:pt>
                <c:pt idx="355">
                  <c:v>3547.5</c:v>
                </c:pt>
                <c:pt idx="356">
                  <c:v>3548</c:v>
                </c:pt>
                <c:pt idx="357">
                  <c:v>3548.5</c:v>
                </c:pt>
                <c:pt idx="358">
                  <c:v>3549</c:v>
                </c:pt>
                <c:pt idx="359">
                  <c:v>3549.5</c:v>
                </c:pt>
                <c:pt idx="360">
                  <c:v>3550</c:v>
                </c:pt>
                <c:pt idx="361">
                  <c:v>3550.5</c:v>
                </c:pt>
                <c:pt idx="362">
                  <c:v>3551</c:v>
                </c:pt>
                <c:pt idx="363">
                  <c:v>3551.5</c:v>
                </c:pt>
                <c:pt idx="364">
                  <c:v>3552</c:v>
                </c:pt>
                <c:pt idx="365">
                  <c:v>3552.5</c:v>
                </c:pt>
                <c:pt idx="366">
                  <c:v>3553</c:v>
                </c:pt>
                <c:pt idx="367">
                  <c:v>3553.5</c:v>
                </c:pt>
                <c:pt idx="368">
                  <c:v>3554</c:v>
                </c:pt>
                <c:pt idx="369">
                  <c:v>3554.5</c:v>
                </c:pt>
                <c:pt idx="370">
                  <c:v>3555</c:v>
                </c:pt>
                <c:pt idx="371">
                  <c:v>3555.5</c:v>
                </c:pt>
                <c:pt idx="372">
                  <c:v>3556</c:v>
                </c:pt>
                <c:pt idx="373">
                  <c:v>3556.5</c:v>
                </c:pt>
                <c:pt idx="374">
                  <c:v>3557</c:v>
                </c:pt>
                <c:pt idx="375">
                  <c:v>3557.5</c:v>
                </c:pt>
                <c:pt idx="376">
                  <c:v>3558</c:v>
                </c:pt>
                <c:pt idx="377">
                  <c:v>3558.5</c:v>
                </c:pt>
                <c:pt idx="378">
                  <c:v>3559</c:v>
                </c:pt>
                <c:pt idx="379">
                  <c:v>3559.5</c:v>
                </c:pt>
                <c:pt idx="380">
                  <c:v>3560</c:v>
                </c:pt>
                <c:pt idx="381">
                  <c:v>3560.5</c:v>
                </c:pt>
                <c:pt idx="382">
                  <c:v>3561</c:v>
                </c:pt>
                <c:pt idx="383">
                  <c:v>3561.5</c:v>
                </c:pt>
                <c:pt idx="384">
                  <c:v>3562</c:v>
                </c:pt>
                <c:pt idx="385">
                  <c:v>3562.5</c:v>
                </c:pt>
                <c:pt idx="386">
                  <c:v>3563</c:v>
                </c:pt>
                <c:pt idx="387">
                  <c:v>3563.5</c:v>
                </c:pt>
                <c:pt idx="388">
                  <c:v>3564</c:v>
                </c:pt>
                <c:pt idx="389">
                  <c:v>3564.5</c:v>
                </c:pt>
                <c:pt idx="390">
                  <c:v>3565</c:v>
                </c:pt>
                <c:pt idx="391">
                  <c:v>3565.5</c:v>
                </c:pt>
                <c:pt idx="392">
                  <c:v>3566</c:v>
                </c:pt>
                <c:pt idx="393">
                  <c:v>3566.5</c:v>
                </c:pt>
                <c:pt idx="394">
                  <c:v>3567</c:v>
                </c:pt>
                <c:pt idx="395">
                  <c:v>3567.5</c:v>
                </c:pt>
                <c:pt idx="396">
                  <c:v>3568</c:v>
                </c:pt>
                <c:pt idx="397">
                  <c:v>3568.5</c:v>
                </c:pt>
                <c:pt idx="398">
                  <c:v>3569</c:v>
                </c:pt>
                <c:pt idx="399">
                  <c:v>3569.5</c:v>
                </c:pt>
                <c:pt idx="400">
                  <c:v>3570</c:v>
                </c:pt>
                <c:pt idx="401">
                  <c:v>3570.5</c:v>
                </c:pt>
                <c:pt idx="402">
                  <c:v>3571</c:v>
                </c:pt>
                <c:pt idx="403">
                  <c:v>3571.5</c:v>
                </c:pt>
                <c:pt idx="404">
                  <c:v>3572</c:v>
                </c:pt>
                <c:pt idx="405">
                  <c:v>3572.5</c:v>
                </c:pt>
                <c:pt idx="406">
                  <c:v>3573</c:v>
                </c:pt>
                <c:pt idx="407">
                  <c:v>3573.5</c:v>
                </c:pt>
                <c:pt idx="408">
                  <c:v>3574</c:v>
                </c:pt>
                <c:pt idx="409">
                  <c:v>3574.5</c:v>
                </c:pt>
                <c:pt idx="410">
                  <c:v>3575</c:v>
                </c:pt>
                <c:pt idx="411">
                  <c:v>3575.5</c:v>
                </c:pt>
                <c:pt idx="412">
                  <c:v>3576</c:v>
                </c:pt>
                <c:pt idx="413">
                  <c:v>3576.5</c:v>
                </c:pt>
                <c:pt idx="414">
                  <c:v>3577</c:v>
                </c:pt>
                <c:pt idx="415">
                  <c:v>3577.5</c:v>
                </c:pt>
                <c:pt idx="416">
                  <c:v>3578</c:v>
                </c:pt>
                <c:pt idx="417">
                  <c:v>3578.5</c:v>
                </c:pt>
                <c:pt idx="418">
                  <c:v>3579</c:v>
                </c:pt>
                <c:pt idx="419">
                  <c:v>3579.5</c:v>
                </c:pt>
                <c:pt idx="420">
                  <c:v>3580</c:v>
                </c:pt>
                <c:pt idx="421">
                  <c:v>3580.5</c:v>
                </c:pt>
                <c:pt idx="422">
                  <c:v>3581</c:v>
                </c:pt>
                <c:pt idx="423">
                  <c:v>3581.5</c:v>
                </c:pt>
                <c:pt idx="424">
                  <c:v>3582</c:v>
                </c:pt>
                <c:pt idx="425">
                  <c:v>3582.5</c:v>
                </c:pt>
                <c:pt idx="426">
                  <c:v>3583</c:v>
                </c:pt>
                <c:pt idx="427">
                  <c:v>3583.5</c:v>
                </c:pt>
                <c:pt idx="428">
                  <c:v>3584</c:v>
                </c:pt>
                <c:pt idx="429">
                  <c:v>3584.5</c:v>
                </c:pt>
                <c:pt idx="430">
                  <c:v>3585</c:v>
                </c:pt>
                <c:pt idx="431">
                  <c:v>3585.5</c:v>
                </c:pt>
                <c:pt idx="432">
                  <c:v>3586</c:v>
                </c:pt>
                <c:pt idx="433">
                  <c:v>3586.5</c:v>
                </c:pt>
                <c:pt idx="434">
                  <c:v>3587</c:v>
                </c:pt>
                <c:pt idx="435">
                  <c:v>3587.5</c:v>
                </c:pt>
                <c:pt idx="436">
                  <c:v>3588</c:v>
                </c:pt>
                <c:pt idx="437">
                  <c:v>3588.5</c:v>
                </c:pt>
                <c:pt idx="438">
                  <c:v>3589</c:v>
                </c:pt>
                <c:pt idx="439">
                  <c:v>3589.5</c:v>
                </c:pt>
                <c:pt idx="440">
                  <c:v>3590</c:v>
                </c:pt>
                <c:pt idx="441">
                  <c:v>3590.5</c:v>
                </c:pt>
                <c:pt idx="442">
                  <c:v>3591</c:v>
                </c:pt>
                <c:pt idx="443">
                  <c:v>3591.5</c:v>
                </c:pt>
                <c:pt idx="444">
                  <c:v>3592</c:v>
                </c:pt>
                <c:pt idx="445">
                  <c:v>3592.5</c:v>
                </c:pt>
                <c:pt idx="446">
                  <c:v>3593</c:v>
                </c:pt>
                <c:pt idx="447">
                  <c:v>3593.5</c:v>
                </c:pt>
                <c:pt idx="448">
                  <c:v>3594</c:v>
                </c:pt>
                <c:pt idx="449">
                  <c:v>3594.5</c:v>
                </c:pt>
                <c:pt idx="450">
                  <c:v>3595</c:v>
                </c:pt>
                <c:pt idx="451">
                  <c:v>3595.5</c:v>
                </c:pt>
                <c:pt idx="452">
                  <c:v>3596</c:v>
                </c:pt>
                <c:pt idx="453">
                  <c:v>3596.5</c:v>
                </c:pt>
                <c:pt idx="454">
                  <c:v>3597</c:v>
                </c:pt>
                <c:pt idx="455">
                  <c:v>3597.5</c:v>
                </c:pt>
                <c:pt idx="456">
                  <c:v>3598</c:v>
                </c:pt>
                <c:pt idx="457">
                  <c:v>3598.5</c:v>
                </c:pt>
                <c:pt idx="458">
                  <c:v>3599</c:v>
                </c:pt>
                <c:pt idx="459">
                  <c:v>3599.5</c:v>
                </c:pt>
                <c:pt idx="460">
                  <c:v>3600</c:v>
                </c:pt>
                <c:pt idx="461">
                  <c:v>3600.5</c:v>
                </c:pt>
                <c:pt idx="462">
                  <c:v>3601</c:v>
                </c:pt>
                <c:pt idx="463">
                  <c:v>3601.5</c:v>
                </c:pt>
                <c:pt idx="464">
                  <c:v>3602</c:v>
                </c:pt>
                <c:pt idx="465">
                  <c:v>3602.5</c:v>
                </c:pt>
                <c:pt idx="466">
                  <c:v>3603</c:v>
                </c:pt>
                <c:pt idx="467">
                  <c:v>3603.5</c:v>
                </c:pt>
                <c:pt idx="468">
                  <c:v>3604</c:v>
                </c:pt>
                <c:pt idx="469">
                  <c:v>3604.5</c:v>
                </c:pt>
                <c:pt idx="470">
                  <c:v>3605</c:v>
                </c:pt>
                <c:pt idx="471">
                  <c:v>3605.5</c:v>
                </c:pt>
                <c:pt idx="472">
                  <c:v>3606</c:v>
                </c:pt>
                <c:pt idx="473">
                  <c:v>3606.5</c:v>
                </c:pt>
                <c:pt idx="474">
                  <c:v>3607</c:v>
                </c:pt>
                <c:pt idx="475">
                  <c:v>3607.5</c:v>
                </c:pt>
                <c:pt idx="476">
                  <c:v>3608</c:v>
                </c:pt>
                <c:pt idx="477">
                  <c:v>3608.5</c:v>
                </c:pt>
                <c:pt idx="478">
                  <c:v>3609</c:v>
                </c:pt>
                <c:pt idx="479">
                  <c:v>3609.5</c:v>
                </c:pt>
                <c:pt idx="480">
                  <c:v>3610</c:v>
                </c:pt>
                <c:pt idx="481">
                  <c:v>3610.5</c:v>
                </c:pt>
                <c:pt idx="482">
                  <c:v>3611</c:v>
                </c:pt>
                <c:pt idx="483">
                  <c:v>3611.5</c:v>
                </c:pt>
                <c:pt idx="484">
                  <c:v>3612</c:v>
                </c:pt>
                <c:pt idx="485">
                  <c:v>3612.5</c:v>
                </c:pt>
                <c:pt idx="486">
                  <c:v>3613</c:v>
                </c:pt>
                <c:pt idx="487">
                  <c:v>3613.5</c:v>
                </c:pt>
                <c:pt idx="488">
                  <c:v>3614</c:v>
                </c:pt>
                <c:pt idx="489">
                  <c:v>3614.5</c:v>
                </c:pt>
                <c:pt idx="490">
                  <c:v>3615</c:v>
                </c:pt>
                <c:pt idx="491">
                  <c:v>3615.5</c:v>
                </c:pt>
                <c:pt idx="492">
                  <c:v>3616</c:v>
                </c:pt>
                <c:pt idx="493">
                  <c:v>3616.5</c:v>
                </c:pt>
                <c:pt idx="494">
                  <c:v>3617</c:v>
                </c:pt>
                <c:pt idx="495">
                  <c:v>3617.5</c:v>
                </c:pt>
                <c:pt idx="496">
                  <c:v>3618</c:v>
                </c:pt>
                <c:pt idx="497">
                  <c:v>3618.5</c:v>
                </c:pt>
                <c:pt idx="498">
                  <c:v>3619</c:v>
                </c:pt>
                <c:pt idx="499">
                  <c:v>3619.5</c:v>
                </c:pt>
                <c:pt idx="500">
                  <c:v>3620</c:v>
                </c:pt>
                <c:pt idx="501">
                  <c:v>3620.5</c:v>
                </c:pt>
                <c:pt idx="502">
                  <c:v>3621</c:v>
                </c:pt>
                <c:pt idx="503">
                  <c:v>3621.5</c:v>
                </c:pt>
                <c:pt idx="504">
                  <c:v>3622</c:v>
                </c:pt>
                <c:pt idx="505">
                  <c:v>3622.5</c:v>
                </c:pt>
                <c:pt idx="506">
                  <c:v>3623</c:v>
                </c:pt>
                <c:pt idx="507">
                  <c:v>3623.5</c:v>
                </c:pt>
                <c:pt idx="508">
                  <c:v>3624</c:v>
                </c:pt>
                <c:pt idx="509">
                  <c:v>3624.5</c:v>
                </c:pt>
                <c:pt idx="510">
                  <c:v>3625</c:v>
                </c:pt>
                <c:pt idx="511">
                  <c:v>3625.5</c:v>
                </c:pt>
                <c:pt idx="512">
                  <c:v>3626</c:v>
                </c:pt>
                <c:pt idx="513">
                  <c:v>3626.5</c:v>
                </c:pt>
                <c:pt idx="514">
                  <c:v>3627</c:v>
                </c:pt>
                <c:pt idx="515">
                  <c:v>3627.5</c:v>
                </c:pt>
                <c:pt idx="516">
                  <c:v>3628</c:v>
                </c:pt>
                <c:pt idx="517">
                  <c:v>3628.5</c:v>
                </c:pt>
                <c:pt idx="518">
                  <c:v>3629</c:v>
                </c:pt>
                <c:pt idx="519">
                  <c:v>3629.5</c:v>
                </c:pt>
                <c:pt idx="520">
                  <c:v>3630</c:v>
                </c:pt>
                <c:pt idx="521">
                  <c:v>3630.5</c:v>
                </c:pt>
                <c:pt idx="522">
                  <c:v>3631</c:v>
                </c:pt>
                <c:pt idx="523">
                  <c:v>3631.5</c:v>
                </c:pt>
                <c:pt idx="524">
                  <c:v>3632</c:v>
                </c:pt>
                <c:pt idx="525">
                  <c:v>3632.5</c:v>
                </c:pt>
                <c:pt idx="526">
                  <c:v>3633</c:v>
                </c:pt>
                <c:pt idx="527">
                  <c:v>3633.5</c:v>
                </c:pt>
                <c:pt idx="528">
                  <c:v>3634</c:v>
                </c:pt>
                <c:pt idx="529">
                  <c:v>3634.5</c:v>
                </c:pt>
                <c:pt idx="530">
                  <c:v>3635</c:v>
                </c:pt>
                <c:pt idx="531">
                  <c:v>3635.5</c:v>
                </c:pt>
                <c:pt idx="532">
                  <c:v>3636</c:v>
                </c:pt>
                <c:pt idx="533">
                  <c:v>3636.5</c:v>
                </c:pt>
                <c:pt idx="534">
                  <c:v>3637</c:v>
                </c:pt>
                <c:pt idx="535">
                  <c:v>3637.5</c:v>
                </c:pt>
                <c:pt idx="536">
                  <c:v>3638</c:v>
                </c:pt>
                <c:pt idx="537">
                  <c:v>3638.5</c:v>
                </c:pt>
                <c:pt idx="538">
                  <c:v>3639</c:v>
                </c:pt>
                <c:pt idx="539">
                  <c:v>3639.5</c:v>
                </c:pt>
                <c:pt idx="540">
                  <c:v>3640</c:v>
                </c:pt>
                <c:pt idx="541">
                  <c:v>3640.5</c:v>
                </c:pt>
                <c:pt idx="542">
                  <c:v>3641</c:v>
                </c:pt>
                <c:pt idx="543">
                  <c:v>3641.5</c:v>
                </c:pt>
                <c:pt idx="544">
                  <c:v>3642</c:v>
                </c:pt>
                <c:pt idx="545">
                  <c:v>3642.5</c:v>
                </c:pt>
                <c:pt idx="546">
                  <c:v>3643</c:v>
                </c:pt>
                <c:pt idx="547">
                  <c:v>3643.5</c:v>
                </c:pt>
                <c:pt idx="548">
                  <c:v>3644</c:v>
                </c:pt>
                <c:pt idx="549">
                  <c:v>3644.5</c:v>
                </c:pt>
                <c:pt idx="550">
                  <c:v>3645</c:v>
                </c:pt>
                <c:pt idx="551">
                  <c:v>3645.5</c:v>
                </c:pt>
                <c:pt idx="552">
                  <c:v>3646</c:v>
                </c:pt>
                <c:pt idx="553">
                  <c:v>3646.5</c:v>
                </c:pt>
                <c:pt idx="554">
                  <c:v>3647</c:v>
                </c:pt>
                <c:pt idx="555">
                  <c:v>3647.5</c:v>
                </c:pt>
                <c:pt idx="556">
                  <c:v>3648</c:v>
                </c:pt>
                <c:pt idx="557">
                  <c:v>3648.5</c:v>
                </c:pt>
                <c:pt idx="558">
                  <c:v>3649</c:v>
                </c:pt>
                <c:pt idx="559">
                  <c:v>3649.5</c:v>
                </c:pt>
                <c:pt idx="560">
                  <c:v>3650</c:v>
                </c:pt>
                <c:pt idx="561">
                  <c:v>3650.5</c:v>
                </c:pt>
                <c:pt idx="562">
                  <c:v>3651</c:v>
                </c:pt>
                <c:pt idx="563">
                  <c:v>3651.5</c:v>
                </c:pt>
                <c:pt idx="564">
                  <c:v>3652</c:v>
                </c:pt>
                <c:pt idx="565">
                  <c:v>3652.5</c:v>
                </c:pt>
                <c:pt idx="566">
                  <c:v>3653</c:v>
                </c:pt>
                <c:pt idx="567">
                  <c:v>3653.5</c:v>
                </c:pt>
                <c:pt idx="568">
                  <c:v>3654</c:v>
                </c:pt>
                <c:pt idx="569">
                  <c:v>3654.5</c:v>
                </c:pt>
                <c:pt idx="570">
                  <c:v>3655</c:v>
                </c:pt>
                <c:pt idx="571">
                  <c:v>3655.5</c:v>
                </c:pt>
                <c:pt idx="572">
                  <c:v>3656</c:v>
                </c:pt>
                <c:pt idx="573">
                  <c:v>3656.5</c:v>
                </c:pt>
                <c:pt idx="574">
                  <c:v>3657</c:v>
                </c:pt>
                <c:pt idx="575">
                  <c:v>3657.5</c:v>
                </c:pt>
                <c:pt idx="576">
                  <c:v>3658</c:v>
                </c:pt>
                <c:pt idx="577">
                  <c:v>3658.5</c:v>
                </c:pt>
                <c:pt idx="578">
                  <c:v>3659</c:v>
                </c:pt>
                <c:pt idx="579">
                  <c:v>3659.5</c:v>
                </c:pt>
                <c:pt idx="580">
                  <c:v>3660</c:v>
                </c:pt>
                <c:pt idx="581">
                  <c:v>3660.5</c:v>
                </c:pt>
                <c:pt idx="582">
                  <c:v>3661</c:v>
                </c:pt>
                <c:pt idx="583">
                  <c:v>3661.5</c:v>
                </c:pt>
                <c:pt idx="584">
                  <c:v>3662</c:v>
                </c:pt>
                <c:pt idx="585">
                  <c:v>3662.5</c:v>
                </c:pt>
                <c:pt idx="586">
                  <c:v>3663</c:v>
                </c:pt>
                <c:pt idx="587">
                  <c:v>3663.5</c:v>
                </c:pt>
                <c:pt idx="588">
                  <c:v>3664</c:v>
                </c:pt>
                <c:pt idx="589">
                  <c:v>3664.5</c:v>
                </c:pt>
                <c:pt idx="590">
                  <c:v>3665</c:v>
                </c:pt>
                <c:pt idx="591">
                  <c:v>3665.5</c:v>
                </c:pt>
                <c:pt idx="592">
                  <c:v>3666</c:v>
                </c:pt>
                <c:pt idx="593">
                  <c:v>3666.5</c:v>
                </c:pt>
                <c:pt idx="594">
                  <c:v>3667</c:v>
                </c:pt>
                <c:pt idx="595">
                  <c:v>3667.5</c:v>
                </c:pt>
                <c:pt idx="596">
                  <c:v>3668</c:v>
                </c:pt>
                <c:pt idx="597">
                  <c:v>3668.5</c:v>
                </c:pt>
                <c:pt idx="598">
                  <c:v>3669</c:v>
                </c:pt>
                <c:pt idx="599">
                  <c:v>3669.5</c:v>
                </c:pt>
                <c:pt idx="600">
                  <c:v>3670</c:v>
                </c:pt>
                <c:pt idx="601">
                  <c:v>3670.5</c:v>
                </c:pt>
                <c:pt idx="602">
                  <c:v>3671</c:v>
                </c:pt>
                <c:pt idx="603">
                  <c:v>3671.5</c:v>
                </c:pt>
                <c:pt idx="604">
                  <c:v>3672</c:v>
                </c:pt>
                <c:pt idx="605">
                  <c:v>3672.5</c:v>
                </c:pt>
                <c:pt idx="606">
                  <c:v>3673</c:v>
                </c:pt>
                <c:pt idx="607">
                  <c:v>3673.5</c:v>
                </c:pt>
                <c:pt idx="608">
                  <c:v>3674</c:v>
                </c:pt>
                <c:pt idx="609">
                  <c:v>3674.5</c:v>
                </c:pt>
                <c:pt idx="610">
                  <c:v>3675</c:v>
                </c:pt>
                <c:pt idx="611">
                  <c:v>3675.5</c:v>
                </c:pt>
                <c:pt idx="612">
                  <c:v>3676</c:v>
                </c:pt>
                <c:pt idx="613">
                  <c:v>3676.5</c:v>
                </c:pt>
                <c:pt idx="614">
                  <c:v>3677</c:v>
                </c:pt>
                <c:pt idx="615">
                  <c:v>3677.5</c:v>
                </c:pt>
                <c:pt idx="616">
                  <c:v>3678</c:v>
                </c:pt>
                <c:pt idx="617">
                  <c:v>3678.5</c:v>
                </c:pt>
                <c:pt idx="618">
                  <c:v>3679</c:v>
                </c:pt>
                <c:pt idx="619">
                  <c:v>3679.5</c:v>
                </c:pt>
                <c:pt idx="620">
                  <c:v>3680</c:v>
                </c:pt>
                <c:pt idx="621">
                  <c:v>3680.5</c:v>
                </c:pt>
                <c:pt idx="622">
                  <c:v>3681</c:v>
                </c:pt>
                <c:pt idx="623">
                  <c:v>3681.5</c:v>
                </c:pt>
                <c:pt idx="624">
                  <c:v>3682</c:v>
                </c:pt>
                <c:pt idx="625">
                  <c:v>3682.5</c:v>
                </c:pt>
                <c:pt idx="626">
                  <c:v>3683</c:v>
                </c:pt>
                <c:pt idx="627">
                  <c:v>3683.5</c:v>
                </c:pt>
                <c:pt idx="628">
                  <c:v>3684</c:v>
                </c:pt>
                <c:pt idx="629">
                  <c:v>3684.5</c:v>
                </c:pt>
                <c:pt idx="630">
                  <c:v>3685</c:v>
                </c:pt>
                <c:pt idx="631">
                  <c:v>3685.5</c:v>
                </c:pt>
                <c:pt idx="632">
                  <c:v>3686</c:v>
                </c:pt>
                <c:pt idx="633">
                  <c:v>3686.5</c:v>
                </c:pt>
                <c:pt idx="634">
                  <c:v>3687</c:v>
                </c:pt>
                <c:pt idx="635">
                  <c:v>3687.5</c:v>
                </c:pt>
                <c:pt idx="636">
                  <c:v>3688</c:v>
                </c:pt>
                <c:pt idx="637">
                  <c:v>3688.5</c:v>
                </c:pt>
                <c:pt idx="638">
                  <c:v>3689</c:v>
                </c:pt>
                <c:pt idx="639">
                  <c:v>3689.5</c:v>
                </c:pt>
                <c:pt idx="640">
                  <c:v>3690</c:v>
                </c:pt>
                <c:pt idx="641">
                  <c:v>3690.5</c:v>
                </c:pt>
                <c:pt idx="642">
                  <c:v>3691</c:v>
                </c:pt>
                <c:pt idx="643">
                  <c:v>3691.5</c:v>
                </c:pt>
                <c:pt idx="644">
                  <c:v>3692</c:v>
                </c:pt>
                <c:pt idx="645">
                  <c:v>3692.5</c:v>
                </c:pt>
                <c:pt idx="646">
                  <c:v>3693</c:v>
                </c:pt>
                <c:pt idx="647">
                  <c:v>3693.5</c:v>
                </c:pt>
                <c:pt idx="648">
                  <c:v>3694</c:v>
                </c:pt>
                <c:pt idx="649">
                  <c:v>3694.5</c:v>
                </c:pt>
                <c:pt idx="650">
                  <c:v>3695</c:v>
                </c:pt>
                <c:pt idx="651">
                  <c:v>3695.5</c:v>
                </c:pt>
                <c:pt idx="652">
                  <c:v>3696</c:v>
                </c:pt>
                <c:pt idx="653">
                  <c:v>3696.5</c:v>
                </c:pt>
                <c:pt idx="654">
                  <c:v>3697</c:v>
                </c:pt>
                <c:pt idx="655">
                  <c:v>3697.5</c:v>
                </c:pt>
                <c:pt idx="656">
                  <c:v>3698</c:v>
                </c:pt>
                <c:pt idx="657">
                  <c:v>3698.5</c:v>
                </c:pt>
                <c:pt idx="658">
                  <c:v>3699</c:v>
                </c:pt>
                <c:pt idx="659">
                  <c:v>3699.5</c:v>
                </c:pt>
                <c:pt idx="660">
                  <c:v>3700</c:v>
                </c:pt>
                <c:pt idx="661">
                  <c:v>3700.5</c:v>
                </c:pt>
                <c:pt idx="662">
                  <c:v>3701</c:v>
                </c:pt>
                <c:pt idx="663">
                  <c:v>3701.5</c:v>
                </c:pt>
                <c:pt idx="664">
                  <c:v>3702</c:v>
                </c:pt>
                <c:pt idx="665">
                  <c:v>3702.5</c:v>
                </c:pt>
                <c:pt idx="666">
                  <c:v>3703</c:v>
                </c:pt>
                <c:pt idx="667">
                  <c:v>3703.5</c:v>
                </c:pt>
                <c:pt idx="668">
                  <c:v>3704</c:v>
                </c:pt>
                <c:pt idx="669">
                  <c:v>3704.5</c:v>
                </c:pt>
                <c:pt idx="670">
                  <c:v>3705</c:v>
                </c:pt>
                <c:pt idx="671">
                  <c:v>3705.5</c:v>
                </c:pt>
                <c:pt idx="672">
                  <c:v>3706</c:v>
                </c:pt>
                <c:pt idx="673">
                  <c:v>3706.5</c:v>
                </c:pt>
                <c:pt idx="674">
                  <c:v>3707</c:v>
                </c:pt>
                <c:pt idx="675">
                  <c:v>3707.5</c:v>
                </c:pt>
                <c:pt idx="676">
                  <c:v>3708</c:v>
                </c:pt>
                <c:pt idx="677">
                  <c:v>3708.5</c:v>
                </c:pt>
                <c:pt idx="678">
                  <c:v>3709</c:v>
                </c:pt>
                <c:pt idx="679">
                  <c:v>3709.5</c:v>
                </c:pt>
                <c:pt idx="680">
                  <c:v>3710</c:v>
                </c:pt>
                <c:pt idx="681">
                  <c:v>3710.5</c:v>
                </c:pt>
                <c:pt idx="682">
                  <c:v>3711</c:v>
                </c:pt>
                <c:pt idx="683">
                  <c:v>3711.5</c:v>
                </c:pt>
              </c:numCache>
            </c:numRef>
          </c:xVal>
          <c:yVal>
            <c:numRef>
              <c:f>'Powell-Elevation-Area'!$C$5:$C$688</c:f>
              <c:numCache>
                <c:formatCode>_(* #,##0_);_(* \(#,##0\);_(* "-"??_);_(@_)</c:formatCode>
                <c:ptCount val="684"/>
                <c:pt idx="0">
                  <c:v>1895000</c:v>
                </c:pt>
                <c:pt idx="1">
                  <c:v>1905173.99</c:v>
                </c:pt>
                <c:pt idx="2">
                  <c:v>1915392.95</c:v>
                </c:pt>
                <c:pt idx="3">
                  <c:v>1925656.89</c:v>
                </c:pt>
                <c:pt idx="4">
                  <c:v>1935965.8</c:v>
                </c:pt>
                <c:pt idx="5">
                  <c:v>1946319.69</c:v>
                </c:pt>
                <c:pt idx="6">
                  <c:v>1956718.55</c:v>
                </c:pt>
                <c:pt idx="7">
                  <c:v>1967162.39</c:v>
                </c:pt>
                <c:pt idx="8">
                  <c:v>1977651.2000004</c:v>
                </c:pt>
                <c:pt idx="9">
                  <c:v>1988184.99</c:v>
                </c:pt>
                <c:pt idx="10">
                  <c:v>1998763.75</c:v>
                </c:pt>
                <c:pt idx="11">
                  <c:v>2009387.49</c:v>
                </c:pt>
                <c:pt idx="12">
                  <c:v>2020056.2</c:v>
                </c:pt>
                <c:pt idx="13">
                  <c:v>2030769.8900000001</c:v>
                </c:pt>
                <c:pt idx="14">
                  <c:v>2041528.55</c:v>
                </c:pt>
                <c:pt idx="15">
                  <c:v>2052332.19</c:v>
                </c:pt>
                <c:pt idx="16">
                  <c:v>2063180.8</c:v>
                </c:pt>
                <c:pt idx="17">
                  <c:v>2074074.3900000001</c:v>
                </c:pt>
                <c:pt idx="18">
                  <c:v>2085012.95</c:v>
                </c:pt>
                <c:pt idx="19">
                  <c:v>2095996.49</c:v>
                </c:pt>
                <c:pt idx="20">
                  <c:v>2107025</c:v>
                </c:pt>
                <c:pt idx="21">
                  <c:v>2118100.75</c:v>
                </c:pt>
                <c:pt idx="22">
                  <c:v>2129226</c:v>
                </c:pt>
                <c:pt idx="23">
                  <c:v>2140400.75</c:v>
                </c:pt>
                <c:pt idx="24">
                  <c:v>2151625</c:v>
                </c:pt>
                <c:pt idx="25">
                  <c:v>2162898.75</c:v>
                </c:pt>
                <c:pt idx="26">
                  <c:v>2174222</c:v>
                </c:pt>
                <c:pt idx="27">
                  <c:v>2185594.75</c:v>
                </c:pt>
                <c:pt idx="28">
                  <c:v>2197017</c:v>
                </c:pt>
                <c:pt idx="29">
                  <c:v>2208488.75</c:v>
                </c:pt>
                <c:pt idx="30">
                  <c:v>2220010</c:v>
                </c:pt>
                <c:pt idx="31">
                  <c:v>2231580.75</c:v>
                </c:pt>
                <c:pt idx="32">
                  <c:v>2243201</c:v>
                </c:pt>
                <c:pt idx="33">
                  <c:v>2254870.75</c:v>
                </c:pt>
                <c:pt idx="34">
                  <c:v>2266590</c:v>
                </c:pt>
                <c:pt idx="35">
                  <c:v>2278358.75</c:v>
                </c:pt>
                <c:pt idx="36">
                  <c:v>2290177</c:v>
                </c:pt>
                <c:pt idx="37">
                  <c:v>2302044.75</c:v>
                </c:pt>
                <c:pt idx="38">
                  <c:v>2313962</c:v>
                </c:pt>
                <c:pt idx="39">
                  <c:v>2325928.75</c:v>
                </c:pt>
                <c:pt idx="40">
                  <c:v>2337945</c:v>
                </c:pt>
                <c:pt idx="41">
                  <c:v>2350010.75</c:v>
                </c:pt>
                <c:pt idx="42">
                  <c:v>2362126</c:v>
                </c:pt>
                <c:pt idx="43">
                  <c:v>2374290.75</c:v>
                </c:pt>
                <c:pt idx="44">
                  <c:v>2386505</c:v>
                </c:pt>
                <c:pt idx="45">
                  <c:v>2398768.75</c:v>
                </c:pt>
                <c:pt idx="46">
                  <c:v>2411082</c:v>
                </c:pt>
                <c:pt idx="47">
                  <c:v>2423444.75</c:v>
                </c:pt>
                <c:pt idx="48">
                  <c:v>2435857</c:v>
                </c:pt>
                <c:pt idx="49">
                  <c:v>2448318.75</c:v>
                </c:pt>
                <c:pt idx="50">
                  <c:v>2460830</c:v>
                </c:pt>
                <c:pt idx="51">
                  <c:v>2473390.75</c:v>
                </c:pt>
                <c:pt idx="52">
                  <c:v>2486001</c:v>
                </c:pt>
                <c:pt idx="53">
                  <c:v>2498660.75</c:v>
                </c:pt>
                <c:pt idx="54">
                  <c:v>2511370</c:v>
                </c:pt>
                <c:pt idx="55">
                  <c:v>2524128.75</c:v>
                </c:pt>
                <c:pt idx="56">
                  <c:v>2536937</c:v>
                </c:pt>
                <c:pt idx="57">
                  <c:v>2549794.75</c:v>
                </c:pt>
                <c:pt idx="58">
                  <c:v>2562702</c:v>
                </c:pt>
                <c:pt idx="59">
                  <c:v>2575658.75</c:v>
                </c:pt>
                <c:pt idx="60">
                  <c:v>2588665</c:v>
                </c:pt>
                <c:pt idx="61">
                  <c:v>2601720.89</c:v>
                </c:pt>
                <c:pt idx="62">
                  <c:v>2614826.5699999998</c:v>
                </c:pt>
                <c:pt idx="63">
                  <c:v>2627982.04</c:v>
                </c:pt>
                <c:pt idx="64">
                  <c:v>2641187.2999999998</c:v>
                </c:pt>
                <c:pt idx="65">
                  <c:v>2654442.34</c:v>
                </c:pt>
                <c:pt idx="66">
                  <c:v>2667747.17</c:v>
                </c:pt>
                <c:pt idx="67">
                  <c:v>2681101.79</c:v>
                </c:pt>
                <c:pt idx="68">
                  <c:v>2694506.2</c:v>
                </c:pt>
                <c:pt idx="69">
                  <c:v>2707960.39</c:v>
                </c:pt>
                <c:pt idx="70">
                  <c:v>2721464.3700040001</c:v>
                </c:pt>
                <c:pt idx="71">
                  <c:v>2735018.14</c:v>
                </c:pt>
                <c:pt idx="72">
                  <c:v>2748621.700003</c:v>
                </c:pt>
                <c:pt idx="73">
                  <c:v>2762275.0400010003</c:v>
                </c:pt>
                <c:pt idx="74">
                  <c:v>2775978.1699990002</c:v>
                </c:pt>
                <c:pt idx="75">
                  <c:v>2789731.0899970001</c:v>
                </c:pt>
                <c:pt idx="76">
                  <c:v>2803533.8000019998</c:v>
                </c:pt>
                <c:pt idx="77">
                  <c:v>2817386.2900020001</c:v>
                </c:pt>
                <c:pt idx="78">
                  <c:v>2831288.5700010001</c:v>
                </c:pt>
                <c:pt idx="79">
                  <c:v>2845240.64</c:v>
                </c:pt>
                <c:pt idx="80">
                  <c:v>2859242.4999989998</c:v>
                </c:pt>
                <c:pt idx="81">
                  <c:v>2873294.1400009999</c:v>
                </c:pt>
                <c:pt idx="82">
                  <c:v>2887395.5700019998</c:v>
                </c:pt>
                <c:pt idx="83">
                  <c:v>2901546.79</c:v>
                </c:pt>
                <c:pt idx="84">
                  <c:v>2915747.8</c:v>
                </c:pt>
                <c:pt idx="85">
                  <c:v>2929998.59</c:v>
                </c:pt>
                <c:pt idx="86">
                  <c:v>2944299.17</c:v>
                </c:pt>
                <c:pt idx="87">
                  <c:v>2958649.54</c:v>
                </c:pt>
                <c:pt idx="88">
                  <c:v>2973049.7</c:v>
                </c:pt>
                <c:pt idx="89">
                  <c:v>2987499.6399999997</c:v>
                </c:pt>
                <c:pt idx="90">
                  <c:v>3001999.37</c:v>
                </c:pt>
                <c:pt idx="91">
                  <c:v>3016548.8899999997</c:v>
                </c:pt>
                <c:pt idx="92">
                  <c:v>3031148.2</c:v>
                </c:pt>
                <c:pt idx="93">
                  <c:v>3045797.29</c:v>
                </c:pt>
                <c:pt idx="94">
                  <c:v>3060496.17</c:v>
                </c:pt>
                <c:pt idx="95">
                  <c:v>3075244.84</c:v>
                </c:pt>
                <c:pt idx="96">
                  <c:v>3090043.3</c:v>
                </c:pt>
                <c:pt idx="97">
                  <c:v>3104891.54</c:v>
                </c:pt>
                <c:pt idx="98">
                  <c:v>3119789.5700000003</c:v>
                </c:pt>
                <c:pt idx="99">
                  <c:v>3134737.3899999997</c:v>
                </c:pt>
                <c:pt idx="100">
                  <c:v>3149735</c:v>
                </c:pt>
                <c:pt idx="101">
                  <c:v>3164786.59</c:v>
                </c:pt>
                <c:pt idx="102">
                  <c:v>3179896.35</c:v>
                </c:pt>
                <c:pt idx="103">
                  <c:v>3195064.29</c:v>
                </c:pt>
                <c:pt idx="104">
                  <c:v>3210290.4</c:v>
                </c:pt>
                <c:pt idx="105">
                  <c:v>3225574.69</c:v>
                </c:pt>
                <c:pt idx="106">
                  <c:v>3240917.15</c:v>
                </c:pt>
                <c:pt idx="107">
                  <c:v>3256317.79</c:v>
                </c:pt>
                <c:pt idx="108">
                  <c:v>3271776.6</c:v>
                </c:pt>
                <c:pt idx="109">
                  <c:v>3287293.59</c:v>
                </c:pt>
                <c:pt idx="110">
                  <c:v>3302868.75</c:v>
                </c:pt>
                <c:pt idx="111">
                  <c:v>3318502.09</c:v>
                </c:pt>
                <c:pt idx="112">
                  <c:v>3334193.6</c:v>
                </c:pt>
                <c:pt idx="113">
                  <c:v>3349943.29</c:v>
                </c:pt>
                <c:pt idx="114">
                  <c:v>3365751.15</c:v>
                </c:pt>
                <c:pt idx="115">
                  <c:v>3381617.19</c:v>
                </c:pt>
                <c:pt idx="116">
                  <c:v>3397541.4</c:v>
                </c:pt>
                <c:pt idx="117">
                  <c:v>3413523.79</c:v>
                </c:pt>
                <c:pt idx="118">
                  <c:v>3429564.35</c:v>
                </c:pt>
                <c:pt idx="119">
                  <c:v>3445663.09</c:v>
                </c:pt>
                <c:pt idx="120">
                  <c:v>3461820</c:v>
                </c:pt>
                <c:pt idx="121">
                  <c:v>3478035.09</c:v>
                </c:pt>
                <c:pt idx="122">
                  <c:v>3494308.35</c:v>
                </c:pt>
                <c:pt idx="123">
                  <c:v>3510639.79</c:v>
                </c:pt>
                <c:pt idx="124">
                  <c:v>3527029.4</c:v>
                </c:pt>
                <c:pt idx="125">
                  <c:v>3543477.19</c:v>
                </c:pt>
                <c:pt idx="126">
                  <c:v>3559983.15</c:v>
                </c:pt>
                <c:pt idx="127">
                  <c:v>3576547.29</c:v>
                </c:pt>
                <c:pt idx="128">
                  <c:v>3593169.6</c:v>
                </c:pt>
                <c:pt idx="129">
                  <c:v>3609850.09</c:v>
                </c:pt>
                <c:pt idx="130">
                  <c:v>3626588.75</c:v>
                </c:pt>
                <c:pt idx="131">
                  <c:v>3643385.59</c:v>
                </c:pt>
                <c:pt idx="132">
                  <c:v>3660240.6</c:v>
                </c:pt>
                <c:pt idx="133">
                  <c:v>3677153.79</c:v>
                </c:pt>
                <c:pt idx="134">
                  <c:v>3694125.15</c:v>
                </c:pt>
                <c:pt idx="135">
                  <c:v>3711154.69</c:v>
                </c:pt>
                <c:pt idx="136">
                  <c:v>3728242.4</c:v>
                </c:pt>
                <c:pt idx="137">
                  <c:v>3745388.29</c:v>
                </c:pt>
                <c:pt idx="138">
                  <c:v>3762592.35</c:v>
                </c:pt>
                <c:pt idx="139">
                  <c:v>3779854.59</c:v>
                </c:pt>
                <c:pt idx="140">
                  <c:v>3797175</c:v>
                </c:pt>
                <c:pt idx="141">
                  <c:v>3814559.8899999997</c:v>
                </c:pt>
                <c:pt idx="142">
                  <c:v>3832015.55</c:v>
                </c:pt>
                <c:pt idx="143">
                  <c:v>3849541.99</c:v>
                </c:pt>
                <c:pt idx="144">
                  <c:v>3867139.2</c:v>
                </c:pt>
                <c:pt idx="145">
                  <c:v>3884807.19</c:v>
                </c:pt>
                <c:pt idx="146">
                  <c:v>3902545.95</c:v>
                </c:pt>
                <c:pt idx="147">
                  <c:v>3920355.49</c:v>
                </c:pt>
                <c:pt idx="148">
                  <c:v>3938235.8</c:v>
                </c:pt>
                <c:pt idx="149">
                  <c:v>3956186.8899999997</c:v>
                </c:pt>
                <c:pt idx="150">
                  <c:v>3974208.75</c:v>
                </c:pt>
                <c:pt idx="151">
                  <c:v>3992301.39</c:v>
                </c:pt>
                <c:pt idx="152">
                  <c:v>4010464.8</c:v>
                </c:pt>
                <c:pt idx="153">
                  <c:v>4028698.99</c:v>
                </c:pt>
                <c:pt idx="154">
                  <c:v>4047003.95</c:v>
                </c:pt>
                <c:pt idx="155">
                  <c:v>4065379.69</c:v>
                </c:pt>
                <c:pt idx="156">
                  <c:v>4083826.2</c:v>
                </c:pt>
                <c:pt idx="157">
                  <c:v>4102343.49</c:v>
                </c:pt>
                <c:pt idx="158">
                  <c:v>4120931.55</c:v>
                </c:pt>
                <c:pt idx="159">
                  <c:v>4139590.39</c:v>
                </c:pt>
                <c:pt idx="160">
                  <c:v>4158320</c:v>
                </c:pt>
                <c:pt idx="161">
                  <c:v>4177120.39</c:v>
                </c:pt>
                <c:pt idx="162">
                  <c:v>4195991.55</c:v>
                </c:pt>
                <c:pt idx="163">
                  <c:v>4214933.49</c:v>
                </c:pt>
                <c:pt idx="164">
                  <c:v>4233946.2</c:v>
                </c:pt>
                <c:pt idx="165">
                  <c:v>4253029.6899999995</c:v>
                </c:pt>
                <c:pt idx="166">
                  <c:v>4272183.95</c:v>
                </c:pt>
                <c:pt idx="167">
                  <c:v>4291408.99</c:v>
                </c:pt>
                <c:pt idx="168">
                  <c:v>4310704.8</c:v>
                </c:pt>
                <c:pt idx="169">
                  <c:v>4330071.3900000006</c:v>
                </c:pt>
                <c:pt idx="170">
                  <c:v>4349508.75</c:v>
                </c:pt>
                <c:pt idx="171">
                  <c:v>4369016.8900000006</c:v>
                </c:pt>
                <c:pt idx="172">
                  <c:v>4388595.8</c:v>
                </c:pt>
                <c:pt idx="173">
                  <c:v>4408245.49</c:v>
                </c:pt>
                <c:pt idx="174">
                  <c:v>4427965.95</c:v>
                </c:pt>
                <c:pt idx="175">
                  <c:v>4447757.1899999995</c:v>
                </c:pt>
                <c:pt idx="176">
                  <c:v>4467619.2</c:v>
                </c:pt>
                <c:pt idx="177">
                  <c:v>4487551.99</c:v>
                </c:pt>
                <c:pt idx="178">
                  <c:v>4507555.55</c:v>
                </c:pt>
                <c:pt idx="179">
                  <c:v>4527629.8900000006</c:v>
                </c:pt>
                <c:pt idx="180">
                  <c:v>4547775</c:v>
                </c:pt>
                <c:pt idx="181">
                  <c:v>4567992.46</c:v>
                </c:pt>
                <c:pt idx="182">
                  <c:v>4588283.8499999996</c:v>
                </c:pt>
                <c:pt idx="183">
                  <c:v>4608649.16</c:v>
                </c:pt>
                <c:pt idx="184">
                  <c:v>4629088.4000000004</c:v>
                </c:pt>
                <c:pt idx="185">
                  <c:v>4649601.5600000005</c:v>
                </c:pt>
                <c:pt idx="186">
                  <c:v>4670188.6500000004</c:v>
                </c:pt>
                <c:pt idx="187">
                  <c:v>4690849.66</c:v>
                </c:pt>
                <c:pt idx="188">
                  <c:v>4711584.5999999996</c:v>
                </c:pt>
                <c:pt idx="189">
                  <c:v>4732393.46</c:v>
                </c:pt>
                <c:pt idx="190">
                  <c:v>4753276.25</c:v>
                </c:pt>
                <c:pt idx="191">
                  <c:v>4774232.96</c:v>
                </c:pt>
                <c:pt idx="192">
                  <c:v>4795263.5999999996</c:v>
                </c:pt>
                <c:pt idx="193">
                  <c:v>4816368.16</c:v>
                </c:pt>
                <c:pt idx="194">
                  <c:v>4837546.6500000004</c:v>
                </c:pt>
                <c:pt idx="195">
                  <c:v>4858799.0600000005</c:v>
                </c:pt>
                <c:pt idx="196">
                  <c:v>4880125.4000000004</c:v>
                </c:pt>
                <c:pt idx="197">
                  <c:v>4901525.66</c:v>
                </c:pt>
                <c:pt idx="198">
                  <c:v>4922999.8499999996</c:v>
                </c:pt>
                <c:pt idx="199">
                  <c:v>4944547.96</c:v>
                </c:pt>
                <c:pt idx="200">
                  <c:v>4966170</c:v>
                </c:pt>
                <c:pt idx="201">
                  <c:v>4987865.96</c:v>
                </c:pt>
                <c:pt idx="202">
                  <c:v>5009635.8499999996</c:v>
                </c:pt>
                <c:pt idx="203">
                  <c:v>5031479.66</c:v>
                </c:pt>
                <c:pt idx="204">
                  <c:v>5053397.4000000004</c:v>
                </c:pt>
                <c:pt idx="205">
                  <c:v>5075389.0600000005</c:v>
                </c:pt>
                <c:pt idx="206">
                  <c:v>5097454.6500000004</c:v>
                </c:pt>
                <c:pt idx="207">
                  <c:v>5119594.16</c:v>
                </c:pt>
                <c:pt idx="208">
                  <c:v>5141807.5999999996</c:v>
                </c:pt>
                <c:pt idx="209">
                  <c:v>5164094.96</c:v>
                </c:pt>
                <c:pt idx="210">
                  <c:v>5186456.25</c:v>
                </c:pt>
                <c:pt idx="211">
                  <c:v>5208891.46</c:v>
                </c:pt>
                <c:pt idx="212">
                  <c:v>5231400.5999999996</c:v>
                </c:pt>
                <c:pt idx="213">
                  <c:v>5253983.66</c:v>
                </c:pt>
                <c:pt idx="214">
                  <c:v>5276640.6500000004</c:v>
                </c:pt>
                <c:pt idx="215">
                  <c:v>5299371.5600000005</c:v>
                </c:pt>
                <c:pt idx="216">
                  <c:v>5322176.4000000004</c:v>
                </c:pt>
                <c:pt idx="217">
                  <c:v>5345055.16</c:v>
                </c:pt>
                <c:pt idx="218">
                  <c:v>5368007.8499999996</c:v>
                </c:pt>
                <c:pt idx="219">
                  <c:v>5391034.46</c:v>
                </c:pt>
                <c:pt idx="220">
                  <c:v>5414135</c:v>
                </c:pt>
                <c:pt idx="221">
                  <c:v>5437310.6899999995</c:v>
                </c:pt>
                <c:pt idx="222">
                  <c:v>5460562.7699999996</c:v>
                </c:pt>
                <c:pt idx="223">
                  <c:v>5483891.2400000002</c:v>
                </c:pt>
                <c:pt idx="224">
                  <c:v>5507296.0999999996</c:v>
                </c:pt>
                <c:pt idx="225">
                  <c:v>5530777.3399999999</c:v>
                </c:pt>
                <c:pt idx="226">
                  <c:v>5554334.9700000007</c:v>
                </c:pt>
                <c:pt idx="227">
                  <c:v>5577968.9900000002</c:v>
                </c:pt>
                <c:pt idx="228">
                  <c:v>5601679.4000000004</c:v>
                </c:pt>
                <c:pt idx="229">
                  <c:v>5625466.1899999995</c:v>
                </c:pt>
                <c:pt idx="230">
                  <c:v>5649329.3700000001</c:v>
                </c:pt>
                <c:pt idx="231">
                  <c:v>5673268.9399999995</c:v>
                </c:pt>
                <c:pt idx="232">
                  <c:v>5697284.9000000004</c:v>
                </c:pt>
                <c:pt idx="233">
                  <c:v>5721377.2400000002</c:v>
                </c:pt>
                <c:pt idx="234">
                  <c:v>5745545.9700000007</c:v>
                </c:pt>
                <c:pt idx="235">
                  <c:v>5769791.0899999999</c:v>
                </c:pt>
                <c:pt idx="236">
                  <c:v>5794112.5999999996</c:v>
                </c:pt>
                <c:pt idx="237">
                  <c:v>5818510.4900000002</c:v>
                </c:pt>
                <c:pt idx="238">
                  <c:v>5842984.7699999996</c:v>
                </c:pt>
                <c:pt idx="239">
                  <c:v>5867535.4399999995</c:v>
                </c:pt>
                <c:pt idx="240">
                  <c:v>5892162.5</c:v>
                </c:pt>
                <c:pt idx="241">
                  <c:v>5916865.9399999995</c:v>
                </c:pt>
                <c:pt idx="242">
                  <c:v>5941645.7699999996</c:v>
                </c:pt>
                <c:pt idx="243">
                  <c:v>5966501.9900000002</c:v>
                </c:pt>
                <c:pt idx="244">
                  <c:v>5991434.5999999996</c:v>
                </c:pt>
                <c:pt idx="245">
                  <c:v>6016443.5899999999</c:v>
                </c:pt>
                <c:pt idx="246">
                  <c:v>6041528.9700000007</c:v>
                </c:pt>
                <c:pt idx="247">
                  <c:v>6066690.7400000002</c:v>
                </c:pt>
                <c:pt idx="248">
                  <c:v>6091928.9000000004</c:v>
                </c:pt>
                <c:pt idx="249">
                  <c:v>6117243.4400000004</c:v>
                </c:pt>
                <c:pt idx="250">
                  <c:v>6142634.3700000001</c:v>
                </c:pt>
                <c:pt idx="251">
                  <c:v>6168101.6900000004</c:v>
                </c:pt>
                <c:pt idx="252">
                  <c:v>6193645.4000000004</c:v>
                </c:pt>
                <c:pt idx="253">
                  <c:v>6219265.4900000002</c:v>
                </c:pt>
                <c:pt idx="254">
                  <c:v>6244961.9699999997</c:v>
                </c:pt>
                <c:pt idx="255">
                  <c:v>6270734.8399999999</c:v>
                </c:pt>
                <c:pt idx="256">
                  <c:v>6296584.0999999996</c:v>
                </c:pt>
                <c:pt idx="257">
                  <c:v>6322509.7400000002</c:v>
                </c:pt>
                <c:pt idx="258">
                  <c:v>6348511.7699999996</c:v>
                </c:pt>
                <c:pt idx="259">
                  <c:v>6374590.1900000004</c:v>
                </c:pt>
                <c:pt idx="260">
                  <c:v>6400745</c:v>
                </c:pt>
                <c:pt idx="261">
                  <c:v>6426982.3099999996</c:v>
                </c:pt>
                <c:pt idx="262">
                  <c:v>6453308.25</c:v>
                </c:pt>
                <c:pt idx="263">
                  <c:v>6479722.8099999996</c:v>
                </c:pt>
                <c:pt idx="264">
                  <c:v>6506226</c:v>
                </c:pt>
                <c:pt idx="265">
                  <c:v>6532817.8099999996</c:v>
                </c:pt>
                <c:pt idx="266">
                  <c:v>6559498.25</c:v>
                </c:pt>
                <c:pt idx="267">
                  <c:v>6586267.3099999996</c:v>
                </c:pt>
                <c:pt idx="268">
                  <c:v>6613125</c:v>
                </c:pt>
                <c:pt idx="269">
                  <c:v>6640071.3099999996</c:v>
                </c:pt>
                <c:pt idx="270">
                  <c:v>6667106.25</c:v>
                </c:pt>
                <c:pt idx="271">
                  <c:v>6694229.8099999996</c:v>
                </c:pt>
                <c:pt idx="272">
                  <c:v>6721442</c:v>
                </c:pt>
                <c:pt idx="273">
                  <c:v>6748742.8099999996</c:v>
                </c:pt>
                <c:pt idx="274">
                  <c:v>6776132.25</c:v>
                </c:pt>
                <c:pt idx="275">
                  <c:v>6803610.3099999996</c:v>
                </c:pt>
                <c:pt idx="276">
                  <c:v>6831177</c:v>
                </c:pt>
                <c:pt idx="277">
                  <c:v>6858832.3099999996</c:v>
                </c:pt>
                <c:pt idx="278">
                  <c:v>6886576.25</c:v>
                </c:pt>
                <c:pt idx="279">
                  <c:v>6914408.8099999996</c:v>
                </c:pt>
                <c:pt idx="280">
                  <c:v>6942330</c:v>
                </c:pt>
                <c:pt idx="281">
                  <c:v>6970339.8099999996</c:v>
                </c:pt>
                <c:pt idx="282">
                  <c:v>6998438.25</c:v>
                </c:pt>
                <c:pt idx="283">
                  <c:v>7026625.3099999996</c:v>
                </c:pt>
                <c:pt idx="284">
                  <c:v>7054901</c:v>
                </c:pt>
                <c:pt idx="285">
                  <c:v>7083265.3099999996</c:v>
                </c:pt>
                <c:pt idx="286">
                  <c:v>7111718.25</c:v>
                </c:pt>
                <c:pt idx="287">
                  <c:v>7140259.8099999996</c:v>
                </c:pt>
                <c:pt idx="288">
                  <c:v>7168890</c:v>
                </c:pt>
                <c:pt idx="289">
                  <c:v>7197608.8099999996</c:v>
                </c:pt>
                <c:pt idx="290">
                  <c:v>7226416.25</c:v>
                </c:pt>
                <c:pt idx="291">
                  <c:v>7255312.3099999996</c:v>
                </c:pt>
                <c:pt idx="292">
                  <c:v>7284297</c:v>
                </c:pt>
                <c:pt idx="293">
                  <c:v>7313370.3099999996</c:v>
                </c:pt>
                <c:pt idx="294">
                  <c:v>7342532.25</c:v>
                </c:pt>
                <c:pt idx="295">
                  <c:v>7371782.8099999996</c:v>
                </c:pt>
                <c:pt idx="296">
                  <c:v>7401122</c:v>
                </c:pt>
                <c:pt idx="297">
                  <c:v>7430549.8099999996</c:v>
                </c:pt>
                <c:pt idx="298">
                  <c:v>7460066.25</c:v>
                </c:pt>
                <c:pt idx="299">
                  <c:v>7489671.3099999996</c:v>
                </c:pt>
                <c:pt idx="300">
                  <c:v>7519365</c:v>
                </c:pt>
                <c:pt idx="301">
                  <c:v>7549151.3099999996</c:v>
                </c:pt>
                <c:pt idx="302">
                  <c:v>7579034.25</c:v>
                </c:pt>
                <c:pt idx="303">
                  <c:v>7609013.8099999996</c:v>
                </c:pt>
                <c:pt idx="304">
                  <c:v>7639090</c:v>
                </c:pt>
                <c:pt idx="305">
                  <c:v>7669262.8099999996</c:v>
                </c:pt>
                <c:pt idx="306">
                  <c:v>7699532.25</c:v>
                </c:pt>
                <c:pt idx="307">
                  <c:v>7729898.3099999996</c:v>
                </c:pt>
                <c:pt idx="308">
                  <c:v>7760361</c:v>
                </c:pt>
                <c:pt idx="309">
                  <c:v>7790920.3099999996</c:v>
                </c:pt>
                <c:pt idx="310">
                  <c:v>7821576.25</c:v>
                </c:pt>
                <c:pt idx="311">
                  <c:v>7852328.8099999996</c:v>
                </c:pt>
                <c:pt idx="312">
                  <c:v>7883178</c:v>
                </c:pt>
                <c:pt idx="313">
                  <c:v>7914123.8099999996</c:v>
                </c:pt>
                <c:pt idx="314">
                  <c:v>7945166.25</c:v>
                </c:pt>
                <c:pt idx="315">
                  <c:v>7976305.3099999996</c:v>
                </c:pt>
                <c:pt idx="316">
                  <c:v>8007541</c:v>
                </c:pt>
                <c:pt idx="317">
                  <c:v>8038873.3099999996</c:v>
                </c:pt>
                <c:pt idx="318">
                  <c:v>8070302.25</c:v>
                </c:pt>
                <c:pt idx="319">
                  <c:v>8101827.8099999996</c:v>
                </c:pt>
                <c:pt idx="320">
                  <c:v>8133450</c:v>
                </c:pt>
                <c:pt idx="321">
                  <c:v>8165168.8099999996</c:v>
                </c:pt>
                <c:pt idx="322">
                  <c:v>8196984.25</c:v>
                </c:pt>
                <c:pt idx="323">
                  <c:v>8228896.3099999996</c:v>
                </c:pt>
                <c:pt idx="324">
                  <c:v>8260905</c:v>
                </c:pt>
                <c:pt idx="325">
                  <c:v>8293010.3099999996</c:v>
                </c:pt>
                <c:pt idx="326">
                  <c:v>8325212.25</c:v>
                </c:pt>
                <c:pt idx="327">
                  <c:v>8357510.8099999996</c:v>
                </c:pt>
                <c:pt idx="328">
                  <c:v>8389906</c:v>
                </c:pt>
                <c:pt idx="329">
                  <c:v>8422397.8099999987</c:v>
                </c:pt>
                <c:pt idx="330">
                  <c:v>8454986.25</c:v>
                </c:pt>
                <c:pt idx="331">
                  <c:v>8487671.3099999987</c:v>
                </c:pt>
                <c:pt idx="332">
                  <c:v>8520453</c:v>
                </c:pt>
                <c:pt idx="333">
                  <c:v>8553331.3099999987</c:v>
                </c:pt>
                <c:pt idx="334">
                  <c:v>8586306.25</c:v>
                </c:pt>
                <c:pt idx="335">
                  <c:v>8619377.8099999987</c:v>
                </c:pt>
                <c:pt idx="336">
                  <c:v>8652546</c:v>
                </c:pt>
                <c:pt idx="337">
                  <c:v>8685810.8099999987</c:v>
                </c:pt>
                <c:pt idx="338">
                  <c:v>8719172.25</c:v>
                </c:pt>
                <c:pt idx="339">
                  <c:v>8752630.3099999987</c:v>
                </c:pt>
                <c:pt idx="340">
                  <c:v>8786185</c:v>
                </c:pt>
                <c:pt idx="341">
                  <c:v>8819842.8399999999</c:v>
                </c:pt>
                <c:pt idx="342">
                  <c:v>8853610.370000001</c:v>
                </c:pt>
                <c:pt idx="343">
                  <c:v>8887487.5899999999</c:v>
                </c:pt>
                <c:pt idx="344">
                  <c:v>8921474.5</c:v>
                </c:pt>
                <c:pt idx="345">
                  <c:v>8955571.0899999999</c:v>
                </c:pt>
                <c:pt idx="346">
                  <c:v>8989777.370000001</c:v>
                </c:pt>
                <c:pt idx="347">
                  <c:v>9024093.3399999999</c:v>
                </c:pt>
                <c:pt idx="348">
                  <c:v>9058519</c:v>
                </c:pt>
                <c:pt idx="349">
                  <c:v>9093054.3399999999</c:v>
                </c:pt>
                <c:pt idx="350">
                  <c:v>9127699.370000001</c:v>
                </c:pt>
                <c:pt idx="351">
                  <c:v>9162454.0899999999</c:v>
                </c:pt>
                <c:pt idx="352">
                  <c:v>9197318.5</c:v>
                </c:pt>
                <c:pt idx="353">
                  <c:v>9232292.5899999999</c:v>
                </c:pt>
                <c:pt idx="354">
                  <c:v>9267376.370000001</c:v>
                </c:pt>
                <c:pt idx="355">
                  <c:v>9302569.8399999999</c:v>
                </c:pt>
                <c:pt idx="356">
                  <c:v>9337873</c:v>
                </c:pt>
                <c:pt idx="357">
                  <c:v>9373285.8399999999</c:v>
                </c:pt>
                <c:pt idx="358">
                  <c:v>9408808.370000001</c:v>
                </c:pt>
                <c:pt idx="359">
                  <c:v>9444440.5899999999</c:v>
                </c:pt>
                <c:pt idx="360">
                  <c:v>9480182.5</c:v>
                </c:pt>
                <c:pt idx="361">
                  <c:v>9516034.0899999999</c:v>
                </c:pt>
                <c:pt idx="362">
                  <c:v>9551995.370000001</c:v>
                </c:pt>
                <c:pt idx="363">
                  <c:v>9588066.3399999999</c:v>
                </c:pt>
                <c:pt idx="364">
                  <c:v>9624247</c:v>
                </c:pt>
                <c:pt idx="365">
                  <c:v>9660537.3399999999</c:v>
                </c:pt>
                <c:pt idx="366">
                  <c:v>9696937.370000001</c:v>
                </c:pt>
                <c:pt idx="367">
                  <c:v>9733447.0899999999</c:v>
                </c:pt>
                <c:pt idx="368">
                  <c:v>9770066.5</c:v>
                </c:pt>
                <c:pt idx="369">
                  <c:v>9806795.5899999999</c:v>
                </c:pt>
                <c:pt idx="370">
                  <c:v>9843634.370000001</c:v>
                </c:pt>
                <c:pt idx="371">
                  <c:v>9880582.8399999999</c:v>
                </c:pt>
                <c:pt idx="372">
                  <c:v>9917641</c:v>
                </c:pt>
                <c:pt idx="373">
                  <c:v>9954808.8399999999</c:v>
                </c:pt>
                <c:pt idx="374">
                  <c:v>9992086.370000001</c:v>
                </c:pt>
                <c:pt idx="375">
                  <c:v>10029473.590020001</c:v>
                </c:pt>
                <c:pt idx="376">
                  <c:v>10066970.499979999</c:v>
                </c:pt>
                <c:pt idx="377">
                  <c:v>10104577.09003</c:v>
                </c:pt>
                <c:pt idx="378">
                  <c:v>10142293.36998</c:v>
                </c:pt>
                <c:pt idx="379">
                  <c:v>10180119.34</c:v>
                </c:pt>
                <c:pt idx="380">
                  <c:v>10218054.999990001</c:v>
                </c:pt>
                <c:pt idx="381">
                  <c:v>10256106.039960001</c:v>
                </c:pt>
                <c:pt idx="382">
                  <c:v>10294278.149970001</c:v>
                </c:pt>
                <c:pt idx="383">
                  <c:v>10332571.34</c:v>
                </c:pt>
                <c:pt idx="384">
                  <c:v>10370985.599989999</c:v>
                </c:pt>
                <c:pt idx="385">
                  <c:v>10409520.939990001</c:v>
                </c:pt>
                <c:pt idx="386">
                  <c:v>10448177.349959999</c:v>
                </c:pt>
                <c:pt idx="387">
                  <c:v>10486954.84003</c:v>
                </c:pt>
                <c:pt idx="388">
                  <c:v>10525853.399970001</c:v>
                </c:pt>
                <c:pt idx="389">
                  <c:v>10564873.04001</c:v>
                </c:pt>
                <c:pt idx="390">
                  <c:v>10604013.750019999</c:v>
                </c:pt>
                <c:pt idx="391">
                  <c:v>10643275.540039999</c:v>
                </c:pt>
                <c:pt idx="392">
                  <c:v>10682658.40002</c:v>
                </c:pt>
                <c:pt idx="393">
                  <c:v>10722162.340019999</c:v>
                </c:pt>
                <c:pt idx="394">
                  <c:v>10761787.34998</c:v>
                </c:pt>
                <c:pt idx="395">
                  <c:v>10801533.439959999</c:v>
                </c:pt>
                <c:pt idx="396">
                  <c:v>10841400.59998</c:v>
                </c:pt>
                <c:pt idx="397">
                  <c:v>10881388.840019999</c:v>
                </c:pt>
                <c:pt idx="398">
                  <c:v>10921498.15002</c:v>
                </c:pt>
                <c:pt idx="399">
                  <c:v>10961728.540030001</c:v>
                </c:pt>
                <c:pt idx="400">
                  <c:v>11002080.000010001</c:v>
                </c:pt>
                <c:pt idx="401">
                  <c:v>11042552.539999999</c:v>
                </c:pt>
                <c:pt idx="402">
                  <c:v>11083146.15003</c:v>
                </c:pt>
                <c:pt idx="403">
                  <c:v>11123860.84001</c:v>
                </c:pt>
                <c:pt idx="404">
                  <c:v>11164696.600020001</c:v>
                </c:pt>
                <c:pt idx="405">
                  <c:v>11205653.43997</c:v>
                </c:pt>
                <c:pt idx="406">
                  <c:v>11246731.349959999</c:v>
                </c:pt>
                <c:pt idx="407">
                  <c:v>11287930.33997</c:v>
                </c:pt>
                <c:pt idx="408">
                  <c:v>11329250.40002</c:v>
                </c:pt>
                <c:pt idx="409">
                  <c:v>11370691.54001</c:v>
                </c:pt>
                <c:pt idx="410">
                  <c:v>11412253.75004</c:v>
                </c:pt>
                <c:pt idx="411">
                  <c:v>11453937.039999999</c:v>
                </c:pt>
                <c:pt idx="412">
                  <c:v>11495741.400010001</c:v>
                </c:pt>
                <c:pt idx="413">
                  <c:v>11537666.84003</c:v>
                </c:pt>
                <c:pt idx="414">
                  <c:v>11579713.350020001</c:v>
                </c:pt>
                <c:pt idx="415">
                  <c:v>11621880.940020001</c:v>
                </c:pt>
                <c:pt idx="416">
                  <c:v>11664169.59998</c:v>
                </c:pt>
                <c:pt idx="417">
                  <c:v>11706579.33996</c:v>
                </c:pt>
                <c:pt idx="418">
                  <c:v>11749110.14999</c:v>
                </c:pt>
                <c:pt idx="419">
                  <c:v>11791762.04002</c:v>
                </c:pt>
                <c:pt idx="420">
                  <c:v>11834535.00003</c:v>
                </c:pt>
                <c:pt idx="421">
                  <c:v>11877429.250019999</c:v>
                </c:pt>
                <c:pt idx="422">
                  <c:v>11920445</c:v>
                </c:pt>
                <c:pt idx="423">
                  <c:v>11963582.25</c:v>
                </c:pt>
                <c:pt idx="424">
                  <c:v>12006841</c:v>
                </c:pt>
                <c:pt idx="425">
                  <c:v>12050221.25</c:v>
                </c:pt>
                <c:pt idx="426">
                  <c:v>12093723</c:v>
                </c:pt>
                <c:pt idx="427">
                  <c:v>12137346.25</c:v>
                </c:pt>
                <c:pt idx="428">
                  <c:v>12181091</c:v>
                </c:pt>
                <c:pt idx="429">
                  <c:v>12224957.25</c:v>
                </c:pt>
                <c:pt idx="430">
                  <c:v>12268945</c:v>
                </c:pt>
                <c:pt idx="431">
                  <c:v>12313054.25</c:v>
                </c:pt>
                <c:pt idx="432">
                  <c:v>12357285</c:v>
                </c:pt>
                <c:pt idx="433">
                  <c:v>12401637.25</c:v>
                </c:pt>
                <c:pt idx="434">
                  <c:v>12446111</c:v>
                </c:pt>
                <c:pt idx="435">
                  <c:v>12490706.25</c:v>
                </c:pt>
                <c:pt idx="436">
                  <c:v>12535423</c:v>
                </c:pt>
                <c:pt idx="437">
                  <c:v>12580261.25</c:v>
                </c:pt>
                <c:pt idx="438">
                  <c:v>12625221</c:v>
                </c:pt>
                <c:pt idx="439">
                  <c:v>12670302.25</c:v>
                </c:pt>
                <c:pt idx="440">
                  <c:v>12715505</c:v>
                </c:pt>
                <c:pt idx="441">
                  <c:v>12760829.25</c:v>
                </c:pt>
                <c:pt idx="442">
                  <c:v>12806275</c:v>
                </c:pt>
                <c:pt idx="443">
                  <c:v>12851842.25</c:v>
                </c:pt>
                <c:pt idx="444">
                  <c:v>12897531</c:v>
                </c:pt>
                <c:pt idx="445">
                  <c:v>12943341.25</c:v>
                </c:pt>
                <c:pt idx="446">
                  <c:v>12989273</c:v>
                </c:pt>
                <c:pt idx="447">
                  <c:v>13035326.25</c:v>
                </c:pt>
                <c:pt idx="448">
                  <c:v>13081501</c:v>
                </c:pt>
                <c:pt idx="449">
                  <c:v>13127797.25</c:v>
                </c:pt>
                <c:pt idx="450">
                  <c:v>13174215</c:v>
                </c:pt>
                <c:pt idx="451">
                  <c:v>13220754.25</c:v>
                </c:pt>
                <c:pt idx="452">
                  <c:v>13267415</c:v>
                </c:pt>
                <c:pt idx="453">
                  <c:v>13314197.25</c:v>
                </c:pt>
                <c:pt idx="454">
                  <c:v>13361101</c:v>
                </c:pt>
                <c:pt idx="455">
                  <c:v>13408126.25</c:v>
                </c:pt>
                <c:pt idx="456">
                  <c:v>13455273</c:v>
                </c:pt>
                <c:pt idx="457">
                  <c:v>13502541.25</c:v>
                </c:pt>
                <c:pt idx="458">
                  <c:v>13549931</c:v>
                </c:pt>
                <c:pt idx="459">
                  <c:v>13597442.25</c:v>
                </c:pt>
                <c:pt idx="460">
                  <c:v>13645075</c:v>
                </c:pt>
                <c:pt idx="461">
                  <c:v>13692834.390000001</c:v>
                </c:pt>
                <c:pt idx="462">
                  <c:v>13740725.550000001</c:v>
                </c:pt>
                <c:pt idx="463">
                  <c:v>13788748.49</c:v>
                </c:pt>
                <c:pt idx="464">
                  <c:v>13836903.199999999</c:v>
                </c:pt>
                <c:pt idx="465">
                  <c:v>13885189.689999999</c:v>
                </c:pt>
                <c:pt idx="466">
                  <c:v>13933607.949999999</c:v>
                </c:pt>
                <c:pt idx="467">
                  <c:v>13982157.99</c:v>
                </c:pt>
                <c:pt idx="468">
                  <c:v>14030839.800000001</c:v>
                </c:pt>
                <c:pt idx="469">
                  <c:v>14079653.390000001</c:v>
                </c:pt>
                <c:pt idx="470">
                  <c:v>14128598.75</c:v>
                </c:pt>
                <c:pt idx="471">
                  <c:v>14177675.890000001</c:v>
                </c:pt>
                <c:pt idx="472">
                  <c:v>14226884.800000001</c:v>
                </c:pt>
                <c:pt idx="473">
                  <c:v>14276225.49</c:v>
                </c:pt>
                <c:pt idx="474">
                  <c:v>14325697.949999999</c:v>
                </c:pt>
                <c:pt idx="475">
                  <c:v>14375302.189999999</c:v>
                </c:pt>
                <c:pt idx="476">
                  <c:v>14425038.199999999</c:v>
                </c:pt>
                <c:pt idx="477">
                  <c:v>14474905.99</c:v>
                </c:pt>
                <c:pt idx="478">
                  <c:v>14524905.550000001</c:v>
                </c:pt>
                <c:pt idx="479">
                  <c:v>14575036.890000001</c:v>
                </c:pt>
                <c:pt idx="480">
                  <c:v>14625300</c:v>
                </c:pt>
                <c:pt idx="481">
                  <c:v>14675694.890000001</c:v>
                </c:pt>
                <c:pt idx="482">
                  <c:v>14726221.550000001</c:v>
                </c:pt>
                <c:pt idx="483">
                  <c:v>14776879.99</c:v>
                </c:pt>
                <c:pt idx="484">
                  <c:v>14827670.199999999</c:v>
                </c:pt>
                <c:pt idx="485">
                  <c:v>14878592.189999999</c:v>
                </c:pt>
                <c:pt idx="486">
                  <c:v>14929645.949999999</c:v>
                </c:pt>
                <c:pt idx="487">
                  <c:v>14980831.49</c:v>
                </c:pt>
                <c:pt idx="488">
                  <c:v>15032148.800000001</c:v>
                </c:pt>
                <c:pt idx="489">
                  <c:v>15083597.890000001</c:v>
                </c:pt>
                <c:pt idx="490">
                  <c:v>15135178.75</c:v>
                </c:pt>
                <c:pt idx="491">
                  <c:v>15186891.390000001</c:v>
                </c:pt>
                <c:pt idx="492">
                  <c:v>15238735.800000001</c:v>
                </c:pt>
                <c:pt idx="493">
                  <c:v>15290711.99</c:v>
                </c:pt>
                <c:pt idx="494">
                  <c:v>15342819.949999999</c:v>
                </c:pt>
                <c:pt idx="495">
                  <c:v>15395059.689999999</c:v>
                </c:pt>
                <c:pt idx="496">
                  <c:v>15447431.199999999</c:v>
                </c:pt>
                <c:pt idx="497">
                  <c:v>15499934.49</c:v>
                </c:pt>
                <c:pt idx="498">
                  <c:v>15552569.550000001</c:v>
                </c:pt>
                <c:pt idx="499">
                  <c:v>15605336.390000001</c:v>
                </c:pt>
                <c:pt idx="500">
                  <c:v>15658235</c:v>
                </c:pt>
                <c:pt idx="501">
                  <c:v>15711275.279999999</c:v>
                </c:pt>
                <c:pt idx="502">
                  <c:v>15764467.119999999</c:v>
                </c:pt>
                <c:pt idx="503">
                  <c:v>15817810.529999999</c:v>
                </c:pt>
                <c:pt idx="504">
                  <c:v>15871305.5</c:v>
                </c:pt>
                <c:pt idx="505">
                  <c:v>15924952.029999999</c:v>
                </c:pt>
                <c:pt idx="506">
                  <c:v>15978750.119999999</c:v>
                </c:pt>
                <c:pt idx="507">
                  <c:v>16032699.779999999</c:v>
                </c:pt>
                <c:pt idx="508">
                  <c:v>16086801</c:v>
                </c:pt>
                <c:pt idx="509">
                  <c:v>16141053.779999999</c:v>
                </c:pt>
                <c:pt idx="510">
                  <c:v>16195458.119999999</c:v>
                </c:pt>
                <c:pt idx="511">
                  <c:v>16250014.029999999</c:v>
                </c:pt>
                <c:pt idx="512">
                  <c:v>16304721.5</c:v>
                </c:pt>
                <c:pt idx="513">
                  <c:v>16359580.529999999</c:v>
                </c:pt>
                <c:pt idx="514">
                  <c:v>16414591.119999999</c:v>
                </c:pt>
                <c:pt idx="515">
                  <c:v>16469753.279999999</c:v>
                </c:pt>
                <c:pt idx="516">
                  <c:v>16525067</c:v>
                </c:pt>
                <c:pt idx="517">
                  <c:v>16580532.279999999</c:v>
                </c:pt>
                <c:pt idx="518">
                  <c:v>16636149.119999999</c:v>
                </c:pt>
                <c:pt idx="519">
                  <c:v>16691917.529999999</c:v>
                </c:pt>
                <c:pt idx="520">
                  <c:v>16747837.5</c:v>
                </c:pt>
                <c:pt idx="521">
                  <c:v>16803909.030000001</c:v>
                </c:pt>
                <c:pt idx="522">
                  <c:v>16860132.119999997</c:v>
                </c:pt>
                <c:pt idx="523">
                  <c:v>16916506.780000001</c:v>
                </c:pt>
                <c:pt idx="524">
                  <c:v>16973033</c:v>
                </c:pt>
                <c:pt idx="525">
                  <c:v>17029710.780000001</c:v>
                </c:pt>
                <c:pt idx="526">
                  <c:v>17086540.119999997</c:v>
                </c:pt>
                <c:pt idx="527">
                  <c:v>17143521.030000001</c:v>
                </c:pt>
                <c:pt idx="528">
                  <c:v>17200653.5</c:v>
                </c:pt>
                <c:pt idx="529">
                  <c:v>17257937.530000001</c:v>
                </c:pt>
                <c:pt idx="530">
                  <c:v>17315373.119999997</c:v>
                </c:pt>
                <c:pt idx="531">
                  <c:v>17372960.280000001</c:v>
                </c:pt>
                <c:pt idx="532">
                  <c:v>17430699</c:v>
                </c:pt>
                <c:pt idx="533">
                  <c:v>17488589.280000001</c:v>
                </c:pt>
                <c:pt idx="534">
                  <c:v>17546631.119999997</c:v>
                </c:pt>
                <c:pt idx="535">
                  <c:v>17604824.530000001</c:v>
                </c:pt>
                <c:pt idx="536">
                  <c:v>17663169.5</c:v>
                </c:pt>
                <c:pt idx="537">
                  <c:v>17721666.030000001</c:v>
                </c:pt>
                <c:pt idx="538">
                  <c:v>17780314.119999997</c:v>
                </c:pt>
                <c:pt idx="539">
                  <c:v>17839113.780000001</c:v>
                </c:pt>
                <c:pt idx="540">
                  <c:v>17898065</c:v>
                </c:pt>
                <c:pt idx="541">
                  <c:v>17957172.280000001</c:v>
                </c:pt>
                <c:pt idx="542">
                  <c:v>18016440.119999997</c:v>
                </c:pt>
                <c:pt idx="543">
                  <c:v>18075868.530000001</c:v>
                </c:pt>
                <c:pt idx="544">
                  <c:v>18135457.5</c:v>
                </c:pt>
                <c:pt idx="545">
                  <c:v>18195207.030000001</c:v>
                </c:pt>
                <c:pt idx="546">
                  <c:v>18255117.119999997</c:v>
                </c:pt>
                <c:pt idx="547">
                  <c:v>18315187.780000001</c:v>
                </c:pt>
                <c:pt idx="548">
                  <c:v>18375419</c:v>
                </c:pt>
                <c:pt idx="549">
                  <c:v>18435810.780000001</c:v>
                </c:pt>
                <c:pt idx="550">
                  <c:v>18496363.119999997</c:v>
                </c:pt>
                <c:pt idx="551">
                  <c:v>18557076.030000001</c:v>
                </c:pt>
                <c:pt idx="552">
                  <c:v>18617949.5</c:v>
                </c:pt>
                <c:pt idx="553">
                  <c:v>18678983.530000001</c:v>
                </c:pt>
                <c:pt idx="554">
                  <c:v>18740178.120000001</c:v>
                </c:pt>
                <c:pt idx="555">
                  <c:v>18801533.280000001</c:v>
                </c:pt>
                <c:pt idx="556">
                  <c:v>18863049</c:v>
                </c:pt>
                <c:pt idx="557">
                  <c:v>18924725.280000001</c:v>
                </c:pt>
                <c:pt idx="558">
                  <c:v>18986562.120000001</c:v>
                </c:pt>
                <c:pt idx="559">
                  <c:v>19048559.530000001</c:v>
                </c:pt>
                <c:pt idx="560">
                  <c:v>19110717.5</c:v>
                </c:pt>
                <c:pt idx="561">
                  <c:v>19173036.030000001</c:v>
                </c:pt>
                <c:pt idx="562">
                  <c:v>19235515.120000001</c:v>
                </c:pt>
                <c:pt idx="563">
                  <c:v>19298154.780000001</c:v>
                </c:pt>
                <c:pt idx="564">
                  <c:v>19360955</c:v>
                </c:pt>
                <c:pt idx="565">
                  <c:v>19423915.780000001</c:v>
                </c:pt>
                <c:pt idx="566">
                  <c:v>19487037.120000001</c:v>
                </c:pt>
                <c:pt idx="567">
                  <c:v>19550319.030000001</c:v>
                </c:pt>
                <c:pt idx="568">
                  <c:v>19613761.5</c:v>
                </c:pt>
                <c:pt idx="569">
                  <c:v>19677364.530000001</c:v>
                </c:pt>
                <c:pt idx="570">
                  <c:v>19741128.120000001</c:v>
                </c:pt>
                <c:pt idx="571">
                  <c:v>19805052.280000001</c:v>
                </c:pt>
                <c:pt idx="572">
                  <c:v>19869137</c:v>
                </c:pt>
                <c:pt idx="573">
                  <c:v>19933382.280000001</c:v>
                </c:pt>
                <c:pt idx="574">
                  <c:v>19997788.120000001</c:v>
                </c:pt>
                <c:pt idx="575">
                  <c:v>20062354.530000001</c:v>
                </c:pt>
                <c:pt idx="576">
                  <c:v>20127081.5</c:v>
                </c:pt>
                <c:pt idx="577">
                  <c:v>20191969.030000001</c:v>
                </c:pt>
                <c:pt idx="578">
                  <c:v>20257017.120000001</c:v>
                </c:pt>
                <c:pt idx="579">
                  <c:v>20322225.780000001</c:v>
                </c:pt>
                <c:pt idx="580">
                  <c:v>20387595</c:v>
                </c:pt>
                <c:pt idx="581">
                  <c:v>20453136.670000002</c:v>
                </c:pt>
                <c:pt idx="582">
                  <c:v>20518862.699999999</c:v>
                </c:pt>
                <c:pt idx="583">
                  <c:v>20584773.07</c:v>
                </c:pt>
                <c:pt idx="584">
                  <c:v>20650867.800000001</c:v>
                </c:pt>
                <c:pt idx="585">
                  <c:v>20717146.870000001</c:v>
                </c:pt>
                <c:pt idx="586">
                  <c:v>20783610.300000001</c:v>
                </c:pt>
                <c:pt idx="587">
                  <c:v>20850258.07</c:v>
                </c:pt>
                <c:pt idx="588">
                  <c:v>20917090.199999999</c:v>
                </c:pt>
                <c:pt idx="589">
                  <c:v>20984106.670000002</c:v>
                </c:pt>
                <c:pt idx="590">
                  <c:v>21051307.5</c:v>
                </c:pt>
                <c:pt idx="591">
                  <c:v>21118692.670000002</c:v>
                </c:pt>
                <c:pt idx="592">
                  <c:v>21186262.199999999</c:v>
                </c:pt>
                <c:pt idx="593">
                  <c:v>21254016.07</c:v>
                </c:pt>
                <c:pt idx="594">
                  <c:v>21321954.300000001</c:v>
                </c:pt>
                <c:pt idx="595">
                  <c:v>21390076.870000001</c:v>
                </c:pt>
                <c:pt idx="596">
                  <c:v>21458383.800000001</c:v>
                </c:pt>
                <c:pt idx="597">
                  <c:v>21526875.07</c:v>
                </c:pt>
                <c:pt idx="598">
                  <c:v>21595550.699999999</c:v>
                </c:pt>
                <c:pt idx="599">
                  <c:v>21664410.670000002</c:v>
                </c:pt>
                <c:pt idx="600">
                  <c:v>21733455</c:v>
                </c:pt>
                <c:pt idx="601">
                  <c:v>21802683.670000002</c:v>
                </c:pt>
                <c:pt idx="602">
                  <c:v>21872096.699999999</c:v>
                </c:pt>
                <c:pt idx="603">
                  <c:v>21941694.07</c:v>
                </c:pt>
                <c:pt idx="604">
                  <c:v>22011475.800000001</c:v>
                </c:pt>
                <c:pt idx="605">
                  <c:v>22081441.870000001</c:v>
                </c:pt>
                <c:pt idx="606">
                  <c:v>22151592.300000001</c:v>
                </c:pt>
                <c:pt idx="607">
                  <c:v>22221927.07</c:v>
                </c:pt>
                <c:pt idx="608">
                  <c:v>22292446.199999999</c:v>
                </c:pt>
                <c:pt idx="609">
                  <c:v>22363149.670000002</c:v>
                </c:pt>
                <c:pt idx="610">
                  <c:v>22434037.5</c:v>
                </c:pt>
                <c:pt idx="611">
                  <c:v>22505109.670000002</c:v>
                </c:pt>
                <c:pt idx="612">
                  <c:v>22576366.199999999</c:v>
                </c:pt>
                <c:pt idx="613">
                  <c:v>22647807.07</c:v>
                </c:pt>
                <c:pt idx="614">
                  <c:v>22719432.300000001</c:v>
                </c:pt>
                <c:pt idx="615">
                  <c:v>22791241.870000001</c:v>
                </c:pt>
                <c:pt idx="616">
                  <c:v>22863235.800000001</c:v>
                </c:pt>
                <c:pt idx="617">
                  <c:v>22935414.07</c:v>
                </c:pt>
                <c:pt idx="618">
                  <c:v>23007776.699999999</c:v>
                </c:pt>
                <c:pt idx="619">
                  <c:v>23080323.670000002</c:v>
                </c:pt>
                <c:pt idx="620">
                  <c:v>23153055</c:v>
                </c:pt>
                <c:pt idx="621">
                  <c:v>23225973.109999999</c:v>
                </c:pt>
                <c:pt idx="622">
                  <c:v>23299080.420000002</c:v>
                </c:pt>
                <c:pt idx="623">
                  <c:v>23372376.960000001</c:v>
                </c:pt>
                <c:pt idx="624">
                  <c:v>23445862.699999999</c:v>
                </c:pt>
                <c:pt idx="625">
                  <c:v>23519537.66</c:v>
                </c:pt>
                <c:pt idx="626">
                  <c:v>23593401.82</c:v>
                </c:pt>
                <c:pt idx="627">
                  <c:v>23667455.210000001</c:v>
                </c:pt>
                <c:pt idx="628">
                  <c:v>23741697.800000001</c:v>
                </c:pt>
                <c:pt idx="629">
                  <c:v>23816129.609999999</c:v>
                </c:pt>
                <c:pt idx="630">
                  <c:v>23890750.620000001</c:v>
                </c:pt>
                <c:pt idx="631">
                  <c:v>23965560.859999999</c:v>
                </c:pt>
                <c:pt idx="632">
                  <c:v>24040560.300000001</c:v>
                </c:pt>
                <c:pt idx="633">
                  <c:v>24115748.960000001</c:v>
                </c:pt>
                <c:pt idx="634">
                  <c:v>24191126.82</c:v>
                </c:pt>
                <c:pt idx="635">
                  <c:v>24266693.91</c:v>
                </c:pt>
                <c:pt idx="636">
                  <c:v>24342450.199999999</c:v>
                </c:pt>
                <c:pt idx="637">
                  <c:v>24418395.710000001</c:v>
                </c:pt>
                <c:pt idx="638">
                  <c:v>24494530.420000002</c:v>
                </c:pt>
                <c:pt idx="639">
                  <c:v>24570854.359999999</c:v>
                </c:pt>
                <c:pt idx="640">
                  <c:v>24647367.5</c:v>
                </c:pt>
                <c:pt idx="641">
                  <c:v>24724069.859999999</c:v>
                </c:pt>
                <c:pt idx="642">
                  <c:v>24800961.420000002</c:v>
                </c:pt>
                <c:pt idx="643">
                  <c:v>24878042.210000001</c:v>
                </c:pt>
                <c:pt idx="644">
                  <c:v>24955312.199999999</c:v>
                </c:pt>
                <c:pt idx="645">
                  <c:v>25032771.41</c:v>
                </c:pt>
                <c:pt idx="646">
                  <c:v>25110419.82</c:v>
                </c:pt>
                <c:pt idx="647">
                  <c:v>25188257.460000001</c:v>
                </c:pt>
                <c:pt idx="648">
                  <c:v>25266284.300000001</c:v>
                </c:pt>
                <c:pt idx="649">
                  <c:v>25344500.359999999</c:v>
                </c:pt>
                <c:pt idx="650">
                  <c:v>25422905.620000001</c:v>
                </c:pt>
                <c:pt idx="651">
                  <c:v>25501500.109999999</c:v>
                </c:pt>
                <c:pt idx="652">
                  <c:v>25580283.800000001</c:v>
                </c:pt>
                <c:pt idx="653">
                  <c:v>25659256.710000001</c:v>
                </c:pt>
                <c:pt idx="654">
                  <c:v>25738418.82</c:v>
                </c:pt>
                <c:pt idx="655">
                  <c:v>25817770.16</c:v>
                </c:pt>
                <c:pt idx="656">
                  <c:v>25897310.699999999</c:v>
                </c:pt>
                <c:pt idx="657">
                  <c:v>25977040.460000001</c:v>
                </c:pt>
                <c:pt idx="658">
                  <c:v>26056959.420000002</c:v>
                </c:pt>
                <c:pt idx="659">
                  <c:v>26137067.609999999</c:v>
                </c:pt>
                <c:pt idx="660">
                  <c:v>26217365</c:v>
                </c:pt>
                <c:pt idx="661">
                  <c:v>26297858.780000001</c:v>
                </c:pt>
                <c:pt idx="662">
                  <c:v>26378556.120000001</c:v>
                </c:pt>
                <c:pt idx="663">
                  <c:v>26459457.030000001</c:v>
                </c:pt>
                <c:pt idx="664">
                  <c:v>26540561.5</c:v>
                </c:pt>
                <c:pt idx="665">
                  <c:v>26621869.530000001</c:v>
                </c:pt>
                <c:pt idx="666">
                  <c:v>26703381.120000001</c:v>
                </c:pt>
                <c:pt idx="667">
                  <c:v>26785096.280000001</c:v>
                </c:pt>
                <c:pt idx="668">
                  <c:v>26867015</c:v>
                </c:pt>
                <c:pt idx="669">
                  <c:v>26949137.280000001</c:v>
                </c:pt>
                <c:pt idx="670">
                  <c:v>27031463.120000001</c:v>
                </c:pt>
                <c:pt idx="671">
                  <c:v>27113992.530000001</c:v>
                </c:pt>
                <c:pt idx="672">
                  <c:v>27196725.5</c:v>
                </c:pt>
                <c:pt idx="673">
                  <c:v>27279662.030000001</c:v>
                </c:pt>
                <c:pt idx="674">
                  <c:v>27362802.120000001</c:v>
                </c:pt>
                <c:pt idx="675">
                  <c:v>27446145.780000001</c:v>
                </c:pt>
                <c:pt idx="676">
                  <c:v>27529693</c:v>
                </c:pt>
                <c:pt idx="677">
                  <c:v>27613443.780000001</c:v>
                </c:pt>
                <c:pt idx="678">
                  <c:v>27697398.120000001</c:v>
                </c:pt>
                <c:pt idx="679">
                  <c:v>27781556.030000001</c:v>
                </c:pt>
                <c:pt idx="680">
                  <c:v>27865917.5</c:v>
                </c:pt>
                <c:pt idx="681">
                  <c:v>27950482.530000001</c:v>
                </c:pt>
                <c:pt idx="682">
                  <c:v>28035251.120000001</c:v>
                </c:pt>
                <c:pt idx="683">
                  <c:v>28120223.280000001</c:v>
                </c:pt>
              </c:numCache>
            </c:numRef>
          </c:yVal>
          <c:smooth val="0"/>
          <c:extLst>
            <c:ext xmlns:c16="http://schemas.microsoft.com/office/drawing/2014/chart" uri="{C3380CC4-5D6E-409C-BE32-E72D297353CC}">
              <c16:uniqueId val="{00000000-2A5D-4570-853B-EB1636972FC9}"/>
            </c:ext>
          </c:extLst>
        </c:ser>
        <c:dLbls>
          <c:showLegendKey val="0"/>
          <c:showVal val="0"/>
          <c:showCatName val="0"/>
          <c:showSerName val="0"/>
          <c:showPercent val="0"/>
          <c:showBubbleSize val="0"/>
        </c:dLbls>
        <c:axId val="490850072"/>
        <c:axId val="488939296"/>
      </c:scatterChart>
      <c:valAx>
        <c:axId val="490850072"/>
        <c:scaling>
          <c:orientation val="minMax"/>
          <c:max val="3750"/>
          <c:min val="3350"/>
        </c:scaling>
        <c:delete val="0"/>
        <c:axPos val="b"/>
        <c:title>
          <c:tx>
            <c:rich>
              <a:bodyPr/>
              <a:lstStyle/>
              <a:p>
                <a:pPr>
                  <a:defRPr sz="1000" b="1" i="0" u="none" strike="noStrike" baseline="0">
                    <a:solidFill>
                      <a:srgbClr val="000000"/>
                    </a:solidFill>
                    <a:latin typeface="Calibri"/>
                    <a:ea typeface="Calibri"/>
                    <a:cs typeface="Calibri"/>
                  </a:defRPr>
                </a:pPr>
                <a:r>
                  <a:rPr lang="en-US"/>
                  <a:t>Elevation (ft))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39296"/>
        <c:crosses val="autoZero"/>
        <c:crossBetween val="midCat"/>
      </c:valAx>
      <c:valAx>
        <c:axId val="488939296"/>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en-US"/>
                  <a:t>Total Volume (ac-ft)</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90850072"/>
        <c:crosses val="autoZero"/>
        <c:crossBetween val="midCat"/>
      </c:valAx>
      <c:spPr>
        <a:ln w="12700">
          <a:solidFill>
            <a:schemeClr val="tx1"/>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_rels/drawing3.xml.rels><?xml version="1.0" encoding="UTF-8" standalone="yes"?>
<Relationships xmlns="http://schemas.openxmlformats.org/package/2006/relationships"><Relationship Id="rId2" Type="http://schemas.openxmlformats.org/officeDocument/2006/relationships/chart" Target="../charts/chart10.xml"/><Relationship Id="rId1" Type="http://schemas.openxmlformats.org/officeDocument/2006/relationships/chart" Target="../charts/chart9.xml"/></Relationships>
</file>

<file path=xl/drawings/_rels/drawing4.xml.rels><?xml version="1.0" encoding="UTF-8" standalone="yes"?>
<Relationships xmlns="http://schemas.openxmlformats.org/package/2006/relationships"><Relationship Id="rId2" Type="http://schemas.openxmlformats.org/officeDocument/2006/relationships/chart" Target="../charts/chart12.xml"/><Relationship Id="rId1"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2</xdr:col>
      <xdr:colOff>22224</xdr:colOff>
      <xdr:row>1</xdr:row>
      <xdr:rowOff>122237</xdr:rowOff>
    </xdr:from>
    <xdr:to>
      <xdr:col>12</xdr:col>
      <xdr:colOff>9525</xdr:colOff>
      <xdr:row>19</xdr:row>
      <xdr:rowOff>149225</xdr:rowOff>
    </xdr:to>
    <xdr:graphicFrame macro="">
      <xdr:nvGraphicFramePr>
        <xdr:cNvPr id="2" name="Chart 1">
          <a:extLst>
            <a:ext uri="{FF2B5EF4-FFF2-40B4-BE49-F238E27FC236}">
              <a16:creationId xmlns:a16="http://schemas.microsoft.com/office/drawing/2014/main" id="{B3C2C9A7-213B-4EBE-AC1D-DFB19ED493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9525</xdr:colOff>
      <xdr:row>19</xdr:row>
      <xdr:rowOff>153987</xdr:rowOff>
    </xdr:from>
    <xdr:to>
      <xdr:col>12</xdr:col>
      <xdr:colOff>15875</xdr:colOff>
      <xdr:row>37</xdr:row>
      <xdr:rowOff>161925</xdr:rowOff>
    </xdr:to>
    <xdr:graphicFrame macro="">
      <xdr:nvGraphicFramePr>
        <xdr:cNvPr id="3" name="Chart 1">
          <a:extLst>
            <a:ext uri="{FF2B5EF4-FFF2-40B4-BE49-F238E27FC236}">
              <a16:creationId xmlns:a16="http://schemas.microsoft.com/office/drawing/2014/main" id="{7DC7EB4A-4DC5-4554-A45B-E439C570613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174624</xdr:colOff>
      <xdr:row>1</xdr:row>
      <xdr:rowOff>131762</xdr:rowOff>
    </xdr:from>
    <xdr:to>
      <xdr:col>20</xdr:col>
      <xdr:colOff>603249</xdr:colOff>
      <xdr:row>19</xdr:row>
      <xdr:rowOff>133350</xdr:rowOff>
    </xdr:to>
    <xdr:graphicFrame macro="">
      <xdr:nvGraphicFramePr>
        <xdr:cNvPr id="4" name="Chart 1">
          <a:extLst>
            <a:ext uri="{FF2B5EF4-FFF2-40B4-BE49-F238E27FC236}">
              <a16:creationId xmlns:a16="http://schemas.microsoft.com/office/drawing/2014/main" id="{507EF4FC-A4EC-4B99-A55F-B141056DB2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165099</xdr:colOff>
      <xdr:row>19</xdr:row>
      <xdr:rowOff>160337</xdr:rowOff>
    </xdr:from>
    <xdr:to>
      <xdr:col>21</xdr:col>
      <xdr:colOff>0</xdr:colOff>
      <xdr:row>38</xdr:row>
      <xdr:rowOff>66675</xdr:rowOff>
    </xdr:to>
    <xdr:graphicFrame macro="">
      <xdr:nvGraphicFramePr>
        <xdr:cNvPr id="5" name="Chart 1">
          <a:extLst>
            <a:ext uri="{FF2B5EF4-FFF2-40B4-BE49-F238E27FC236}">
              <a16:creationId xmlns:a16="http://schemas.microsoft.com/office/drawing/2014/main" id="{4147CD71-368D-40AE-A6D6-B11AC9539C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22222</xdr:colOff>
      <xdr:row>1</xdr:row>
      <xdr:rowOff>125412</xdr:rowOff>
    </xdr:from>
    <xdr:to>
      <xdr:col>14</xdr:col>
      <xdr:colOff>85725</xdr:colOff>
      <xdr:row>19</xdr:row>
      <xdr:rowOff>149225</xdr:rowOff>
    </xdr:to>
    <xdr:graphicFrame macro="">
      <xdr:nvGraphicFramePr>
        <xdr:cNvPr id="2" name="Chart 1">
          <a:extLst>
            <a:ext uri="{FF2B5EF4-FFF2-40B4-BE49-F238E27FC236}">
              <a16:creationId xmlns:a16="http://schemas.microsoft.com/office/drawing/2014/main" id="{EA89D67A-71FA-4776-8351-5D00EDED06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9524</xdr:colOff>
      <xdr:row>19</xdr:row>
      <xdr:rowOff>153987</xdr:rowOff>
    </xdr:from>
    <xdr:to>
      <xdr:col>14</xdr:col>
      <xdr:colOff>88899</xdr:colOff>
      <xdr:row>37</xdr:row>
      <xdr:rowOff>152400</xdr:rowOff>
    </xdr:to>
    <xdr:graphicFrame macro="">
      <xdr:nvGraphicFramePr>
        <xdr:cNvPr id="3" name="Chart 1">
          <a:extLst>
            <a:ext uri="{FF2B5EF4-FFF2-40B4-BE49-F238E27FC236}">
              <a16:creationId xmlns:a16="http://schemas.microsoft.com/office/drawing/2014/main" id="{AB5A7745-4161-47D1-9B43-57B4318F9F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98423</xdr:colOff>
      <xdr:row>1</xdr:row>
      <xdr:rowOff>141287</xdr:rowOff>
    </xdr:from>
    <xdr:to>
      <xdr:col>25</xdr:col>
      <xdr:colOff>247650</xdr:colOff>
      <xdr:row>19</xdr:row>
      <xdr:rowOff>142875</xdr:rowOff>
    </xdr:to>
    <xdr:graphicFrame macro="">
      <xdr:nvGraphicFramePr>
        <xdr:cNvPr id="4" name="Chart 1">
          <a:extLst>
            <a:ext uri="{FF2B5EF4-FFF2-40B4-BE49-F238E27FC236}">
              <a16:creationId xmlns:a16="http://schemas.microsoft.com/office/drawing/2014/main" id="{F52DFE0F-4483-4412-A1B6-0E67120C1E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79374</xdr:colOff>
      <xdr:row>19</xdr:row>
      <xdr:rowOff>141287</xdr:rowOff>
    </xdr:from>
    <xdr:to>
      <xdr:col>25</xdr:col>
      <xdr:colOff>219075</xdr:colOff>
      <xdr:row>38</xdr:row>
      <xdr:rowOff>47625</xdr:rowOff>
    </xdr:to>
    <xdr:graphicFrame macro="">
      <xdr:nvGraphicFramePr>
        <xdr:cNvPr id="5" name="Chart 1">
          <a:extLst>
            <a:ext uri="{FF2B5EF4-FFF2-40B4-BE49-F238E27FC236}">
              <a16:creationId xmlns:a16="http://schemas.microsoft.com/office/drawing/2014/main" id="{FF227552-0364-4F61-A2AF-EEC2BDB8B5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561975</xdr:colOff>
      <xdr:row>14</xdr:row>
      <xdr:rowOff>104775</xdr:rowOff>
    </xdr:from>
    <xdr:to>
      <xdr:col>15</xdr:col>
      <xdr:colOff>47626</xdr:colOff>
      <xdr:row>31</xdr:row>
      <xdr:rowOff>47625</xdr:rowOff>
    </xdr:to>
    <xdr:graphicFrame macro="">
      <xdr:nvGraphicFramePr>
        <xdr:cNvPr id="2" name="Chart 1">
          <a:extLst>
            <a:ext uri="{FF2B5EF4-FFF2-40B4-BE49-F238E27FC236}">
              <a16:creationId xmlns:a16="http://schemas.microsoft.com/office/drawing/2014/main" id="{4DA24C86-4CC5-48C0-A82C-C8D6035A62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581025</xdr:colOff>
      <xdr:row>31</xdr:row>
      <xdr:rowOff>142875</xdr:rowOff>
    </xdr:from>
    <xdr:to>
      <xdr:col>15</xdr:col>
      <xdr:colOff>47625</xdr:colOff>
      <xdr:row>48</xdr:row>
      <xdr:rowOff>85725</xdr:rowOff>
    </xdr:to>
    <xdr:graphicFrame macro="">
      <xdr:nvGraphicFramePr>
        <xdr:cNvPr id="3" name="Chart 2">
          <a:extLst>
            <a:ext uri="{FF2B5EF4-FFF2-40B4-BE49-F238E27FC236}">
              <a16:creationId xmlns:a16="http://schemas.microsoft.com/office/drawing/2014/main" id="{1E0D9E9B-F193-44B3-ACF9-79D0A52041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561975</xdr:colOff>
      <xdr:row>14</xdr:row>
      <xdr:rowOff>104775</xdr:rowOff>
    </xdr:from>
    <xdr:to>
      <xdr:col>12</xdr:col>
      <xdr:colOff>47626</xdr:colOff>
      <xdr:row>31</xdr:row>
      <xdr:rowOff>47625</xdr:rowOff>
    </xdr:to>
    <xdr:graphicFrame macro="">
      <xdr:nvGraphicFramePr>
        <xdr:cNvPr id="2" name="Chart 1">
          <a:extLst>
            <a:ext uri="{FF2B5EF4-FFF2-40B4-BE49-F238E27FC236}">
              <a16:creationId xmlns:a16="http://schemas.microsoft.com/office/drawing/2014/main" id="{BBAC6B85-1D12-40F7-8117-7999DD65BF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581025</xdr:colOff>
      <xdr:row>31</xdr:row>
      <xdr:rowOff>142875</xdr:rowOff>
    </xdr:from>
    <xdr:to>
      <xdr:col>12</xdr:col>
      <xdr:colOff>47625</xdr:colOff>
      <xdr:row>48</xdr:row>
      <xdr:rowOff>85725</xdr:rowOff>
    </xdr:to>
    <xdr:graphicFrame macro="">
      <xdr:nvGraphicFramePr>
        <xdr:cNvPr id="3" name="Chart 2">
          <a:extLst>
            <a:ext uri="{FF2B5EF4-FFF2-40B4-BE49-F238E27FC236}">
              <a16:creationId xmlns:a16="http://schemas.microsoft.com/office/drawing/2014/main" id="{2AE0F211-187E-4F06-A556-15B6C3E9A0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7CC9A2-4C52-453A-A3CD-EA6E59E26162}">
  <dimension ref="A1:L37"/>
  <sheetViews>
    <sheetView topLeftCell="A14" zoomScale="150" zoomScaleNormal="150" workbookViewId="0">
      <selection activeCell="B14" sqref="B14:L14"/>
    </sheetView>
  </sheetViews>
  <sheetFormatPr defaultRowHeight="14.5" x14ac:dyDescent="0.35"/>
  <cols>
    <col min="1" max="1" width="3.54296875" customWidth="1"/>
    <col min="2" max="2" width="35.81640625" customWidth="1"/>
    <col min="3" max="3" width="7.81640625" customWidth="1"/>
    <col min="4" max="4" width="7" style="2" customWidth="1"/>
    <col min="5" max="5" width="7.54296875" customWidth="1"/>
    <col min="6" max="6" width="7.26953125" customWidth="1"/>
    <col min="7" max="7" width="7.6328125" customWidth="1"/>
    <col min="8" max="8" width="7.08984375" customWidth="1"/>
    <col min="9" max="9" width="7.36328125" customWidth="1"/>
    <col min="10" max="10" width="7.7265625" customWidth="1"/>
  </cols>
  <sheetData>
    <row r="1" spans="1:12" x14ac:dyDescent="0.35">
      <c r="A1" s="1" t="s">
        <v>110</v>
      </c>
      <c r="B1" s="1"/>
      <c r="C1" s="2"/>
      <c r="D1"/>
    </row>
    <row r="2" spans="1:12" x14ac:dyDescent="0.35">
      <c r="A2" s="1"/>
      <c r="B2" s="1"/>
      <c r="C2" s="2"/>
      <c r="D2"/>
    </row>
    <row r="3" spans="1:12" x14ac:dyDescent="0.35">
      <c r="A3" s="1" t="s">
        <v>38</v>
      </c>
      <c r="B3" s="1"/>
      <c r="C3" s="2"/>
      <c r="D3"/>
    </row>
    <row r="4" spans="1:12" ht="187.5" customHeight="1" x14ac:dyDescent="0.35">
      <c r="A4" s="86" t="s">
        <v>171</v>
      </c>
      <c r="B4" s="86"/>
      <c r="C4" s="86"/>
      <c r="D4" s="86"/>
      <c r="E4" s="86"/>
      <c r="F4" s="86"/>
      <c r="G4" s="86"/>
      <c r="H4" s="86"/>
      <c r="I4" s="86"/>
      <c r="J4" s="86"/>
      <c r="K4" s="86"/>
      <c r="L4" s="86"/>
    </row>
    <row r="5" spans="1:12" ht="13.5" customHeight="1" x14ac:dyDescent="0.35">
      <c r="B5" s="15"/>
      <c r="C5" s="15"/>
      <c r="D5" s="15"/>
      <c r="E5" s="15"/>
      <c r="F5" s="15"/>
      <c r="G5" s="15"/>
      <c r="H5" s="15"/>
      <c r="I5" s="15"/>
      <c r="J5" s="15"/>
      <c r="K5" s="15"/>
      <c r="L5" s="15"/>
    </row>
    <row r="6" spans="1:12" ht="16.5" customHeight="1" x14ac:dyDescent="0.35">
      <c r="A6" s="90" t="s">
        <v>109</v>
      </c>
      <c r="B6" s="91"/>
      <c r="C6" s="91"/>
      <c r="D6" s="91"/>
      <c r="E6" s="91"/>
      <c r="F6" s="91"/>
      <c r="G6" s="91"/>
      <c r="H6" s="91"/>
      <c r="I6" s="91"/>
      <c r="J6" s="91"/>
      <c r="K6" s="91"/>
      <c r="L6" s="92"/>
    </row>
    <row r="7" spans="1:12" ht="16.5" customHeight="1" x14ac:dyDescent="0.35">
      <c r="A7" s="28">
        <v>1</v>
      </c>
      <c r="B7" s="87" t="s">
        <v>148</v>
      </c>
      <c r="C7" s="87"/>
      <c r="D7" s="87"/>
      <c r="E7" s="87"/>
      <c r="F7" s="87"/>
      <c r="G7" s="87"/>
      <c r="H7" s="87"/>
      <c r="I7" s="87"/>
      <c r="J7" s="87"/>
      <c r="K7" s="87"/>
      <c r="L7" s="88"/>
    </row>
    <row r="8" spans="1:12" ht="16.5" customHeight="1" x14ac:dyDescent="0.35">
      <c r="A8" s="28">
        <v>2</v>
      </c>
      <c r="B8" s="87" t="s">
        <v>93</v>
      </c>
      <c r="C8" s="87"/>
      <c r="D8" s="87"/>
      <c r="E8" s="87"/>
      <c r="F8" s="87"/>
      <c r="G8" s="87"/>
      <c r="H8" s="87"/>
      <c r="I8" s="87"/>
      <c r="J8" s="87"/>
      <c r="K8" s="87"/>
      <c r="L8" s="88"/>
    </row>
    <row r="9" spans="1:12" ht="31" customHeight="1" x14ac:dyDescent="0.35">
      <c r="A9" s="28">
        <v>3</v>
      </c>
      <c r="B9" s="87" t="s">
        <v>170</v>
      </c>
      <c r="C9" s="87"/>
      <c r="D9" s="87"/>
      <c r="E9" s="87"/>
      <c r="F9" s="87"/>
      <c r="G9" s="87"/>
      <c r="H9" s="87"/>
      <c r="I9" s="87"/>
      <c r="J9" s="87"/>
      <c r="K9" s="87"/>
      <c r="L9" s="88"/>
    </row>
    <row r="10" spans="1:12" ht="32.5" customHeight="1" x14ac:dyDescent="0.35">
      <c r="A10" s="28">
        <v>4</v>
      </c>
      <c r="B10" s="87" t="s">
        <v>172</v>
      </c>
      <c r="C10" s="87"/>
      <c r="D10" s="87"/>
      <c r="E10" s="87"/>
      <c r="F10" s="87"/>
      <c r="G10" s="87"/>
      <c r="H10" s="87"/>
      <c r="I10" s="87"/>
      <c r="J10" s="87"/>
      <c r="K10" s="87"/>
      <c r="L10" s="88"/>
    </row>
    <row r="11" spans="1:12" ht="16.5" customHeight="1" x14ac:dyDescent="0.35">
      <c r="A11" s="28">
        <v>5</v>
      </c>
      <c r="B11" s="87" t="s">
        <v>173</v>
      </c>
      <c r="C11" s="87"/>
      <c r="D11" s="87"/>
      <c r="E11" s="87"/>
      <c r="F11" s="87"/>
      <c r="G11" s="87"/>
      <c r="H11" s="87"/>
      <c r="I11" s="87"/>
      <c r="J11" s="87"/>
      <c r="K11" s="87"/>
      <c r="L11" s="88"/>
    </row>
    <row r="12" spans="1:12" ht="16.5" customHeight="1" x14ac:dyDescent="0.35">
      <c r="A12" s="28">
        <v>6</v>
      </c>
      <c r="B12" s="87" t="s">
        <v>174</v>
      </c>
      <c r="C12" s="87"/>
      <c r="D12" s="87"/>
      <c r="E12" s="87"/>
      <c r="F12" s="87"/>
      <c r="G12" s="87"/>
      <c r="H12" s="87"/>
      <c r="I12" s="87"/>
      <c r="J12" s="87"/>
      <c r="K12" s="87"/>
      <c r="L12" s="88"/>
    </row>
    <row r="13" spans="1:12" ht="47" customHeight="1" x14ac:dyDescent="0.35">
      <c r="A13" s="28">
        <v>7</v>
      </c>
      <c r="B13" s="87" t="s">
        <v>175</v>
      </c>
      <c r="C13" s="87"/>
      <c r="D13" s="87"/>
      <c r="E13" s="87"/>
      <c r="F13" s="87"/>
      <c r="G13" s="87"/>
      <c r="H13" s="87"/>
      <c r="I13" s="87"/>
      <c r="J13" s="87"/>
      <c r="K13" s="87"/>
      <c r="L13" s="88"/>
    </row>
    <row r="14" spans="1:12" ht="32.5" customHeight="1" x14ac:dyDescent="0.35">
      <c r="A14" s="28">
        <v>8</v>
      </c>
      <c r="B14" s="87" t="s">
        <v>177</v>
      </c>
      <c r="C14" s="87"/>
      <c r="D14" s="87"/>
      <c r="E14" s="87"/>
      <c r="F14" s="87"/>
      <c r="G14" s="87"/>
      <c r="H14" s="87"/>
      <c r="I14" s="87"/>
      <c r="J14" s="87"/>
      <c r="K14" s="87"/>
      <c r="L14" s="88"/>
    </row>
    <row r="15" spans="1:12" ht="16.5" customHeight="1" x14ac:dyDescent="0.35">
      <c r="A15" s="28">
        <v>9</v>
      </c>
      <c r="B15" s="87" t="s">
        <v>176</v>
      </c>
      <c r="C15" s="87"/>
      <c r="D15" s="87"/>
      <c r="E15" s="87"/>
      <c r="F15" s="87"/>
      <c r="G15" s="87"/>
      <c r="H15" s="87"/>
      <c r="I15" s="87"/>
      <c r="J15" s="87"/>
      <c r="K15" s="87"/>
      <c r="L15" s="88"/>
    </row>
    <row r="16" spans="1:12" ht="16.5" customHeight="1" x14ac:dyDescent="0.35">
      <c r="A16" s="28">
        <v>10</v>
      </c>
      <c r="B16" s="87" t="s">
        <v>178</v>
      </c>
      <c r="C16" s="87"/>
      <c r="D16" s="87"/>
      <c r="E16" s="87"/>
      <c r="F16" s="87"/>
      <c r="G16" s="87"/>
      <c r="H16" s="87"/>
      <c r="I16" s="87"/>
      <c r="J16" s="87"/>
      <c r="K16" s="87"/>
      <c r="L16" s="88"/>
    </row>
    <row r="17" spans="1:12" ht="32" customHeight="1" x14ac:dyDescent="0.35">
      <c r="A17" s="28">
        <v>11</v>
      </c>
      <c r="B17" s="87" t="s">
        <v>179</v>
      </c>
      <c r="C17" s="87"/>
      <c r="D17" s="87"/>
      <c r="E17" s="87"/>
      <c r="F17" s="87"/>
      <c r="G17" s="87"/>
      <c r="H17" s="87"/>
      <c r="I17" s="87"/>
      <c r="J17" s="87"/>
      <c r="K17" s="87"/>
      <c r="L17" s="88"/>
    </row>
    <row r="18" spans="1:12" ht="16.5" customHeight="1" x14ac:dyDescent="0.35">
      <c r="A18" s="28">
        <v>12</v>
      </c>
      <c r="B18" s="93" t="s">
        <v>149</v>
      </c>
      <c r="C18" s="93"/>
      <c r="D18" s="93"/>
      <c r="E18" s="93"/>
      <c r="F18" s="93"/>
      <c r="G18" s="93"/>
      <c r="H18" s="93"/>
      <c r="I18" s="93"/>
      <c r="J18" s="93"/>
      <c r="K18" s="93"/>
      <c r="L18" s="94"/>
    </row>
    <row r="19" spans="1:12" ht="32" customHeight="1" x14ac:dyDescent="0.35">
      <c r="A19" s="28">
        <v>13</v>
      </c>
      <c r="B19" s="95" t="s">
        <v>150</v>
      </c>
      <c r="C19" s="95"/>
      <c r="D19" s="95"/>
      <c r="E19" s="95"/>
      <c r="F19" s="95"/>
      <c r="G19" s="95"/>
      <c r="H19" s="95"/>
      <c r="I19" s="95"/>
      <c r="J19" s="95"/>
      <c r="K19" s="95"/>
      <c r="L19" s="96"/>
    </row>
    <row r="20" spans="1:12" ht="16.5" customHeight="1" x14ac:dyDescent="0.35">
      <c r="B20" s="26"/>
      <c r="C20" s="26"/>
      <c r="D20" s="26"/>
      <c r="E20" s="26"/>
      <c r="F20" s="26"/>
      <c r="G20" s="26"/>
      <c r="H20" s="26"/>
      <c r="I20" s="26"/>
      <c r="J20" s="26"/>
      <c r="K20" s="26"/>
      <c r="L20" s="26"/>
    </row>
    <row r="21" spans="1:12" x14ac:dyDescent="0.35">
      <c r="A21" s="1" t="s">
        <v>94</v>
      </c>
    </row>
    <row r="22" spans="1:12" x14ac:dyDescent="0.35">
      <c r="B22" s="2" t="s">
        <v>95</v>
      </c>
      <c r="C22" t="s">
        <v>194</v>
      </c>
    </row>
    <row r="23" spans="1:12" x14ac:dyDescent="0.35">
      <c r="B23" s="2" t="s">
        <v>204</v>
      </c>
      <c r="C23" t="s">
        <v>205</v>
      </c>
    </row>
    <row r="24" spans="1:12" x14ac:dyDescent="0.35">
      <c r="B24" s="2" t="s">
        <v>143</v>
      </c>
      <c r="C24" t="s">
        <v>195</v>
      </c>
    </row>
    <row r="25" spans="1:12" x14ac:dyDescent="0.35">
      <c r="B25" s="2" t="s">
        <v>202</v>
      </c>
      <c r="C25" t="s">
        <v>203</v>
      </c>
    </row>
    <row r="26" spans="1:12" x14ac:dyDescent="0.35">
      <c r="B26" s="2" t="s">
        <v>144</v>
      </c>
      <c r="C26" t="s">
        <v>152</v>
      </c>
    </row>
    <row r="27" spans="1:12" x14ac:dyDescent="0.35">
      <c r="B27" s="2" t="s">
        <v>146</v>
      </c>
      <c r="C27" t="s">
        <v>153</v>
      </c>
    </row>
    <row r="28" spans="1:12" x14ac:dyDescent="0.35">
      <c r="B28" s="2" t="s">
        <v>196</v>
      </c>
      <c r="C28" t="s">
        <v>197</v>
      </c>
    </row>
    <row r="29" spans="1:12" x14ac:dyDescent="0.35">
      <c r="B29" s="2" t="s">
        <v>191</v>
      </c>
      <c r="C29" t="s">
        <v>154</v>
      </c>
    </row>
    <row r="30" spans="1:12" x14ac:dyDescent="0.35">
      <c r="B30" s="2" t="s">
        <v>198</v>
      </c>
      <c r="C30" t="s">
        <v>199</v>
      </c>
    </row>
    <row r="31" spans="1:12" x14ac:dyDescent="0.35">
      <c r="B31" s="2" t="s">
        <v>192</v>
      </c>
      <c r="C31" t="s">
        <v>193</v>
      </c>
    </row>
    <row r="32" spans="1:12" x14ac:dyDescent="0.35">
      <c r="B32" s="2" t="s">
        <v>96</v>
      </c>
      <c r="C32" t="s">
        <v>97</v>
      </c>
    </row>
    <row r="33" spans="1:12" x14ac:dyDescent="0.35">
      <c r="B33" s="2" t="s">
        <v>98</v>
      </c>
      <c r="C33" t="s">
        <v>99</v>
      </c>
    </row>
    <row r="34" spans="1:12" x14ac:dyDescent="0.35">
      <c r="B34" s="2" t="s">
        <v>155</v>
      </c>
      <c r="C34" t="s">
        <v>156</v>
      </c>
    </row>
    <row r="36" spans="1:12" x14ac:dyDescent="0.35">
      <c r="A36" s="1" t="s">
        <v>50</v>
      </c>
    </row>
    <row r="37" spans="1:12" ht="30.5" customHeight="1" x14ac:dyDescent="0.35">
      <c r="A37" s="89" t="s">
        <v>151</v>
      </c>
      <c r="B37" s="89"/>
      <c r="C37" s="89"/>
      <c r="D37" s="89"/>
      <c r="E37" s="89"/>
      <c r="F37" s="89"/>
      <c r="G37" s="89"/>
      <c r="H37" s="89"/>
      <c r="I37" s="89"/>
      <c r="J37" s="89"/>
      <c r="K37" s="89"/>
      <c r="L37" s="89"/>
    </row>
  </sheetData>
  <mergeCells count="16">
    <mergeCell ref="A37:L37"/>
    <mergeCell ref="A6:L6"/>
    <mergeCell ref="B10:L10"/>
    <mergeCell ref="B7:L7"/>
    <mergeCell ref="B8:L8"/>
    <mergeCell ref="B15:L15"/>
    <mergeCell ref="B16:L16"/>
    <mergeCell ref="B17:L17"/>
    <mergeCell ref="B18:L18"/>
    <mergeCell ref="B19:L19"/>
    <mergeCell ref="B14:L14"/>
    <mergeCell ref="A4:L4"/>
    <mergeCell ref="B9:L9"/>
    <mergeCell ref="B11:L11"/>
    <mergeCell ref="B12:L12"/>
    <mergeCell ref="B13:L13"/>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1B003B-3255-4A90-8C7C-FB79680D879D}">
  <dimension ref="G1:Y1"/>
  <sheetViews>
    <sheetView topLeftCell="C1" workbookViewId="0">
      <selection activeCell="P1" sqref="P1:Y1"/>
    </sheetView>
  </sheetViews>
  <sheetFormatPr defaultRowHeight="14.5" x14ac:dyDescent="0.35"/>
  <cols>
    <col min="7" max="7" width="7.90625" customWidth="1"/>
  </cols>
  <sheetData>
    <row r="1" spans="7:25" ht="36" x14ac:dyDescent="0.8">
      <c r="G1" s="48" t="s">
        <v>40</v>
      </c>
      <c r="P1" s="104" t="s">
        <v>41</v>
      </c>
      <c r="Q1" s="104"/>
      <c r="R1" s="104"/>
      <c r="S1" s="104"/>
      <c r="T1" s="104"/>
      <c r="U1" s="104"/>
      <c r="V1" s="104"/>
      <c r="W1" s="104"/>
      <c r="X1" s="104"/>
      <c r="Y1" s="104"/>
    </row>
  </sheetData>
  <mergeCells count="1">
    <mergeCell ref="P1:Y1"/>
  </mergeCell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418F77-0822-4F91-8385-82FEF379CE79}">
  <dimension ref="A1:U95"/>
  <sheetViews>
    <sheetView topLeftCell="A25" zoomScale="150" zoomScaleNormal="150" workbookViewId="0">
      <selection activeCell="B30" sqref="B30"/>
    </sheetView>
  </sheetViews>
  <sheetFormatPr defaultRowHeight="14.5" x14ac:dyDescent="0.35"/>
  <cols>
    <col min="1" max="1" width="37.36328125" customWidth="1"/>
    <col min="2" max="2" width="7.81640625" customWidth="1"/>
    <col min="3" max="3" width="8" style="2" customWidth="1"/>
    <col min="4" max="4" width="7.54296875" customWidth="1"/>
    <col min="5" max="5" width="7.26953125" customWidth="1"/>
    <col min="6" max="6" width="7.6328125" customWidth="1"/>
    <col min="7" max="7" width="7.08984375" customWidth="1"/>
    <col min="8" max="8" width="7.36328125" customWidth="1"/>
    <col min="9" max="9" width="7.7265625" customWidth="1"/>
    <col min="10" max="12" width="8.7265625" customWidth="1"/>
    <col min="13" max="13" width="10.81640625" customWidth="1"/>
    <col min="14" max="14" width="12.26953125" customWidth="1"/>
    <col min="15" max="15" width="13" customWidth="1"/>
    <col min="16" max="16" width="9.81640625" customWidth="1"/>
    <col min="17" max="17" width="10.81640625" customWidth="1"/>
    <col min="18" max="18" width="21.6328125" customWidth="1"/>
    <col min="21" max="21" width="12.1796875" customWidth="1"/>
  </cols>
  <sheetData>
    <row r="1" spans="1:11" x14ac:dyDescent="0.35">
      <c r="A1" s="1" t="s">
        <v>110</v>
      </c>
      <c r="B1" s="1"/>
    </row>
    <row r="2" spans="1:11" x14ac:dyDescent="0.35">
      <c r="A2" s="1"/>
      <c r="B2" s="1"/>
    </row>
    <row r="3" spans="1:11" ht="32" customHeight="1" x14ac:dyDescent="0.35">
      <c r="A3" s="98" t="s">
        <v>169</v>
      </c>
      <c r="B3" s="98"/>
      <c r="C3" s="98"/>
      <c r="D3" s="98"/>
      <c r="E3" s="98"/>
      <c r="F3" s="98"/>
      <c r="G3" s="98"/>
      <c r="H3" s="63"/>
      <c r="I3" s="63"/>
      <c r="J3" s="63"/>
      <c r="K3" s="63"/>
    </row>
    <row r="4" spans="1:11" x14ac:dyDescent="0.35">
      <c r="A4" s="64" t="s">
        <v>39</v>
      </c>
      <c r="B4" s="64" t="s">
        <v>43</v>
      </c>
      <c r="C4" s="99" t="s">
        <v>44</v>
      </c>
      <c r="D4" s="100"/>
      <c r="E4" s="100"/>
      <c r="F4" s="100"/>
      <c r="G4" s="101"/>
    </row>
    <row r="5" spans="1:11" x14ac:dyDescent="0.35">
      <c r="A5" s="65" t="s">
        <v>52</v>
      </c>
      <c r="B5" s="65"/>
      <c r="C5" s="102"/>
      <c r="D5" s="102"/>
      <c r="E5" s="102"/>
      <c r="F5" s="102"/>
      <c r="G5" s="102"/>
    </row>
    <row r="6" spans="1:11" x14ac:dyDescent="0.35">
      <c r="A6" s="66" t="s">
        <v>40</v>
      </c>
      <c r="B6" s="66" t="s">
        <v>184</v>
      </c>
      <c r="C6" s="103" t="s">
        <v>183</v>
      </c>
      <c r="D6" s="103"/>
      <c r="E6" s="103"/>
      <c r="F6" s="103"/>
      <c r="G6" s="103"/>
    </row>
    <row r="7" spans="1:11" x14ac:dyDescent="0.35">
      <c r="A7" s="66" t="s">
        <v>41</v>
      </c>
      <c r="B7" s="66" t="s">
        <v>184</v>
      </c>
      <c r="C7" s="97" t="s">
        <v>181</v>
      </c>
      <c r="D7" s="97"/>
      <c r="E7" s="97"/>
      <c r="F7" s="97"/>
      <c r="G7" s="97"/>
    </row>
    <row r="8" spans="1:11" x14ac:dyDescent="0.35">
      <c r="A8" s="66" t="s">
        <v>42</v>
      </c>
      <c r="B8" s="66" t="s">
        <v>184</v>
      </c>
      <c r="C8" s="103" t="s">
        <v>183</v>
      </c>
      <c r="D8" s="103"/>
      <c r="E8" s="103"/>
      <c r="F8" s="103"/>
      <c r="G8" s="103"/>
    </row>
    <row r="9" spans="1:11" x14ac:dyDescent="0.35">
      <c r="A9" s="66" t="s">
        <v>165</v>
      </c>
      <c r="B9" s="66" t="s">
        <v>184</v>
      </c>
      <c r="C9" s="97" t="s">
        <v>182</v>
      </c>
      <c r="D9" s="97"/>
      <c r="E9" s="97"/>
      <c r="F9" s="97"/>
      <c r="G9" s="97"/>
    </row>
    <row r="10" spans="1:11" x14ac:dyDescent="0.35">
      <c r="A10" s="66" t="s">
        <v>166</v>
      </c>
      <c r="B10" s="66" t="s">
        <v>184</v>
      </c>
      <c r="C10" s="97" t="s">
        <v>180</v>
      </c>
      <c r="D10" s="97"/>
      <c r="E10" s="97"/>
      <c r="F10" s="97"/>
      <c r="G10" s="97"/>
    </row>
    <row r="11" spans="1:11" x14ac:dyDescent="0.35">
      <c r="A11" s="66"/>
      <c r="B11" s="66"/>
      <c r="C11" s="97"/>
      <c r="D11" s="97"/>
      <c r="E11" s="97"/>
      <c r="F11" s="97"/>
      <c r="G11" s="97"/>
    </row>
    <row r="12" spans="1:11" x14ac:dyDescent="0.35">
      <c r="A12" s="16"/>
      <c r="B12" s="2"/>
      <c r="C12"/>
    </row>
    <row r="13" spans="1:11" x14ac:dyDescent="0.35">
      <c r="A13" s="19" t="s">
        <v>46</v>
      </c>
      <c r="B13" s="2"/>
      <c r="C13"/>
    </row>
    <row r="14" spans="1:11" x14ac:dyDescent="0.35">
      <c r="A14" s="20" t="s">
        <v>53</v>
      </c>
    </row>
    <row r="15" spans="1:11" x14ac:dyDescent="0.35">
      <c r="A15" s="22" t="s">
        <v>48</v>
      </c>
      <c r="B15" s="19"/>
    </row>
    <row r="16" spans="1:11" x14ac:dyDescent="0.35">
      <c r="A16" s="21" t="s">
        <v>47</v>
      </c>
    </row>
    <row r="18" spans="1:14" x14ac:dyDescent="0.35">
      <c r="A18" s="1" t="s">
        <v>54</v>
      </c>
      <c r="D18" s="20" t="s">
        <v>185</v>
      </c>
    </row>
    <row r="20" spans="1:14" x14ac:dyDescent="0.35">
      <c r="A20" s="1" t="s">
        <v>32</v>
      </c>
      <c r="B20" s="1" t="s">
        <v>112</v>
      </c>
      <c r="C20" s="13" t="s">
        <v>113</v>
      </c>
    </row>
    <row r="21" spans="1:14" x14ac:dyDescent="0.35">
      <c r="A21" t="s">
        <v>111</v>
      </c>
      <c r="B21" s="12">
        <v>5.73</v>
      </c>
      <c r="C21" s="12">
        <v>6</v>
      </c>
      <c r="D21" s="23" t="s">
        <v>114</v>
      </c>
    </row>
    <row r="22" spans="1:14" x14ac:dyDescent="0.35">
      <c r="A22" t="s">
        <v>145</v>
      </c>
      <c r="B22" s="12">
        <v>11</v>
      </c>
      <c r="C22" s="12">
        <v>10.1</v>
      </c>
      <c r="D22" s="11" t="s">
        <v>34</v>
      </c>
    </row>
    <row r="24" spans="1:14" s="1" customFormat="1" x14ac:dyDescent="0.35">
      <c r="A24" s="57" t="s">
        <v>35</v>
      </c>
      <c r="B24" s="57" t="s">
        <v>49</v>
      </c>
      <c r="C24" s="58" t="s">
        <v>5</v>
      </c>
      <c r="D24" s="58" t="s">
        <v>6</v>
      </c>
      <c r="E24" s="58" t="s">
        <v>7</v>
      </c>
      <c r="F24" s="58" t="s">
        <v>8</v>
      </c>
      <c r="G24" s="58" t="s">
        <v>9</v>
      </c>
      <c r="H24" s="58" t="s">
        <v>10</v>
      </c>
      <c r="I24" s="58" t="s">
        <v>11</v>
      </c>
      <c r="J24" s="58" t="s">
        <v>12</v>
      </c>
      <c r="K24" s="58" t="s">
        <v>36</v>
      </c>
      <c r="L24" s="58" t="s">
        <v>37</v>
      </c>
      <c r="M24" s="58" t="s">
        <v>108</v>
      </c>
      <c r="N24" s="58" t="s">
        <v>221</v>
      </c>
    </row>
    <row r="25" spans="1:14" x14ac:dyDescent="0.35">
      <c r="A25" s="1" t="s">
        <v>45</v>
      </c>
      <c r="B25" s="1"/>
      <c r="C25" s="45">
        <v>12.4</v>
      </c>
      <c r="D25" s="45">
        <f>C25</f>
        <v>12.4</v>
      </c>
      <c r="E25" s="45">
        <f t="shared" ref="E25:L25" si="0">D25</f>
        <v>12.4</v>
      </c>
      <c r="F25" s="45">
        <f t="shared" si="0"/>
        <v>12.4</v>
      </c>
      <c r="G25" s="45">
        <f t="shared" si="0"/>
        <v>12.4</v>
      </c>
      <c r="H25" s="45">
        <f t="shared" si="0"/>
        <v>12.4</v>
      </c>
      <c r="I25" s="45">
        <v>14.4</v>
      </c>
      <c r="J25" s="45">
        <f t="shared" si="0"/>
        <v>14.4</v>
      </c>
      <c r="K25" s="45">
        <f t="shared" si="0"/>
        <v>14.4</v>
      </c>
      <c r="L25" s="45">
        <f t="shared" si="0"/>
        <v>14.4</v>
      </c>
    </row>
    <row r="26" spans="1:14" x14ac:dyDescent="0.35">
      <c r="A26" s="1" t="s">
        <v>123</v>
      </c>
      <c r="B26" s="1"/>
      <c r="C26" s="12">
        <f>IF(C$25&lt;&gt;"",0.8,"")</f>
        <v>0.8</v>
      </c>
      <c r="D26" s="12">
        <f t="shared" ref="D26:L26" si="1">IF(D$25&lt;&gt;"",0.8,"")</f>
        <v>0.8</v>
      </c>
      <c r="E26" s="12">
        <f t="shared" si="1"/>
        <v>0.8</v>
      </c>
      <c r="F26" s="12">
        <f t="shared" si="1"/>
        <v>0.8</v>
      </c>
      <c r="G26" s="12">
        <f t="shared" si="1"/>
        <v>0.8</v>
      </c>
      <c r="H26" s="12">
        <f t="shared" si="1"/>
        <v>0.8</v>
      </c>
      <c r="I26" s="12">
        <f t="shared" si="1"/>
        <v>0.8</v>
      </c>
      <c r="J26" s="12">
        <f t="shared" si="1"/>
        <v>0.8</v>
      </c>
      <c r="K26" s="12">
        <f t="shared" si="1"/>
        <v>0.8</v>
      </c>
      <c r="L26" s="12">
        <f t="shared" si="1"/>
        <v>0.8</v>
      </c>
    </row>
    <row r="27" spans="1:14" x14ac:dyDescent="0.35">
      <c r="A27" s="1" t="s">
        <v>126</v>
      </c>
      <c r="B27" s="14">
        <f>SUM(B28:B33)-SUM(B22:C22)</f>
        <v>0</v>
      </c>
      <c r="C27" s="14">
        <f>IF(C$25&lt;&gt;"",SUM(B22:C22),"")</f>
        <v>21.1</v>
      </c>
      <c r="D27" s="14">
        <f>IF(D$25&lt;&gt;"",C89,"")</f>
        <v>20.117643553511979</v>
      </c>
      <c r="E27" s="14">
        <f t="shared" ref="E27:L27" si="2">IF(E$25&lt;&gt;"",D89,"")</f>
        <v>19.204495019067537</v>
      </c>
      <c r="F27" s="14">
        <f t="shared" si="2"/>
        <v>18.358018351336455</v>
      </c>
      <c r="G27" s="14">
        <f t="shared" si="2"/>
        <v>17.582444867390837</v>
      </c>
      <c r="H27" s="14">
        <f t="shared" si="2"/>
        <v>16.830213058945226</v>
      </c>
      <c r="I27" s="14">
        <f t="shared" si="2"/>
        <v>16.058466871865658</v>
      </c>
      <c r="J27" s="14">
        <f t="shared" si="2"/>
        <v>17.354661447421812</v>
      </c>
      <c r="K27" s="14">
        <f t="shared" si="2"/>
        <v>18.609850197476796</v>
      </c>
      <c r="L27" s="14">
        <f t="shared" si="2"/>
        <v>19.762702898839898</v>
      </c>
    </row>
    <row r="28" spans="1:14" x14ac:dyDescent="0.35">
      <c r="A28" t="str">
        <f>IF(A6="","","    "&amp;A6&amp;" Balance")</f>
        <v xml:space="preserve">    Upper Basin Balance</v>
      </c>
      <c r="B28" s="55">
        <f>B22</f>
        <v>11</v>
      </c>
      <c r="C28" s="14">
        <f>IF(OR(C$25="",$A28=""),"",B28)</f>
        <v>11</v>
      </c>
      <c r="D28" s="14">
        <f>IF(OR(D$25="",$A28=""),"",C83)</f>
        <v>10.432257133649305</v>
      </c>
      <c r="E28" s="14">
        <f t="shared" ref="E28:L28" si="3">IF(OR(E$25="",$A28=""),"",D83)</f>
        <v>9.8829965026836284</v>
      </c>
      <c r="F28" s="14">
        <f t="shared" si="3"/>
        <v>9.3505351032260542</v>
      </c>
      <c r="G28" s="14">
        <f t="shared" si="3"/>
        <v>8.8366866013245442</v>
      </c>
      <c r="H28" s="14">
        <f t="shared" si="3"/>
        <v>8.340922317583896</v>
      </c>
      <c r="I28" s="14">
        <f t="shared" si="3"/>
        <v>7.8638282205688048</v>
      </c>
      <c r="J28" s="14">
        <f t="shared" si="3"/>
        <v>9.403592011244001</v>
      </c>
      <c r="K28" s="14">
        <f t="shared" si="3"/>
        <v>10.875853247459819</v>
      </c>
      <c r="L28" s="14">
        <f t="shared" si="3"/>
        <v>12.287183355972239</v>
      </c>
      <c r="N28" t="s">
        <v>222</v>
      </c>
    </row>
    <row r="29" spans="1:14" x14ac:dyDescent="0.35">
      <c r="A29" t="str">
        <f t="shared" ref="A29:A33" si="4">IF(A7="","","    "&amp;A7&amp;" Balance")</f>
        <v xml:space="preserve">    Lower Basin Balance</v>
      </c>
      <c r="B29" s="55">
        <f>C22-B30</f>
        <v>10.058999999999999</v>
      </c>
      <c r="C29" s="14">
        <f t="shared" ref="C29:C33" si="5">IF(OR(C$25="",$A29=""),"",B29)</f>
        <v>10.058999999999999</v>
      </c>
      <c r="D29" s="14">
        <f t="shared" ref="D29:L33" si="6">IF(OR(D$25="",$A29=""),"",C84)</f>
        <v>9.6698308643071194</v>
      </c>
      <c r="E29" s="14">
        <f t="shared" si="6"/>
        <v>9.2911542201348674</v>
      </c>
      <c r="F29" s="14">
        <f t="shared" si="6"/>
        <v>9.0074832481104004</v>
      </c>
      <c r="G29" s="14">
        <f t="shared" si="6"/>
        <v>8.7302027105107385</v>
      </c>
      <c r="H29" s="14">
        <f t="shared" si="6"/>
        <v>8.4589907311455086</v>
      </c>
      <c r="I29" s="14">
        <f t="shared" si="6"/>
        <v>8.1946386512968523</v>
      </c>
      <c r="J29" s="14">
        <f t="shared" si="6"/>
        <v>7.9355138806222554</v>
      </c>
      <c r="K29" s="14">
        <f t="shared" si="6"/>
        <v>7.7037009343720735</v>
      </c>
      <c r="L29" s="14">
        <f t="shared" si="6"/>
        <v>7.4755195428676595</v>
      </c>
      <c r="N29" t="s">
        <v>223</v>
      </c>
    </row>
    <row r="30" spans="1:14" x14ac:dyDescent="0.35">
      <c r="A30" t="str">
        <f t="shared" si="4"/>
        <v xml:space="preserve">    Mexico Balance</v>
      </c>
      <c r="B30" s="56">
        <v>4.1000000000000002E-2</v>
      </c>
      <c r="C30" s="59">
        <f t="shared" si="5"/>
        <v>4.1000000000000002E-2</v>
      </c>
      <c r="D30" s="59">
        <f t="shared" si="6"/>
        <v>0</v>
      </c>
      <c r="E30" s="59">
        <f t="shared" si="6"/>
        <v>0</v>
      </c>
      <c r="F30" s="59">
        <f t="shared" si="6"/>
        <v>0</v>
      </c>
      <c r="G30" s="59">
        <f t="shared" si="6"/>
        <v>0</v>
      </c>
      <c r="H30" s="59">
        <f t="shared" si="6"/>
        <v>0</v>
      </c>
      <c r="I30" s="59">
        <f t="shared" si="6"/>
        <v>0</v>
      </c>
      <c r="J30" s="59">
        <f t="shared" si="6"/>
        <v>0</v>
      </c>
      <c r="K30" s="59">
        <f t="shared" si="6"/>
        <v>0</v>
      </c>
      <c r="L30" s="59">
        <f t="shared" si="6"/>
        <v>0</v>
      </c>
      <c r="N30" t="s">
        <v>224</v>
      </c>
    </row>
    <row r="31" spans="1:14" x14ac:dyDescent="0.35">
      <c r="A31" t="str">
        <f t="shared" si="4"/>
        <v xml:space="preserve">    Mohave &amp; Havasu Evap &amp; ET Balance</v>
      </c>
      <c r="B31" s="56">
        <v>0</v>
      </c>
      <c r="C31" s="14">
        <f t="shared" si="5"/>
        <v>0</v>
      </c>
      <c r="D31" s="14">
        <f t="shared" si="6"/>
        <v>0</v>
      </c>
      <c r="E31" s="14">
        <f t="shared" si="6"/>
        <v>0</v>
      </c>
      <c r="F31" s="14">
        <f t="shared" si="6"/>
        <v>0</v>
      </c>
      <c r="G31" s="14">
        <f t="shared" si="6"/>
        <v>0</v>
      </c>
      <c r="H31" s="14">
        <f t="shared" si="6"/>
        <v>0</v>
      </c>
      <c r="I31" s="14">
        <f t="shared" si="6"/>
        <v>0</v>
      </c>
      <c r="J31" s="14">
        <f t="shared" si="6"/>
        <v>0</v>
      </c>
      <c r="K31" s="14">
        <f t="shared" si="6"/>
        <v>0</v>
      </c>
      <c r="L31" s="14">
        <f t="shared" si="6"/>
        <v>0</v>
      </c>
    </row>
    <row r="32" spans="1:14" x14ac:dyDescent="0.35">
      <c r="A32" t="str">
        <f t="shared" si="4"/>
        <v xml:space="preserve">    Colorado River Delta Balance</v>
      </c>
      <c r="B32" s="56">
        <v>0</v>
      </c>
      <c r="C32" s="14">
        <f t="shared" si="5"/>
        <v>0</v>
      </c>
      <c r="D32" s="14">
        <f t="shared" si="6"/>
        <v>1.5555555555555553E-2</v>
      </c>
      <c r="E32" s="14">
        <f t="shared" si="6"/>
        <v>3.034429624904076E-2</v>
      </c>
      <c r="F32" s="14">
        <f t="shared" si="6"/>
        <v>0</v>
      </c>
      <c r="G32" s="14">
        <f t="shared" si="6"/>
        <v>1.5555555555555553E-2</v>
      </c>
      <c r="H32" s="14">
        <f t="shared" si="6"/>
        <v>3.0300010215819753E-2</v>
      </c>
      <c r="I32" s="14">
        <f t="shared" si="6"/>
        <v>0</v>
      </c>
      <c r="J32" s="14">
        <f t="shared" si="6"/>
        <v>1.5555555555555553E-2</v>
      </c>
      <c r="K32" s="14">
        <f t="shared" si="6"/>
        <v>3.0296015644904608E-2</v>
      </c>
      <c r="L32" s="14">
        <f t="shared" si="6"/>
        <v>0</v>
      </c>
    </row>
    <row r="33" spans="1:12" x14ac:dyDescent="0.35">
      <c r="A33" t="str">
        <f t="shared" si="4"/>
        <v/>
      </c>
      <c r="B33" s="56">
        <v>0</v>
      </c>
      <c r="C33" s="14" t="str">
        <f t="shared" si="5"/>
        <v/>
      </c>
      <c r="D33" s="14" t="str">
        <f t="shared" si="6"/>
        <v/>
      </c>
      <c r="E33" s="14" t="str">
        <f t="shared" si="6"/>
        <v/>
      </c>
      <c r="F33" s="14" t="str">
        <f t="shared" si="6"/>
        <v/>
      </c>
      <c r="G33" s="14" t="str">
        <f t="shared" si="6"/>
        <v/>
      </c>
      <c r="H33" s="14" t="str">
        <f t="shared" si="6"/>
        <v/>
      </c>
      <c r="I33" s="14" t="str">
        <f t="shared" si="6"/>
        <v/>
      </c>
      <c r="J33" s="14" t="str">
        <f t="shared" si="6"/>
        <v/>
      </c>
      <c r="K33" s="14" t="str">
        <f t="shared" si="6"/>
        <v/>
      </c>
      <c r="L33" s="14" t="str">
        <f t="shared" si="6"/>
        <v/>
      </c>
    </row>
    <row r="34" spans="1:12" x14ac:dyDescent="0.35">
      <c r="A34" s="1" t="s">
        <v>117</v>
      </c>
      <c r="C34"/>
    </row>
    <row r="35" spans="1:12" x14ac:dyDescent="0.35">
      <c r="A35" t="s">
        <v>115</v>
      </c>
      <c r="B35" s="35">
        <v>0.5</v>
      </c>
      <c r="C35" s="14">
        <f>IF(C$25&lt;&gt;"",B22,"")</f>
        <v>11</v>
      </c>
      <c r="D35" s="14">
        <f t="shared" ref="D35:L36" si="7">IF(D25&lt;&gt;"",$B35*D$27,"")</f>
        <v>10.058821776755989</v>
      </c>
      <c r="E35" s="14">
        <f t="shared" si="7"/>
        <v>9.6022475095337683</v>
      </c>
      <c r="F35" s="14">
        <f t="shared" si="7"/>
        <v>9.1790091756682273</v>
      </c>
      <c r="G35" s="14">
        <f t="shared" si="7"/>
        <v>8.7912224336954186</v>
      </c>
      <c r="H35" s="14">
        <f t="shared" si="7"/>
        <v>8.4151065294726131</v>
      </c>
      <c r="I35" s="14">
        <f t="shared" si="7"/>
        <v>8.029233435932829</v>
      </c>
      <c r="J35" s="14">
        <f t="shared" si="7"/>
        <v>8.6773307237109059</v>
      </c>
      <c r="K35" s="14">
        <f t="shared" si="7"/>
        <v>9.3049250987383978</v>
      </c>
      <c r="L35" s="14">
        <f t="shared" si="7"/>
        <v>9.8813514494199488</v>
      </c>
    </row>
    <row r="36" spans="1:12" x14ac:dyDescent="0.35">
      <c r="A36" t="s">
        <v>116</v>
      </c>
      <c r="B36" s="35">
        <f>1-B35</f>
        <v>0.5</v>
      </c>
      <c r="C36" s="14">
        <f>IF(C$25&lt;&gt;"",C22,"")</f>
        <v>10.1</v>
      </c>
      <c r="D36" s="14">
        <f t="shared" si="7"/>
        <v>10.058821776755989</v>
      </c>
      <c r="E36" s="14">
        <f t="shared" si="7"/>
        <v>9.6022475095337683</v>
      </c>
      <c r="F36" s="14">
        <f t="shared" si="7"/>
        <v>9.1790091756682273</v>
      </c>
      <c r="G36" s="14">
        <f t="shared" si="7"/>
        <v>8.7912224336954186</v>
      </c>
      <c r="H36" s="14">
        <f t="shared" si="7"/>
        <v>8.4151065294726131</v>
      </c>
      <c r="I36" s="14">
        <f t="shared" si="7"/>
        <v>8.029233435932829</v>
      </c>
      <c r="J36" s="14">
        <f t="shared" si="7"/>
        <v>8.6773307237109059</v>
      </c>
      <c r="K36" s="14">
        <f t="shared" si="7"/>
        <v>9.3049250987383978</v>
      </c>
      <c r="L36" s="14">
        <f t="shared" si="7"/>
        <v>9.8813514494199488</v>
      </c>
    </row>
    <row r="37" spans="1:12" x14ac:dyDescent="0.35">
      <c r="A37" s="1" t="s">
        <v>121</v>
      </c>
      <c r="B37" s="1"/>
      <c r="C37" s="14">
        <f>IF(C$25&lt;&gt;"",VLOOKUP(C35*1000000,'Powell-Elevation-Area'!$B$5:$D$689,3)*$B$21/1000000 + VLOOKUP(C36*1000000,'Mead-Elevation-Area'!$B$5:$D$676,3)*$C$21/1000000,"")</f>
        <v>1.0218976799999733</v>
      </c>
      <c r="D37" s="14">
        <f>IF(D$25&lt;&gt;"",VLOOKUP(D35*1000000,'Powell-Elevation-Area'!$B$5:$D$689,3)*$B$21/1000000 + VLOOKUP(D36*1000000,'Mead-Elevation-Area'!$B$5:$D$676,3)*$C$21/1000000,"")</f>
        <v>0.99170409000000004</v>
      </c>
      <c r="E37" s="14">
        <f>IF(E$25&lt;&gt;"",VLOOKUP(E35*1000000,'Powell-Elevation-Area'!$B$5:$D$689,3)*$B$21/1000000 + VLOOKUP(E36*1000000,'Mead-Elevation-Area'!$B$5:$D$676,3)*$C$21/1000000,"")</f>
        <v>0.96665975399942705</v>
      </c>
      <c r="F37" s="14">
        <f>IF(F$25&lt;&gt;"",VLOOKUP(F35*1000000,'Powell-Elevation-Area'!$B$5:$D$689,3)*$B$21/1000000 + VLOOKUP(F36*1000000,'Mead-Elevation-Area'!$B$5:$D$676,3)*$C$21/1000000,"")</f>
        <v>0.94012903950117299</v>
      </c>
      <c r="G37" s="14">
        <f>IF(G$25&lt;&gt;"",VLOOKUP(G35*1000000,'Powell-Elevation-Area'!$B$5:$D$689,3)*$B$21/1000000 + VLOOKUP(G36*1000000,'Mead-Elevation-Area'!$B$5:$D$676,3)*$C$21/1000000,"")</f>
        <v>0.916787364001173</v>
      </c>
      <c r="H37" s="14">
        <f>IF(H$25&lt;&gt;"",VLOOKUP(H35*1000000,'Powell-Elevation-Area'!$B$5:$D$689,3)*$B$21/1000000 + VLOOKUP(H36*1000000,'Mead-Elevation-Area'!$B$5:$D$676,3)*$C$21/1000000,"")</f>
        <v>0.89205216900057305</v>
      </c>
      <c r="I37" s="14">
        <f>IF(I$25&lt;&gt;"",VLOOKUP(I35*1000000,'Powell-Elevation-Area'!$B$5:$D$689,3)*$B$21/1000000 + VLOOKUP(I36*1000000,'Mead-Elevation-Area'!$B$5:$D$676,3)*$C$21/1000000,"")</f>
        <v>0.8683609799994001</v>
      </c>
      <c r="J37" s="14">
        <f>IF(J$25&lt;&gt;"",VLOOKUP(J35*1000000,'Powell-Elevation-Area'!$B$5:$D$689,3)*$B$21/1000000 + VLOOKUP(J36*1000000,'Mead-Elevation-Area'!$B$5:$D$676,3)*$C$21/1000000,"")</f>
        <v>0.90936680550057303</v>
      </c>
      <c r="K37" s="14">
        <f>IF(K$25&lt;&gt;"",VLOOKUP(K35*1000000,'Powell-Elevation-Area'!$B$5:$D$689,3)*$B$21/1000000 + VLOOKUP(K36*1000000,'Mead-Elevation-Area'!$B$5:$D$676,3)*$C$21/1000000,"")</f>
        <v>0.94739359800057299</v>
      </c>
      <c r="L37" s="14">
        <f>IF(L$25&lt;&gt;"",VLOOKUP(L35*1000000,'Powell-Elevation-Area'!$B$5:$D$689,3)*$B$21/1000000 + VLOOKUP(L36*1000000,'Mead-Elevation-Area'!$B$5:$D$676,3)*$C$21/1000000,"")</f>
        <v>0.98111087099942695</v>
      </c>
    </row>
    <row r="38" spans="1:12" x14ac:dyDescent="0.35">
      <c r="A38" t="str">
        <f>IF(A6="","","    "&amp;A6&amp;" Share")</f>
        <v xml:space="preserve">    Upper Basin Share</v>
      </c>
      <c r="B38" s="1"/>
      <c r="C38" s="14">
        <f>IF(OR(C$25="",$A38=""),"",C$37*C28/C$27)</f>
        <v>0.5327428663506969</v>
      </c>
      <c r="D38" s="14">
        <f t="shared" ref="D38:L38" si="8">IF(OR(D$25="",$A38=""),"",D$37*D28/D$27)</f>
        <v>0.51426063096567887</v>
      </c>
      <c r="E38" s="14">
        <f t="shared" si="8"/>
        <v>0.49746139945757445</v>
      </c>
      <c r="F38" s="14">
        <f t="shared" si="8"/>
        <v>0.47884850190151118</v>
      </c>
      <c r="G38" s="14">
        <f t="shared" si="8"/>
        <v>0.46076428374065043</v>
      </c>
      <c r="H38" s="14">
        <f t="shared" si="8"/>
        <v>0.44209409701509211</v>
      </c>
      <c r="I38" s="14">
        <f t="shared" si="8"/>
        <v>0.42523620932480216</v>
      </c>
      <c r="J38" s="14">
        <f t="shared" si="8"/>
        <v>0.49273876378418424</v>
      </c>
      <c r="K38" s="14">
        <f t="shared" si="8"/>
        <v>0.55366989148758416</v>
      </c>
      <c r="L38" s="14">
        <f t="shared" si="8"/>
        <v>0.60999192399007518</v>
      </c>
    </row>
    <row r="39" spans="1:12" x14ac:dyDescent="0.35">
      <c r="A39" t="str">
        <f t="shared" ref="A39:A43" si="9">IF(A7="","","    "&amp;A7&amp;" Share")</f>
        <v xml:space="preserve">    Lower Basin Share</v>
      </c>
      <c r="B39" s="1"/>
      <c r="C39" s="14">
        <f t="shared" ref="C39:L43" si="10">IF(OR(C$25="",$A39=""),"",C$37*C29/C$27)</f>
        <v>0.48716913569287823</v>
      </c>
      <c r="D39" s="14">
        <f t="shared" si="10"/>
        <v>0.47667664417225086</v>
      </c>
      <c r="E39" s="14">
        <f t="shared" si="10"/>
        <v>0.46767097202446489</v>
      </c>
      <c r="F39" s="14">
        <f t="shared" si="10"/>
        <v>0.46128053759966181</v>
      </c>
      <c r="G39" s="14">
        <f t="shared" si="10"/>
        <v>0.45521197936523133</v>
      </c>
      <c r="H39" s="14">
        <f t="shared" si="10"/>
        <v>0.44835207984865549</v>
      </c>
      <c r="I39" s="14">
        <f t="shared" si="10"/>
        <v>0.44312477067459788</v>
      </c>
      <c r="J39" s="14">
        <f t="shared" si="10"/>
        <v>0.41581294625018228</v>
      </c>
      <c r="K39" s="14">
        <f t="shared" si="10"/>
        <v>0.3921813915044135</v>
      </c>
      <c r="L39" s="14">
        <f t="shared" si="10"/>
        <v>0.37111894700935177</v>
      </c>
    </row>
    <row r="40" spans="1:12" x14ac:dyDescent="0.35">
      <c r="A40" t="str">
        <f t="shared" si="9"/>
        <v xml:space="preserve">    Mexico Share</v>
      </c>
      <c r="B40" s="1"/>
      <c r="C40" s="14">
        <f t="shared" si="10"/>
        <v>1.9856779563980523E-3</v>
      </c>
      <c r="D40" s="14">
        <f t="shared" si="10"/>
        <v>0</v>
      </c>
      <c r="E40" s="14">
        <f t="shared" si="10"/>
        <v>0</v>
      </c>
      <c r="F40" s="14">
        <f t="shared" si="10"/>
        <v>0</v>
      </c>
      <c r="G40" s="14">
        <f t="shared" si="10"/>
        <v>0</v>
      </c>
      <c r="H40" s="14">
        <f t="shared" si="10"/>
        <v>0</v>
      </c>
      <c r="I40" s="14">
        <f t="shared" si="10"/>
        <v>0</v>
      </c>
      <c r="J40" s="14">
        <f t="shared" si="10"/>
        <v>0</v>
      </c>
      <c r="K40" s="14">
        <f t="shared" si="10"/>
        <v>0</v>
      </c>
      <c r="L40" s="14">
        <f t="shared" si="10"/>
        <v>0</v>
      </c>
    </row>
    <row r="41" spans="1:12" x14ac:dyDescent="0.35">
      <c r="A41" t="str">
        <f t="shared" si="9"/>
        <v xml:space="preserve">    Mohave &amp; Havasu Evap &amp; ET Share</v>
      </c>
      <c r="B41" s="1"/>
      <c r="C41" s="14">
        <f t="shared" si="10"/>
        <v>0</v>
      </c>
      <c r="D41" s="14">
        <f t="shared" si="10"/>
        <v>0</v>
      </c>
      <c r="E41" s="14">
        <f t="shared" si="10"/>
        <v>0</v>
      </c>
      <c r="F41" s="14">
        <f t="shared" si="10"/>
        <v>0</v>
      </c>
      <c r="G41" s="14">
        <f t="shared" si="10"/>
        <v>0</v>
      </c>
      <c r="H41" s="14">
        <f t="shared" si="10"/>
        <v>0</v>
      </c>
      <c r="I41" s="14">
        <f t="shared" si="10"/>
        <v>0</v>
      </c>
      <c r="J41" s="14">
        <f t="shared" si="10"/>
        <v>0</v>
      </c>
      <c r="K41" s="14">
        <f t="shared" si="10"/>
        <v>0</v>
      </c>
      <c r="L41" s="14">
        <f t="shared" si="10"/>
        <v>0</v>
      </c>
    </row>
    <row r="42" spans="1:12" x14ac:dyDescent="0.35">
      <c r="A42" t="str">
        <f t="shared" si="9"/>
        <v xml:space="preserve">    Colorado River Delta Share</v>
      </c>
      <c r="B42" s="1"/>
      <c r="C42" s="14">
        <f t="shared" si="10"/>
        <v>0</v>
      </c>
      <c r="D42" s="14">
        <f t="shared" si="10"/>
        <v>7.6681486207034566E-4</v>
      </c>
      <c r="E42" s="14">
        <f t="shared" si="10"/>
        <v>1.5273825173877291E-3</v>
      </c>
      <c r="F42" s="14">
        <f t="shared" si="10"/>
        <v>0</v>
      </c>
      <c r="G42" s="14">
        <f t="shared" si="10"/>
        <v>8.1110089529135389E-4</v>
      </c>
      <c r="H42" s="14">
        <f t="shared" si="10"/>
        <v>1.6059921368253606E-3</v>
      </c>
      <c r="I42" s="14">
        <f t="shared" si="10"/>
        <v>0</v>
      </c>
      <c r="J42" s="14">
        <f t="shared" si="10"/>
        <v>8.1509546620649946E-4</v>
      </c>
      <c r="K42" s="14">
        <f t="shared" si="10"/>
        <v>1.5423150085753729E-3</v>
      </c>
      <c r="L42" s="14">
        <f t="shared" si="10"/>
        <v>0</v>
      </c>
    </row>
    <row r="43" spans="1:12" x14ac:dyDescent="0.35">
      <c r="A43" t="str">
        <f t="shared" si="9"/>
        <v/>
      </c>
      <c r="B43" s="1"/>
      <c r="C43" s="14" t="str">
        <f t="shared" si="10"/>
        <v/>
      </c>
      <c r="D43" s="14" t="str">
        <f t="shared" si="10"/>
        <v/>
      </c>
      <c r="E43" s="14" t="str">
        <f t="shared" si="10"/>
        <v/>
      </c>
      <c r="F43" s="14" t="str">
        <f t="shared" si="10"/>
        <v/>
      </c>
      <c r="G43" s="14" t="str">
        <f t="shared" si="10"/>
        <v/>
      </c>
      <c r="H43" s="14" t="str">
        <f t="shared" si="10"/>
        <v/>
      </c>
      <c r="I43" s="14" t="str">
        <f t="shared" si="10"/>
        <v/>
      </c>
      <c r="J43" s="14" t="str">
        <f t="shared" si="10"/>
        <v/>
      </c>
      <c r="K43" s="14" t="str">
        <f t="shared" si="10"/>
        <v/>
      </c>
      <c r="L43" s="14" t="str">
        <f t="shared" si="10"/>
        <v/>
      </c>
    </row>
    <row r="44" spans="1:12" x14ac:dyDescent="0.35">
      <c r="A44" s="1" t="s">
        <v>161</v>
      </c>
      <c r="B44" s="1"/>
      <c r="C44" s="50">
        <f>IF(C$25&lt;&gt;"",1.5-$B$50/9/2-IF(C$29&lt;$O$78,$Q$78,IF(C$29&lt;=$O$85,VLOOKUP(C$29,$O$78:$Q$85,3),0)),"")</f>
        <v>1.47</v>
      </c>
      <c r="D44" s="50">
        <f t="shared" ref="D44:L44" si="11">IF(D$25&lt;&gt;"",1.5-$B$50/9-IF(D$29&lt;$O$78,$Q$78,IF(D$29&lt;=$O$85,VLOOKUP(D$29,$O$78:$Q$85,3),0)),"")</f>
        <v>1.47</v>
      </c>
      <c r="E44" s="50">
        <f t="shared" si="11"/>
        <v>1.466</v>
      </c>
      <c r="F44" s="50">
        <f t="shared" si="11"/>
        <v>1.466</v>
      </c>
      <c r="G44" s="50">
        <f t="shared" si="11"/>
        <v>1.466</v>
      </c>
      <c r="H44" s="50">
        <f t="shared" si="11"/>
        <v>1.466</v>
      </c>
      <c r="I44" s="50">
        <f t="shared" si="11"/>
        <v>1.466</v>
      </c>
      <c r="J44" s="50">
        <f t="shared" si="11"/>
        <v>1.466</v>
      </c>
      <c r="K44" s="50">
        <f t="shared" si="11"/>
        <v>1.466</v>
      </c>
      <c r="L44" s="50">
        <f t="shared" si="11"/>
        <v>1.4239999999999999</v>
      </c>
    </row>
    <row r="45" spans="1:12" x14ac:dyDescent="0.35">
      <c r="A45" s="1" t="s">
        <v>162</v>
      </c>
      <c r="B45" s="1"/>
      <c r="C45"/>
    </row>
    <row r="46" spans="1:12" x14ac:dyDescent="0.35">
      <c r="A46" t="str">
        <f>IF(A6="","","    To "&amp;A6)</f>
        <v xml:space="preserve">    To Upper Basin</v>
      </c>
      <c r="B46" s="24" t="s">
        <v>164</v>
      </c>
      <c r="C46" s="14">
        <f>IF(OR(C$25="",$A4=""),"",MAX(0,C$25-SUM(C47:C48)))</f>
        <v>4.1650000000000009</v>
      </c>
      <c r="D46" s="14">
        <f t="shared" ref="D46:L46" si="12">IF(OR(D$25="",$A4=""),"",MAX(0,D$25-SUM(D47:D48)))</f>
        <v>4.1650000000000009</v>
      </c>
      <c r="E46" s="14">
        <f t="shared" si="12"/>
        <v>4.1650000000000009</v>
      </c>
      <c r="F46" s="14">
        <f t="shared" si="12"/>
        <v>4.1650000000000009</v>
      </c>
      <c r="G46" s="14">
        <f t="shared" si="12"/>
        <v>4.1650000000000009</v>
      </c>
      <c r="H46" s="14">
        <f t="shared" si="12"/>
        <v>4.1650000000000009</v>
      </c>
      <c r="I46" s="14">
        <f t="shared" si="12"/>
        <v>6.1650000000000009</v>
      </c>
      <c r="J46" s="14">
        <f t="shared" si="12"/>
        <v>6.1650000000000009</v>
      </c>
      <c r="K46" s="14">
        <f t="shared" si="12"/>
        <v>6.1650000000000009</v>
      </c>
      <c r="L46" s="14">
        <f t="shared" si="12"/>
        <v>6.1650000000000009</v>
      </c>
    </row>
    <row r="47" spans="1:12" x14ac:dyDescent="0.35">
      <c r="A47" t="str">
        <f t="shared" ref="A47:A51" si="13">IF(A7="","","    To "&amp;A7)</f>
        <v xml:space="preserve">    To Lower Basin</v>
      </c>
      <c r="B47" s="44">
        <f>7.5-$B$50</f>
        <v>7.5</v>
      </c>
      <c r="C47" s="14">
        <f>IF(OR(C$25="",$A47=""),"",IF(C$25&lt;$B48,0,IF(C$25&gt;$B47,$B47,C$25)))</f>
        <v>7.5</v>
      </c>
      <c r="D47" s="14">
        <f t="shared" ref="D47:L47" si="14">IF(OR(D$25="",$A47=""),"",IF(D$25&lt;$B48,0,IF(D$25&gt;$B47,$B47,D$25)))</f>
        <v>7.5</v>
      </c>
      <c r="E47" s="14">
        <f t="shared" si="14"/>
        <v>7.5</v>
      </c>
      <c r="F47" s="14">
        <f t="shared" si="14"/>
        <v>7.5</v>
      </c>
      <c r="G47" s="14">
        <f t="shared" si="14"/>
        <v>7.5</v>
      </c>
      <c r="H47" s="14">
        <f t="shared" si="14"/>
        <v>7.5</v>
      </c>
      <c r="I47" s="14">
        <f t="shared" si="14"/>
        <v>7.5</v>
      </c>
      <c r="J47" s="14">
        <f t="shared" si="14"/>
        <v>7.5</v>
      </c>
      <c r="K47" s="14">
        <f t="shared" si="14"/>
        <v>7.5</v>
      </c>
      <c r="L47" s="14">
        <f t="shared" si="14"/>
        <v>7.5</v>
      </c>
    </row>
    <row r="48" spans="1:12" x14ac:dyDescent="0.35">
      <c r="A48" t="str">
        <f t="shared" si="13"/>
        <v xml:space="preserve">    To Mexico</v>
      </c>
      <c r="B48" s="44">
        <f>C44/2</f>
        <v>0.73499999999999999</v>
      </c>
      <c r="C48" s="14">
        <f>IF(OR(C$25="",$A48=""),"",IF(C$25&gt;$B48,$B48,C$25))</f>
        <v>0.73499999999999999</v>
      </c>
      <c r="D48" s="14">
        <f t="shared" ref="D48:L48" si="15">IF(OR(D$25="",$A48=""),"",IF(D$25&gt;$B48,$B48,D$25))</f>
        <v>0.73499999999999999</v>
      </c>
      <c r="E48" s="14">
        <f t="shared" si="15"/>
        <v>0.73499999999999999</v>
      </c>
      <c r="F48" s="14">
        <f t="shared" si="15"/>
        <v>0.73499999999999999</v>
      </c>
      <c r="G48" s="14">
        <f t="shared" si="15"/>
        <v>0.73499999999999999</v>
      </c>
      <c r="H48" s="14">
        <f t="shared" si="15"/>
        <v>0.73499999999999999</v>
      </c>
      <c r="I48" s="14">
        <f t="shared" si="15"/>
        <v>0.73499999999999999</v>
      </c>
      <c r="J48" s="14">
        <f t="shared" si="15"/>
        <v>0.73499999999999999</v>
      </c>
      <c r="K48" s="14">
        <f t="shared" si="15"/>
        <v>0.73499999999999999</v>
      </c>
      <c r="L48" s="14">
        <f t="shared" si="15"/>
        <v>0.73499999999999999</v>
      </c>
    </row>
    <row r="49" spans="1:13" x14ac:dyDescent="0.35">
      <c r="A49" t="str">
        <f t="shared" si="13"/>
        <v xml:space="preserve">    To Mohave &amp; Havasu Evap &amp; ET</v>
      </c>
      <c r="B49" s="44">
        <v>0</v>
      </c>
      <c r="C49" s="14">
        <f t="shared" ref="C49:L51" si="16">IF(OR(C$25="",$A49=""),"",IF(C$25&gt;$B49,$B49,C$25))</f>
        <v>0</v>
      </c>
      <c r="D49" s="14">
        <f t="shared" si="16"/>
        <v>0</v>
      </c>
      <c r="E49" s="14">
        <f t="shared" si="16"/>
        <v>0</v>
      </c>
      <c r="F49" s="14">
        <f t="shared" si="16"/>
        <v>0</v>
      </c>
      <c r="G49" s="14">
        <f t="shared" si="16"/>
        <v>0</v>
      </c>
      <c r="H49" s="14">
        <f t="shared" si="16"/>
        <v>0</v>
      </c>
      <c r="I49" s="14">
        <f t="shared" si="16"/>
        <v>0</v>
      </c>
      <c r="J49" s="14">
        <f t="shared" si="16"/>
        <v>0</v>
      </c>
      <c r="K49" s="14">
        <f t="shared" si="16"/>
        <v>0</v>
      </c>
      <c r="L49" s="14">
        <f t="shared" si="16"/>
        <v>0</v>
      </c>
    </row>
    <row r="50" spans="1:13" x14ac:dyDescent="0.35">
      <c r="A50" t="str">
        <f t="shared" si="13"/>
        <v xml:space="preserve">    To Colorado River Delta</v>
      </c>
      <c r="B50" s="44">
        <v>0</v>
      </c>
      <c r="C50" s="14">
        <f t="shared" si="16"/>
        <v>0</v>
      </c>
      <c r="D50" s="59">
        <f t="shared" si="16"/>
        <v>0</v>
      </c>
      <c r="E50" s="59">
        <f t="shared" si="16"/>
        <v>0</v>
      </c>
      <c r="F50" s="59">
        <f t="shared" si="16"/>
        <v>0</v>
      </c>
      <c r="G50" s="59">
        <f t="shared" si="16"/>
        <v>0</v>
      </c>
      <c r="H50" s="59">
        <f t="shared" si="16"/>
        <v>0</v>
      </c>
      <c r="I50" s="59">
        <f t="shared" si="16"/>
        <v>0</v>
      </c>
      <c r="J50" s="59">
        <f t="shared" si="16"/>
        <v>0</v>
      </c>
      <c r="K50" s="59">
        <f t="shared" si="16"/>
        <v>0</v>
      </c>
      <c r="L50" s="59">
        <f t="shared" si="16"/>
        <v>0</v>
      </c>
    </row>
    <row r="51" spans="1:13" x14ac:dyDescent="0.35">
      <c r="A51" t="str">
        <f t="shared" si="13"/>
        <v/>
      </c>
      <c r="B51" s="44">
        <v>0</v>
      </c>
      <c r="C51" s="14" t="str">
        <f t="shared" si="16"/>
        <v/>
      </c>
      <c r="D51" s="14" t="str">
        <f t="shared" si="16"/>
        <v/>
      </c>
      <c r="E51" s="14" t="str">
        <f t="shared" si="16"/>
        <v/>
      </c>
      <c r="F51" s="14" t="str">
        <f t="shared" si="16"/>
        <v/>
      </c>
      <c r="G51" s="14" t="str">
        <f t="shared" si="16"/>
        <v/>
      </c>
      <c r="H51" s="14" t="str">
        <f t="shared" si="16"/>
        <v/>
      </c>
      <c r="I51" s="14" t="str">
        <f t="shared" si="16"/>
        <v/>
      </c>
      <c r="J51" s="14" t="str">
        <f t="shared" si="16"/>
        <v/>
      </c>
      <c r="K51" s="14" t="str">
        <f t="shared" si="16"/>
        <v/>
      </c>
      <c r="L51" s="14" t="str">
        <f t="shared" si="16"/>
        <v/>
      </c>
    </row>
    <row r="52" spans="1:13" x14ac:dyDescent="0.35">
      <c r="A52" s="1" t="s">
        <v>163</v>
      </c>
      <c r="B52" s="1"/>
      <c r="C52"/>
    </row>
    <row r="53" spans="1:13" x14ac:dyDescent="0.35">
      <c r="A53" t="str">
        <f>IF(A6="","","    To "&amp;A6)</f>
        <v xml:space="preserve">    To Upper Basin</v>
      </c>
      <c r="B53" s="24">
        <v>0</v>
      </c>
      <c r="C53" s="14">
        <f>IF(OR($A53="",C$25=""),"",IF(C$26&gt;$B53,$B53,C$26))</f>
        <v>0</v>
      </c>
      <c r="D53" s="14">
        <f t="shared" ref="D53:L53" si="17">IF(OR($A53="",D$25=""),"",IF(D$26&gt;$B53,$B53,D$26))</f>
        <v>0</v>
      </c>
      <c r="E53" s="14">
        <f t="shared" si="17"/>
        <v>0</v>
      </c>
      <c r="F53" s="14">
        <f t="shared" si="17"/>
        <v>0</v>
      </c>
      <c r="G53" s="14">
        <f t="shared" si="17"/>
        <v>0</v>
      </c>
      <c r="H53" s="14">
        <f t="shared" si="17"/>
        <v>0</v>
      </c>
      <c r="I53" s="14">
        <f t="shared" si="17"/>
        <v>0</v>
      </c>
      <c r="J53" s="14">
        <f t="shared" si="17"/>
        <v>0</v>
      </c>
      <c r="K53" s="14">
        <f t="shared" si="17"/>
        <v>0</v>
      </c>
      <c r="L53" s="14">
        <f t="shared" si="17"/>
        <v>0</v>
      </c>
    </row>
    <row r="54" spans="1:13" x14ac:dyDescent="0.35">
      <c r="A54" t="str">
        <f t="shared" ref="A54:A58" si="18">IF(A7="","","    To "&amp;A7)</f>
        <v xml:space="preserve">    To Lower Basin</v>
      </c>
      <c r="B54" s="44" t="s">
        <v>164</v>
      </c>
      <c r="C54" s="14">
        <f>IF(OR(C$25="",$A54=""),"",C$26-SUM(C55:C56))</f>
        <v>-0.53499999999999992</v>
      </c>
      <c r="D54" s="14">
        <f t="shared" ref="D54:L54" si="19">IF(OR(D$25="",$A54=""),"",D$26-SUM(D55:D56))</f>
        <v>-0.53499999999999992</v>
      </c>
      <c r="E54" s="14">
        <f t="shared" si="19"/>
        <v>-0.53299999999999992</v>
      </c>
      <c r="F54" s="14">
        <f t="shared" si="19"/>
        <v>-0.53299999999999992</v>
      </c>
      <c r="G54" s="14">
        <f t="shared" si="19"/>
        <v>-0.53299999999999992</v>
      </c>
      <c r="H54" s="14">
        <f t="shared" si="19"/>
        <v>-0.53299999999999992</v>
      </c>
      <c r="I54" s="14">
        <f t="shared" si="19"/>
        <v>-0.53299999999999992</v>
      </c>
      <c r="J54" s="14">
        <f t="shared" si="19"/>
        <v>-0.53299999999999992</v>
      </c>
      <c r="K54" s="14">
        <f t="shared" si="19"/>
        <v>-0.53299999999999992</v>
      </c>
      <c r="L54" s="14">
        <f t="shared" si="19"/>
        <v>-0.51199999999999979</v>
      </c>
    </row>
    <row r="55" spans="1:13" x14ac:dyDescent="0.35">
      <c r="A55" t="str">
        <f t="shared" si="18"/>
        <v xml:space="preserve">    To Mexico</v>
      </c>
      <c r="B55" s="44">
        <f>C44/2</f>
        <v>0.73499999999999999</v>
      </c>
      <c r="C55" s="14">
        <f>IF(OR(C$25="",$A55=""),"",C44/2)</f>
        <v>0.73499999999999999</v>
      </c>
      <c r="D55" s="14">
        <f t="shared" ref="D55:L55" si="20">IF(OR(D$25="",$A55=""),"",D44/2)</f>
        <v>0.73499999999999999</v>
      </c>
      <c r="E55" s="14">
        <f t="shared" si="20"/>
        <v>0.73299999999999998</v>
      </c>
      <c r="F55" s="14">
        <f t="shared" si="20"/>
        <v>0.73299999999999998</v>
      </c>
      <c r="G55" s="14">
        <f t="shared" si="20"/>
        <v>0.73299999999999998</v>
      </c>
      <c r="H55" s="14">
        <f t="shared" si="20"/>
        <v>0.73299999999999998</v>
      </c>
      <c r="I55" s="14">
        <f t="shared" si="20"/>
        <v>0.73299999999999998</v>
      </c>
      <c r="J55" s="14">
        <f t="shared" si="20"/>
        <v>0.73299999999999998</v>
      </c>
      <c r="K55" s="14">
        <f t="shared" si="20"/>
        <v>0.73299999999999998</v>
      </c>
      <c r="L55" s="14">
        <f t="shared" si="20"/>
        <v>0.71199999999999997</v>
      </c>
    </row>
    <row r="56" spans="1:13" x14ac:dyDescent="0.35">
      <c r="A56" t="str">
        <f t="shared" si="18"/>
        <v xml:space="preserve">    To Mohave &amp; Havasu Evap &amp; ET</v>
      </c>
      <c r="B56" s="44">
        <v>0.6</v>
      </c>
      <c r="C56" s="14">
        <f>IF(OR($A56="",C$25=""),"",IF(C$26&gt;$B56,$B56,C$26))</f>
        <v>0.6</v>
      </c>
      <c r="D56" s="14">
        <f t="shared" ref="D56:L56" si="21">IF(OR($A56="",D$25=""),"",IF(D$26&gt;$B56,$B56,D$26))</f>
        <v>0.6</v>
      </c>
      <c r="E56" s="14">
        <f t="shared" si="21"/>
        <v>0.6</v>
      </c>
      <c r="F56" s="14">
        <f t="shared" si="21"/>
        <v>0.6</v>
      </c>
      <c r="G56" s="14">
        <f t="shared" si="21"/>
        <v>0.6</v>
      </c>
      <c r="H56" s="14">
        <f t="shared" si="21"/>
        <v>0.6</v>
      </c>
      <c r="I56" s="14">
        <f t="shared" si="21"/>
        <v>0.6</v>
      </c>
      <c r="J56" s="14">
        <f t="shared" si="21"/>
        <v>0.6</v>
      </c>
      <c r="K56" s="14">
        <f t="shared" si="21"/>
        <v>0.6</v>
      </c>
      <c r="L56" s="14">
        <f t="shared" si="21"/>
        <v>0.6</v>
      </c>
    </row>
    <row r="57" spans="1:13" x14ac:dyDescent="0.35">
      <c r="A57" t="str">
        <f t="shared" si="18"/>
        <v xml:space="preserve">    To Colorado River Delta</v>
      </c>
      <c r="B57" s="77">
        <f>0.21/9*(2/3)</f>
        <v>1.5555555555555553E-2</v>
      </c>
      <c r="C57" s="14">
        <f t="shared" ref="C57:L58" si="22">IF(OR($A57="",C$25=""),"",IF(C$26&gt;$B57,$B57,C$26))</f>
        <v>1.5555555555555553E-2</v>
      </c>
      <c r="D57" s="14">
        <f t="shared" si="22"/>
        <v>1.5555555555555553E-2</v>
      </c>
      <c r="E57" s="14">
        <f t="shared" si="22"/>
        <v>1.5555555555555553E-2</v>
      </c>
      <c r="F57" s="14">
        <f t="shared" si="22"/>
        <v>1.5555555555555553E-2</v>
      </c>
      <c r="G57" s="14">
        <f t="shared" si="22"/>
        <v>1.5555555555555553E-2</v>
      </c>
      <c r="H57" s="14">
        <f t="shared" si="22"/>
        <v>1.5555555555555553E-2</v>
      </c>
      <c r="I57" s="14">
        <f t="shared" si="22"/>
        <v>1.5555555555555553E-2</v>
      </c>
      <c r="J57" s="14">
        <f t="shared" si="22"/>
        <v>1.5555555555555553E-2</v>
      </c>
      <c r="K57" s="14">
        <f t="shared" si="22"/>
        <v>1.5555555555555553E-2</v>
      </c>
      <c r="L57" s="14">
        <f t="shared" si="22"/>
        <v>1.5555555555555553E-2</v>
      </c>
    </row>
    <row r="58" spans="1:13" x14ac:dyDescent="0.35">
      <c r="A58" t="str">
        <f t="shared" si="18"/>
        <v/>
      </c>
      <c r="B58" s="44">
        <v>0</v>
      </c>
      <c r="C58" s="14" t="str">
        <f t="shared" si="22"/>
        <v/>
      </c>
      <c r="D58" s="14" t="str">
        <f t="shared" si="22"/>
        <v/>
      </c>
      <c r="E58" s="14" t="str">
        <f t="shared" si="22"/>
        <v/>
      </c>
      <c r="F58" s="14" t="str">
        <f t="shared" si="22"/>
        <v/>
      </c>
      <c r="G58" s="14" t="str">
        <f t="shared" si="22"/>
        <v/>
      </c>
      <c r="H58" s="14" t="str">
        <f t="shared" si="22"/>
        <v/>
      </c>
      <c r="I58" s="14" t="str">
        <f t="shared" si="22"/>
        <v/>
      </c>
      <c r="J58" s="14" t="str">
        <f t="shared" si="22"/>
        <v/>
      </c>
      <c r="K58" s="14" t="str">
        <f t="shared" si="22"/>
        <v/>
      </c>
      <c r="L58" s="14" t="str">
        <f t="shared" si="22"/>
        <v/>
      </c>
    </row>
    <row r="59" spans="1:13" x14ac:dyDescent="0.35">
      <c r="A59" s="1" t="s">
        <v>167</v>
      </c>
      <c r="C59"/>
      <c r="M59" t="s">
        <v>168</v>
      </c>
    </row>
    <row r="60" spans="1:13" x14ac:dyDescent="0.35">
      <c r="A60" t="str">
        <f>IF(A6="","","    "&amp;A6)</f>
        <v xml:space="preserve">    Upper Basin</v>
      </c>
      <c r="B60" s="1"/>
      <c r="C60" s="50"/>
      <c r="D60" s="50"/>
      <c r="E60" s="50"/>
      <c r="F60" s="50"/>
      <c r="G60" s="50"/>
      <c r="H60" s="50"/>
      <c r="I60" s="50"/>
      <c r="J60" s="50"/>
      <c r="K60" s="50"/>
      <c r="L60" s="50"/>
      <c r="M60" s="54">
        <f>SUMPRODUCT(C60:L60,C$67:L$67)</f>
        <v>0</v>
      </c>
    </row>
    <row r="61" spans="1:13" x14ac:dyDescent="0.35">
      <c r="A61" t="str">
        <f t="shared" ref="A61:A65" si="23">IF(A7="","","    "&amp;A7)</f>
        <v xml:space="preserve">    Lower Basin</v>
      </c>
      <c r="B61" s="1"/>
      <c r="C61" s="62"/>
      <c r="D61" s="62"/>
      <c r="E61" s="67"/>
      <c r="F61" s="62"/>
      <c r="G61" s="62"/>
      <c r="H61" s="62"/>
      <c r="I61" s="62"/>
      <c r="J61" s="62"/>
      <c r="K61" s="67">
        <v>0.02</v>
      </c>
      <c r="L61" s="62"/>
      <c r="M61" s="54">
        <f t="shared" ref="M61:M65" si="24">SUMPRODUCT(C61:L61,C$67:L$67)</f>
        <v>7</v>
      </c>
    </row>
    <row r="62" spans="1:13" x14ac:dyDescent="0.35">
      <c r="A62" t="str">
        <f t="shared" si="23"/>
        <v xml:space="preserve">    Mexico</v>
      </c>
      <c r="B62" s="1"/>
      <c r="C62" s="50"/>
      <c r="D62" s="50"/>
      <c r="E62" s="68">
        <v>1.6E-2</v>
      </c>
      <c r="F62" s="50"/>
      <c r="G62" s="50"/>
      <c r="H62" s="68">
        <v>1.6E-2</v>
      </c>
      <c r="I62" s="50"/>
      <c r="J62" s="50"/>
      <c r="K62" s="68">
        <v>1.6E-2</v>
      </c>
      <c r="L62" s="50"/>
      <c r="M62" s="54">
        <f t="shared" si="24"/>
        <v>16.8</v>
      </c>
    </row>
    <row r="63" spans="1:13" x14ac:dyDescent="0.35">
      <c r="A63" t="str">
        <f t="shared" si="23"/>
        <v xml:space="preserve">    Mohave &amp; Havasu Evap &amp; ET</v>
      </c>
      <c r="B63" s="1"/>
      <c r="C63" s="50"/>
      <c r="D63" s="50"/>
      <c r="E63" s="68"/>
      <c r="F63" s="50"/>
      <c r="G63" s="50"/>
      <c r="H63" s="68"/>
      <c r="I63" s="50"/>
      <c r="J63" s="50"/>
      <c r="K63" s="68"/>
      <c r="L63" s="50"/>
      <c r="M63" s="54">
        <f t="shared" si="24"/>
        <v>0</v>
      </c>
    </row>
    <row r="64" spans="1:13" x14ac:dyDescent="0.35">
      <c r="A64" t="str">
        <f t="shared" si="23"/>
        <v xml:space="preserve">    Colorado River Delta</v>
      </c>
      <c r="B64" s="1"/>
      <c r="C64" s="50"/>
      <c r="D64" s="50"/>
      <c r="E64" s="68">
        <v>-1.6E-2</v>
      </c>
      <c r="F64" s="50"/>
      <c r="G64" s="50"/>
      <c r="H64" s="68">
        <v>-1.6E-2</v>
      </c>
      <c r="I64" s="50"/>
      <c r="J64" s="50"/>
      <c r="K64" s="68">
        <v>-3.5999999999999997E-2</v>
      </c>
      <c r="L64" s="50"/>
      <c r="M64" s="54">
        <f t="shared" si="24"/>
        <v>-23.8</v>
      </c>
    </row>
    <row r="65" spans="1:21" x14ac:dyDescent="0.35">
      <c r="A65" t="str">
        <f t="shared" si="23"/>
        <v/>
      </c>
      <c r="B65" s="1"/>
      <c r="C65" s="50"/>
      <c r="D65" s="50"/>
      <c r="E65" s="50"/>
      <c r="F65" s="50"/>
      <c r="G65" s="50"/>
      <c r="H65" s="50"/>
      <c r="I65" s="50"/>
      <c r="J65" s="50"/>
      <c r="K65" s="50"/>
      <c r="L65" s="50"/>
      <c r="M65" s="54">
        <f t="shared" si="24"/>
        <v>0</v>
      </c>
    </row>
    <row r="66" spans="1:21" x14ac:dyDescent="0.35">
      <c r="A66" t="s">
        <v>159</v>
      </c>
      <c r="B66" s="1"/>
      <c r="C66" s="53">
        <f>IF(C$25&lt;&gt;"",SUM(C60:C65),"")</f>
        <v>0</v>
      </c>
      <c r="D66" s="53">
        <f t="shared" ref="D66:L66" si="25">IF(D$25&lt;&gt;"",SUM(D60:D65),"")</f>
        <v>0</v>
      </c>
      <c r="E66" s="53">
        <f t="shared" si="25"/>
        <v>0</v>
      </c>
      <c r="F66" s="53">
        <f t="shared" si="25"/>
        <v>0</v>
      </c>
      <c r="G66" s="53">
        <f t="shared" si="25"/>
        <v>0</v>
      </c>
      <c r="H66" s="53">
        <f t="shared" si="25"/>
        <v>0</v>
      </c>
      <c r="I66" s="53">
        <f t="shared" si="25"/>
        <v>0</v>
      </c>
      <c r="J66" s="53">
        <f t="shared" si="25"/>
        <v>0</v>
      </c>
      <c r="K66" s="53">
        <f t="shared" si="25"/>
        <v>0</v>
      </c>
      <c r="L66" s="53">
        <f t="shared" si="25"/>
        <v>0</v>
      </c>
      <c r="M66" s="34"/>
    </row>
    <row r="67" spans="1:21" x14ac:dyDescent="0.35">
      <c r="A67" t="s">
        <v>160</v>
      </c>
      <c r="B67" s="1"/>
      <c r="C67" s="31"/>
      <c r="D67" s="31"/>
      <c r="E67" s="31">
        <v>350</v>
      </c>
      <c r="F67" s="31"/>
      <c r="G67" s="31"/>
      <c r="H67" s="31">
        <v>350</v>
      </c>
      <c r="I67" s="31"/>
      <c r="J67" s="31"/>
      <c r="K67" s="31">
        <v>350</v>
      </c>
      <c r="L67" s="31"/>
    </row>
    <row r="68" spans="1:21" x14ac:dyDescent="0.35">
      <c r="A68" s="1" t="s">
        <v>186</v>
      </c>
      <c r="B68" s="1"/>
      <c r="C68"/>
    </row>
    <row r="69" spans="1:21" x14ac:dyDescent="0.35">
      <c r="A69" t="str">
        <f>IF(A6="","","    "&amp;A6)</f>
        <v xml:space="preserve">    Upper Basin</v>
      </c>
      <c r="C69" s="14">
        <f>IF(OR(C$25="",$A69=""),"",C28+C46+C53-C38-C60)</f>
        <v>14.632257133649304</v>
      </c>
      <c r="D69" s="14">
        <f t="shared" ref="D69:L69" si="26">IF(OR(D$25="",$A69=""),"",D28+D46+D53-D38-D60)</f>
        <v>14.082996502683628</v>
      </c>
      <c r="E69" s="14">
        <f t="shared" si="26"/>
        <v>13.550535103226055</v>
      </c>
      <c r="F69" s="14">
        <f t="shared" si="26"/>
        <v>13.036686601324543</v>
      </c>
      <c r="G69" s="14">
        <f t="shared" si="26"/>
        <v>12.540922317583895</v>
      </c>
      <c r="H69" s="14">
        <f t="shared" si="26"/>
        <v>12.063828220568805</v>
      </c>
      <c r="I69" s="14">
        <f t="shared" si="26"/>
        <v>13.603592011244002</v>
      </c>
      <c r="J69" s="14">
        <f t="shared" si="26"/>
        <v>15.075853247459818</v>
      </c>
      <c r="K69" s="14">
        <f t="shared" si="26"/>
        <v>16.487183355972238</v>
      </c>
      <c r="L69" s="14">
        <f t="shared" si="26"/>
        <v>17.842191431982162</v>
      </c>
    </row>
    <row r="70" spans="1:21" x14ac:dyDescent="0.35">
      <c r="A70" t="str">
        <f t="shared" ref="A70:A74" si="27">IF(A7="","","    "&amp;A7)</f>
        <v xml:space="preserve">    Lower Basin</v>
      </c>
      <c r="C70" s="14">
        <f t="shared" ref="C70:L74" si="28">IF(OR(C$25="",$A70=""),"",C29+C47+C54-C39-C61)</f>
        <v>16.53683086430712</v>
      </c>
      <c r="D70" s="14">
        <f t="shared" si="28"/>
        <v>16.158154220134868</v>
      </c>
      <c r="E70" s="14">
        <f t="shared" si="28"/>
        <v>15.790483248110402</v>
      </c>
      <c r="F70" s="14">
        <f t="shared" si="28"/>
        <v>15.51320271051074</v>
      </c>
      <c r="G70" s="14">
        <f t="shared" si="28"/>
        <v>15.241990731145508</v>
      </c>
      <c r="H70" s="14">
        <f t="shared" si="28"/>
        <v>14.977638651296854</v>
      </c>
      <c r="I70" s="14">
        <f t="shared" si="28"/>
        <v>14.718513880622256</v>
      </c>
      <c r="J70" s="14">
        <f t="shared" si="28"/>
        <v>14.486700934372074</v>
      </c>
      <c r="K70" s="14">
        <f t="shared" si="28"/>
        <v>14.25851954286766</v>
      </c>
      <c r="L70" s="14">
        <f t="shared" si="28"/>
        <v>14.092400595858306</v>
      </c>
    </row>
    <row r="71" spans="1:21" x14ac:dyDescent="0.35">
      <c r="A71" t="str">
        <f t="shared" si="27"/>
        <v xml:space="preserve">    Mexico</v>
      </c>
      <c r="C71" s="60">
        <f t="shared" si="28"/>
        <v>1.5090143220436021</v>
      </c>
      <c r="D71" s="14">
        <f t="shared" si="28"/>
        <v>1.47</v>
      </c>
      <c r="E71" s="14">
        <f t="shared" si="28"/>
        <v>1.452</v>
      </c>
      <c r="F71" s="14">
        <f t="shared" si="28"/>
        <v>1.468</v>
      </c>
      <c r="G71" s="14">
        <f t="shared" si="28"/>
        <v>1.468</v>
      </c>
      <c r="H71" s="14">
        <f t="shared" si="28"/>
        <v>1.452</v>
      </c>
      <c r="I71" s="14">
        <f t="shared" si="28"/>
        <v>1.468</v>
      </c>
      <c r="J71" s="14">
        <f t="shared" si="28"/>
        <v>1.468</v>
      </c>
      <c r="K71" s="14">
        <f t="shared" si="28"/>
        <v>1.452</v>
      </c>
      <c r="L71" s="14">
        <f t="shared" si="28"/>
        <v>1.4470000000000001</v>
      </c>
    </row>
    <row r="72" spans="1:21" x14ac:dyDescent="0.35">
      <c r="A72" t="str">
        <f t="shared" si="27"/>
        <v xml:space="preserve">    Mohave &amp; Havasu Evap &amp; ET</v>
      </c>
      <c r="C72" s="14">
        <f t="shared" si="28"/>
        <v>0.6</v>
      </c>
      <c r="D72" s="14">
        <f t="shared" si="28"/>
        <v>0.6</v>
      </c>
      <c r="E72" s="14">
        <f t="shared" si="28"/>
        <v>0.6</v>
      </c>
      <c r="F72" s="14">
        <f t="shared" si="28"/>
        <v>0.6</v>
      </c>
      <c r="G72" s="14">
        <f t="shared" si="28"/>
        <v>0.6</v>
      </c>
      <c r="H72" s="14">
        <f t="shared" si="28"/>
        <v>0.6</v>
      </c>
      <c r="I72" s="14">
        <f t="shared" si="28"/>
        <v>0.6</v>
      </c>
      <c r="J72" s="14">
        <f t="shared" si="28"/>
        <v>0.6</v>
      </c>
      <c r="K72" s="14">
        <f t="shared" si="28"/>
        <v>0.6</v>
      </c>
      <c r="L72" s="14">
        <f t="shared" si="28"/>
        <v>0.6</v>
      </c>
    </row>
    <row r="73" spans="1:21" x14ac:dyDescent="0.35">
      <c r="A73" t="str">
        <f t="shared" si="27"/>
        <v xml:space="preserve">    Colorado River Delta</v>
      </c>
      <c r="C73" s="60">
        <f t="shared" si="28"/>
        <v>1.5555555555555553E-2</v>
      </c>
      <c r="D73" s="60">
        <f t="shared" si="28"/>
        <v>3.034429624904076E-2</v>
      </c>
      <c r="E73" s="60">
        <f t="shared" si="28"/>
        <v>6.0372469287208581E-2</v>
      </c>
      <c r="F73" s="60">
        <f t="shared" si="28"/>
        <v>1.5555555555555553E-2</v>
      </c>
      <c r="G73" s="60">
        <f t="shared" si="28"/>
        <v>3.0300010215819753E-2</v>
      </c>
      <c r="H73" s="60">
        <f t="shared" si="28"/>
        <v>6.0249573634549941E-2</v>
      </c>
      <c r="I73" s="60">
        <f t="shared" si="28"/>
        <v>1.5555555555555553E-2</v>
      </c>
      <c r="J73" s="60">
        <f t="shared" si="28"/>
        <v>3.0296015644904608E-2</v>
      </c>
      <c r="K73" s="60">
        <f t="shared" si="28"/>
        <v>8.0309256191884781E-2</v>
      </c>
      <c r="L73" s="60">
        <f t="shared" si="28"/>
        <v>1.5555555555555553E-2</v>
      </c>
    </row>
    <row r="74" spans="1:21" x14ac:dyDescent="0.35">
      <c r="A74" t="str">
        <f t="shared" si="27"/>
        <v/>
      </c>
      <c r="C74" s="14" t="str">
        <f t="shared" si="28"/>
        <v/>
      </c>
      <c r="D74" s="14" t="str">
        <f t="shared" si="28"/>
        <v/>
      </c>
      <c r="E74" s="14" t="str">
        <f t="shared" si="28"/>
        <v/>
      </c>
      <c r="F74" s="14" t="str">
        <f t="shared" si="28"/>
        <v/>
      </c>
      <c r="G74" s="14" t="str">
        <f t="shared" si="28"/>
        <v/>
      </c>
      <c r="H74" s="14" t="str">
        <f t="shared" si="28"/>
        <v/>
      </c>
      <c r="I74" s="14" t="str">
        <f t="shared" si="28"/>
        <v/>
      </c>
      <c r="J74" s="14" t="str">
        <f t="shared" si="28"/>
        <v/>
      </c>
      <c r="K74" s="14" t="str">
        <f t="shared" si="28"/>
        <v/>
      </c>
      <c r="L74" s="14" t="str">
        <f t="shared" si="28"/>
        <v/>
      </c>
    </row>
    <row r="75" spans="1:21" x14ac:dyDescent="0.35">
      <c r="A75" s="1" t="s">
        <v>136</v>
      </c>
      <c r="B75" s="1"/>
      <c r="C75" s="69"/>
      <c r="D75" s="2"/>
      <c r="E75" s="69"/>
      <c r="F75" s="2"/>
      <c r="G75" s="2"/>
      <c r="H75" s="2"/>
      <c r="I75" s="2"/>
      <c r="J75" s="2"/>
      <c r="K75" s="2"/>
      <c r="L75" s="2"/>
    </row>
    <row r="76" spans="1:21" x14ac:dyDescent="0.35">
      <c r="A76" t="str">
        <f>IF(A6="","","    "&amp;A6&amp;" - Consumptive Use and Headwaters Losses")</f>
        <v xml:space="preserve">    Upper Basin - Consumptive Use and Headwaters Losses</v>
      </c>
      <c r="C76" s="43">
        <f>IF(C69&gt;6.1+4.2,4.2,MAX(C69-6.1,0))</f>
        <v>4.2</v>
      </c>
      <c r="D76" s="43">
        <f t="shared" ref="D76:L76" si="29">IF(D69&gt;6.1+4.2,4.2,MAX(D69-6.1,0))</f>
        <v>4.2</v>
      </c>
      <c r="E76" s="43">
        <f t="shared" si="29"/>
        <v>4.2</v>
      </c>
      <c r="F76" s="43">
        <f t="shared" si="29"/>
        <v>4.2</v>
      </c>
      <c r="G76" s="43">
        <f t="shared" si="29"/>
        <v>4.2</v>
      </c>
      <c r="H76" s="43">
        <f t="shared" si="29"/>
        <v>4.2</v>
      </c>
      <c r="I76" s="43">
        <f t="shared" si="29"/>
        <v>4.2</v>
      </c>
      <c r="J76" s="43">
        <f t="shared" si="29"/>
        <v>4.2</v>
      </c>
      <c r="K76" s="43">
        <f t="shared" si="29"/>
        <v>4.2</v>
      </c>
      <c r="L76" s="43">
        <f t="shared" si="29"/>
        <v>4.2</v>
      </c>
      <c r="N76" s="1" t="s">
        <v>129</v>
      </c>
    </row>
    <row r="77" spans="1:21" x14ac:dyDescent="0.35">
      <c r="A77" t="str">
        <f>IF(A7="","","    "&amp;A7&amp;" - Release from Mead")</f>
        <v xml:space="preserve">    Lower Basin - Release from Mead</v>
      </c>
      <c r="C77" s="43">
        <f>7.5-IF(C$29&lt;$O$78,$P$78,IF(C$29&lt;=$O$85,VLOOKUP(C$29,$O$78:$P$85,2),0))</f>
        <v>6.867</v>
      </c>
      <c r="D77" s="43">
        <f t="shared" ref="D77:L77" si="30">7.5-IF(D$29&lt;$O$78,$P$78,IF(D$29&lt;=$O$85,VLOOKUP(D$29,$O$78:$P$85,2),0))</f>
        <v>6.867</v>
      </c>
      <c r="E77" s="43">
        <f t="shared" si="30"/>
        <v>6.7830000000000004</v>
      </c>
      <c r="F77" s="43">
        <f t="shared" si="30"/>
        <v>6.7830000000000004</v>
      </c>
      <c r="G77" s="43">
        <f t="shared" si="30"/>
        <v>6.7830000000000004</v>
      </c>
      <c r="H77" s="43">
        <f t="shared" si="30"/>
        <v>6.7830000000000004</v>
      </c>
      <c r="I77" s="43">
        <f t="shared" si="30"/>
        <v>6.7830000000000004</v>
      </c>
      <c r="J77" s="43">
        <f t="shared" si="30"/>
        <v>6.7830000000000004</v>
      </c>
      <c r="K77" s="43">
        <f t="shared" si="30"/>
        <v>6.7830000000000004</v>
      </c>
      <c r="L77" s="43">
        <f t="shared" si="30"/>
        <v>6.5330000000000004</v>
      </c>
      <c r="N77" s="37" t="s">
        <v>130</v>
      </c>
      <c r="O77" s="37" t="s">
        <v>131</v>
      </c>
      <c r="P77" s="38" t="s">
        <v>132</v>
      </c>
      <c r="Q77" s="38" t="s">
        <v>133</v>
      </c>
      <c r="R77" s="37" t="s">
        <v>134</v>
      </c>
      <c r="S77" s="37" t="s">
        <v>134</v>
      </c>
      <c r="T77" s="51" t="s">
        <v>157</v>
      </c>
      <c r="U77" s="51" t="s">
        <v>158</v>
      </c>
    </row>
    <row r="78" spans="1:21" x14ac:dyDescent="0.35">
      <c r="A78" t="str">
        <f t="shared" ref="A78:A81" si="31">IF(A8="","","    "&amp;A8&amp;" - Release from Mead")</f>
        <v xml:space="preserve">    Mexico - Release from Mead</v>
      </c>
      <c r="C78" s="50">
        <f t="shared" ref="C78:L78" si="32">C71</f>
        <v>1.5090143220436021</v>
      </c>
      <c r="D78" s="50">
        <f t="shared" si="32"/>
        <v>1.47</v>
      </c>
      <c r="E78" s="50">
        <f t="shared" si="32"/>
        <v>1.452</v>
      </c>
      <c r="F78" s="50">
        <f t="shared" si="32"/>
        <v>1.468</v>
      </c>
      <c r="G78" s="50">
        <f t="shared" si="32"/>
        <v>1.468</v>
      </c>
      <c r="H78" s="50">
        <f t="shared" si="32"/>
        <v>1.452</v>
      </c>
      <c r="I78" s="50">
        <f t="shared" si="32"/>
        <v>1.468</v>
      </c>
      <c r="J78" s="50">
        <f t="shared" si="32"/>
        <v>1.468</v>
      </c>
      <c r="K78" s="50">
        <f t="shared" si="32"/>
        <v>1.452</v>
      </c>
      <c r="L78" s="50">
        <f t="shared" si="32"/>
        <v>1.4470000000000001</v>
      </c>
      <c r="N78" s="39">
        <v>1025</v>
      </c>
      <c r="O78" s="40">
        <v>5.981122</v>
      </c>
      <c r="P78" s="41">
        <f>S78-Q78</f>
        <v>1.2000000000000002</v>
      </c>
      <c r="Q78" s="49">
        <v>0.15</v>
      </c>
      <c r="R78" s="41">
        <v>1.325</v>
      </c>
      <c r="S78" s="41">
        <f t="shared" ref="S78:S85" si="33">U78/1000000</f>
        <v>1.35</v>
      </c>
      <c r="T78" s="42">
        <v>0.125</v>
      </c>
      <c r="U78" s="52">
        <v>1350000</v>
      </c>
    </row>
    <row r="79" spans="1:21" x14ac:dyDescent="0.35">
      <c r="A79" t="str">
        <f t="shared" si="31"/>
        <v xml:space="preserve">    Mohave &amp; Havasu Evap &amp; ET - Release from Mead</v>
      </c>
      <c r="C79" s="43">
        <v>0.6</v>
      </c>
      <c r="D79" s="43">
        <v>0.6</v>
      </c>
      <c r="E79" s="43">
        <v>0.6</v>
      </c>
      <c r="F79" s="43">
        <v>0.6</v>
      </c>
      <c r="G79" s="43">
        <v>0.6</v>
      </c>
      <c r="H79" s="43">
        <v>0.6</v>
      </c>
      <c r="I79" s="43">
        <v>0.6</v>
      </c>
      <c r="J79" s="43">
        <v>0.6</v>
      </c>
      <c r="K79" s="43">
        <v>0.6</v>
      </c>
      <c r="L79" s="43">
        <v>0.6</v>
      </c>
      <c r="N79" s="39">
        <v>1030</v>
      </c>
      <c r="O79" s="40">
        <v>6.305377</v>
      </c>
      <c r="P79" s="41">
        <f t="shared" ref="P79:P85" si="34">S79-Q79</f>
        <v>1.117</v>
      </c>
      <c r="Q79" s="49">
        <v>0.10100000000000001</v>
      </c>
      <c r="R79" s="41">
        <v>1.1870000000000001</v>
      </c>
      <c r="S79" s="41">
        <f t="shared" si="33"/>
        <v>1.218</v>
      </c>
      <c r="T79" s="42">
        <v>7.0000000000000007E-2</v>
      </c>
      <c r="U79" s="52">
        <v>1218000</v>
      </c>
    </row>
    <row r="80" spans="1:21" x14ac:dyDescent="0.35">
      <c r="A80" t="str">
        <f t="shared" si="31"/>
        <v xml:space="preserve">    Colorado River Delta - Release from Mead</v>
      </c>
      <c r="C80" s="68"/>
      <c r="D80" s="68"/>
      <c r="E80" s="50">
        <f>E73</f>
        <v>6.0372469287208581E-2</v>
      </c>
      <c r="F80" s="50"/>
      <c r="G80" s="50"/>
      <c r="H80" s="50">
        <f>H73</f>
        <v>6.0249573634549941E-2</v>
      </c>
      <c r="I80" s="50"/>
      <c r="J80" s="50"/>
      <c r="K80" s="50">
        <f>K73</f>
        <v>8.0309256191884781E-2</v>
      </c>
      <c r="L80" s="50"/>
      <c r="N80" s="39">
        <v>1035</v>
      </c>
      <c r="O80" s="40">
        <v>6.6375080000000004</v>
      </c>
      <c r="P80" s="41">
        <f t="shared" si="34"/>
        <v>1.0669999999999999</v>
      </c>
      <c r="Q80" s="49">
        <v>9.1999999999999998E-2</v>
      </c>
      <c r="R80" s="41">
        <v>1.137</v>
      </c>
      <c r="S80" s="41">
        <f t="shared" si="33"/>
        <v>1.159</v>
      </c>
      <c r="T80" s="42">
        <v>7.0000000000000007E-2</v>
      </c>
      <c r="U80" s="52">
        <v>1159000</v>
      </c>
    </row>
    <row r="81" spans="1:21" x14ac:dyDescent="0.35">
      <c r="A81" t="str">
        <f t="shared" si="31"/>
        <v/>
      </c>
      <c r="C81" s="43"/>
      <c r="D81" s="43"/>
      <c r="E81" s="43"/>
      <c r="F81" s="43"/>
      <c r="G81" s="43"/>
      <c r="H81" s="43"/>
      <c r="I81" s="43"/>
      <c r="J81" s="43"/>
      <c r="K81" s="43"/>
      <c r="L81" s="43"/>
      <c r="N81" s="39">
        <v>1040</v>
      </c>
      <c r="O81" s="40">
        <v>6.977665</v>
      </c>
      <c r="P81" s="41">
        <f t="shared" si="34"/>
        <v>1.0169999999999999</v>
      </c>
      <c r="Q81" s="49">
        <v>8.4000000000000005E-2</v>
      </c>
      <c r="R81" s="41">
        <v>1.087</v>
      </c>
      <c r="S81" s="41">
        <f t="shared" si="33"/>
        <v>1.101</v>
      </c>
      <c r="T81" s="42">
        <v>7.0000000000000007E-2</v>
      </c>
      <c r="U81" s="52">
        <v>1101000</v>
      </c>
    </row>
    <row r="82" spans="1:21" x14ac:dyDescent="0.35">
      <c r="A82" s="1" t="s">
        <v>141</v>
      </c>
      <c r="B82" s="1"/>
      <c r="D82" s="2"/>
      <c r="E82" s="2"/>
      <c r="F82" s="2"/>
      <c r="G82" s="2"/>
      <c r="H82" s="2"/>
      <c r="I82" s="2"/>
      <c r="J82" s="2"/>
      <c r="K82" s="2"/>
      <c r="L82" s="2"/>
      <c r="N82" s="39">
        <v>1045</v>
      </c>
      <c r="O82" s="40">
        <v>7.3260519999999998</v>
      </c>
      <c r="P82" s="41">
        <f t="shared" si="34"/>
        <v>0.96699999999999997</v>
      </c>
      <c r="Q82" s="49">
        <v>7.5999999999999998E-2</v>
      </c>
      <c r="R82" s="41">
        <v>1.0369999999999999</v>
      </c>
      <c r="S82" s="41">
        <f t="shared" si="33"/>
        <v>1.0429999999999999</v>
      </c>
      <c r="T82" s="42">
        <v>7.0000000000000007E-2</v>
      </c>
      <c r="U82" s="52">
        <v>1043000</v>
      </c>
    </row>
    <row r="83" spans="1:21" x14ac:dyDescent="0.35">
      <c r="A83" t="str">
        <f>IF(A6="","","    "&amp;A6)</f>
        <v xml:space="preserve">    Upper Basin</v>
      </c>
      <c r="C83" s="14">
        <f>IF(OR(C$25="",$A83=""),"",C69-C76)</f>
        <v>10.432257133649305</v>
      </c>
      <c r="D83" s="14">
        <f t="shared" ref="D83:L83" si="35">IF(OR(D$25="",$A83=""),"",D69-D76)</f>
        <v>9.8829965026836284</v>
      </c>
      <c r="E83" s="14">
        <f t="shared" si="35"/>
        <v>9.3505351032260542</v>
      </c>
      <c r="F83" s="14">
        <f t="shared" si="35"/>
        <v>8.8366866013245442</v>
      </c>
      <c r="G83" s="14">
        <f t="shared" si="35"/>
        <v>8.340922317583896</v>
      </c>
      <c r="H83" s="14">
        <f t="shared" si="35"/>
        <v>7.8638282205688048</v>
      </c>
      <c r="I83" s="14">
        <f t="shared" si="35"/>
        <v>9.403592011244001</v>
      </c>
      <c r="J83" s="14">
        <f t="shared" si="35"/>
        <v>10.875853247459819</v>
      </c>
      <c r="K83" s="14">
        <f t="shared" si="35"/>
        <v>12.287183355972239</v>
      </c>
      <c r="L83" s="14">
        <f t="shared" si="35"/>
        <v>13.642191431982162</v>
      </c>
      <c r="N83" s="39">
        <v>1050</v>
      </c>
      <c r="O83" s="40">
        <v>7.6828779999999997</v>
      </c>
      <c r="P83" s="41">
        <f t="shared" si="34"/>
        <v>0.71699999999999997</v>
      </c>
      <c r="Q83" s="49">
        <v>3.4000000000000002E-2</v>
      </c>
      <c r="R83" s="41">
        <v>0.78700000000000003</v>
      </c>
      <c r="S83" s="41">
        <f t="shared" si="33"/>
        <v>0.751</v>
      </c>
      <c r="T83" s="42">
        <v>7.0000000000000007E-2</v>
      </c>
      <c r="U83" s="52">
        <v>751000</v>
      </c>
    </row>
    <row r="84" spans="1:21" x14ac:dyDescent="0.35">
      <c r="A84" t="str">
        <f t="shared" ref="A84:A88" si="36">IF(A7="","","    "&amp;A7)</f>
        <v xml:space="preserve">    Lower Basin</v>
      </c>
      <c r="C84" s="14">
        <f t="shared" ref="C84:L88" si="37">IF(OR(C$25="",$A84=""),"",C70-C77)</f>
        <v>9.6698308643071194</v>
      </c>
      <c r="D84" s="14">
        <f t="shared" si="37"/>
        <v>9.2911542201348674</v>
      </c>
      <c r="E84" s="14">
        <f t="shared" si="37"/>
        <v>9.0074832481104004</v>
      </c>
      <c r="F84" s="14">
        <f t="shared" si="37"/>
        <v>8.7302027105107385</v>
      </c>
      <c r="G84" s="14">
        <f t="shared" si="37"/>
        <v>8.4589907311455086</v>
      </c>
      <c r="H84" s="14">
        <f t="shared" si="37"/>
        <v>8.1946386512968523</v>
      </c>
      <c r="I84" s="14">
        <f t="shared" si="37"/>
        <v>7.9355138806222554</v>
      </c>
      <c r="J84" s="14">
        <f t="shared" si="37"/>
        <v>7.7037009343720735</v>
      </c>
      <c r="K84" s="14">
        <f t="shared" si="37"/>
        <v>7.4755195428676595</v>
      </c>
      <c r="L84" s="14">
        <f t="shared" si="37"/>
        <v>7.5594005958583059</v>
      </c>
      <c r="N84" s="39">
        <v>1075</v>
      </c>
      <c r="O84" s="40">
        <v>9.6009879999900001</v>
      </c>
      <c r="P84" s="41">
        <f t="shared" si="34"/>
        <v>0.63300000000000001</v>
      </c>
      <c r="Q84" s="49">
        <v>0.03</v>
      </c>
      <c r="R84" s="41">
        <v>0.68300000000000005</v>
      </c>
      <c r="S84" s="41">
        <f t="shared" si="33"/>
        <v>0.66300000000000003</v>
      </c>
      <c r="T84" s="42">
        <v>0.05</v>
      </c>
      <c r="U84" s="52">
        <v>663000</v>
      </c>
    </row>
    <row r="85" spans="1:21" x14ac:dyDescent="0.35">
      <c r="A85" t="str">
        <f t="shared" si="36"/>
        <v xml:space="preserve">    Mexico</v>
      </c>
      <c r="C85" s="14">
        <f t="shared" si="37"/>
        <v>0</v>
      </c>
      <c r="D85" s="14">
        <f t="shared" si="37"/>
        <v>0</v>
      </c>
      <c r="E85" s="14">
        <f t="shared" si="37"/>
        <v>0</v>
      </c>
      <c r="F85" s="14">
        <f t="shared" si="37"/>
        <v>0</v>
      </c>
      <c r="G85" s="14">
        <f t="shared" si="37"/>
        <v>0</v>
      </c>
      <c r="H85" s="14">
        <f t="shared" si="37"/>
        <v>0</v>
      </c>
      <c r="I85" s="14">
        <f t="shared" si="37"/>
        <v>0</v>
      </c>
      <c r="J85" s="14">
        <f t="shared" si="37"/>
        <v>0</v>
      </c>
      <c r="K85" s="14">
        <f t="shared" si="37"/>
        <v>0</v>
      </c>
      <c r="L85" s="14">
        <f t="shared" si="37"/>
        <v>0</v>
      </c>
      <c r="N85" s="39">
        <v>1090</v>
      </c>
      <c r="O85" s="40">
        <v>10.857008</v>
      </c>
      <c r="P85" s="41">
        <f t="shared" si="34"/>
        <v>0.30000000000000004</v>
      </c>
      <c r="Q85" s="49">
        <v>4.1000000000000002E-2</v>
      </c>
      <c r="R85" s="41">
        <v>0.3</v>
      </c>
      <c r="S85" s="41">
        <f t="shared" si="33"/>
        <v>0.34100000000000003</v>
      </c>
      <c r="T85" s="38"/>
      <c r="U85" s="52">
        <v>341000</v>
      </c>
    </row>
    <row r="86" spans="1:21" x14ac:dyDescent="0.35">
      <c r="A86" t="str">
        <f t="shared" si="36"/>
        <v xml:space="preserve">    Mohave &amp; Havasu Evap &amp; ET</v>
      </c>
      <c r="C86" s="14">
        <f t="shared" si="37"/>
        <v>0</v>
      </c>
      <c r="D86" s="14">
        <f t="shared" si="37"/>
        <v>0</v>
      </c>
      <c r="E86" s="14">
        <f t="shared" si="37"/>
        <v>0</v>
      </c>
      <c r="F86" s="14">
        <f t="shared" si="37"/>
        <v>0</v>
      </c>
      <c r="G86" s="14">
        <f t="shared" si="37"/>
        <v>0</v>
      </c>
      <c r="H86" s="14">
        <f t="shared" si="37"/>
        <v>0</v>
      </c>
      <c r="I86" s="14">
        <f t="shared" si="37"/>
        <v>0</v>
      </c>
      <c r="J86" s="14">
        <f t="shared" si="37"/>
        <v>0</v>
      </c>
      <c r="K86" s="14">
        <f t="shared" si="37"/>
        <v>0</v>
      </c>
      <c r="L86" s="14">
        <f t="shared" si="37"/>
        <v>0</v>
      </c>
    </row>
    <row r="87" spans="1:21" x14ac:dyDescent="0.35">
      <c r="A87" t="str">
        <f t="shared" si="36"/>
        <v xml:space="preserve">    Colorado River Delta</v>
      </c>
      <c r="C87" s="59">
        <f>IF(OR(C$25="",$A87=""),"",C73-C80)</f>
        <v>1.5555555555555553E-2</v>
      </c>
      <c r="D87" s="59">
        <f t="shared" si="37"/>
        <v>3.034429624904076E-2</v>
      </c>
      <c r="E87" s="59">
        <f t="shared" si="37"/>
        <v>0</v>
      </c>
      <c r="F87" s="59">
        <f t="shared" si="37"/>
        <v>1.5555555555555553E-2</v>
      </c>
      <c r="G87" s="59">
        <f t="shared" si="37"/>
        <v>3.0300010215819753E-2</v>
      </c>
      <c r="H87" s="59">
        <f t="shared" si="37"/>
        <v>0</v>
      </c>
      <c r="I87" s="59">
        <f t="shared" si="37"/>
        <v>1.5555555555555553E-2</v>
      </c>
      <c r="J87" s="59">
        <f t="shared" si="37"/>
        <v>3.0296015644904608E-2</v>
      </c>
      <c r="K87" s="59">
        <f t="shared" si="37"/>
        <v>0</v>
      </c>
      <c r="L87" s="59">
        <f t="shared" si="37"/>
        <v>1.5555555555555553E-2</v>
      </c>
    </row>
    <row r="88" spans="1:21" x14ac:dyDescent="0.35">
      <c r="A88" t="str">
        <f t="shared" si="36"/>
        <v/>
      </c>
      <c r="C88" s="14" t="str">
        <f t="shared" si="37"/>
        <v/>
      </c>
      <c r="D88" s="14" t="str">
        <f t="shared" si="37"/>
        <v/>
      </c>
      <c r="E88" s="14" t="str">
        <f t="shared" si="37"/>
        <v/>
      </c>
      <c r="F88" s="14" t="str">
        <f t="shared" si="37"/>
        <v/>
      </c>
      <c r="G88" s="14" t="str">
        <f t="shared" si="37"/>
        <v/>
      </c>
      <c r="H88" s="14" t="str">
        <f t="shared" si="37"/>
        <v/>
      </c>
      <c r="I88" s="14" t="str">
        <f t="shared" si="37"/>
        <v/>
      </c>
      <c r="J88" s="14" t="str">
        <f t="shared" si="37"/>
        <v/>
      </c>
      <c r="K88" s="14" t="str">
        <f t="shared" si="37"/>
        <v/>
      </c>
      <c r="L88" s="14" t="str">
        <f t="shared" si="37"/>
        <v/>
      </c>
    </row>
    <row r="89" spans="1:21" x14ac:dyDescent="0.35">
      <c r="A89" s="1" t="s">
        <v>125</v>
      </c>
      <c r="B89" s="1"/>
      <c r="C89" s="14">
        <f>IF(C$25&lt;&gt;"",SUM(C83:C88),"")</f>
        <v>20.117643553511979</v>
      </c>
      <c r="D89" s="14">
        <f t="shared" ref="D89:L89" si="38">IF(D$25&lt;&gt;"",SUM(D83:D88),"")</f>
        <v>19.204495019067537</v>
      </c>
      <c r="E89" s="14">
        <f t="shared" si="38"/>
        <v>18.358018351336455</v>
      </c>
      <c r="F89" s="14">
        <f t="shared" si="38"/>
        <v>17.582444867390837</v>
      </c>
      <c r="G89" s="14">
        <f t="shared" si="38"/>
        <v>16.830213058945226</v>
      </c>
      <c r="H89" s="14">
        <f t="shared" si="38"/>
        <v>16.058466871865658</v>
      </c>
      <c r="I89" s="14">
        <f t="shared" si="38"/>
        <v>17.354661447421812</v>
      </c>
      <c r="J89" s="14">
        <f t="shared" si="38"/>
        <v>18.609850197476796</v>
      </c>
      <c r="K89" s="14">
        <f t="shared" si="38"/>
        <v>19.762702898839898</v>
      </c>
      <c r="L89" s="14">
        <f t="shared" si="38"/>
        <v>21.217147583396024</v>
      </c>
    </row>
    <row r="90" spans="1:21" x14ac:dyDescent="0.35">
      <c r="A90" s="1" t="s">
        <v>147</v>
      </c>
      <c r="B90" s="1"/>
      <c r="C90" s="14">
        <f>IF(C25&lt;&gt;"",C35+C25-C38-C76-C89*$B$35,"")</f>
        <v>8.6084353568933114</v>
      </c>
      <c r="D90" s="14">
        <f t="shared" ref="D90:L90" si="39">IF(D25&lt;&gt;"",D35+D25-D38-D76-D89*$B$35,"")</f>
        <v>8.1423136362565423</v>
      </c>
      <c r="E90" s="14">
        <f t="shared" si="39"/>
        <v>8.1257769344079662</v>
      </c>
      <c r="F90" s="14">
        <f t="shared" si="39"/>
        <v>8.1089382400712982</v>
      </c>
      <c r="G90" s="14">
        <f t="shared" si="39"/>
        <v>8.115351620482155</v>
      </c>
      <c r="H90" s="14">
        <f t="shared" si="39"/>
        <v>8.1437789965246932</v>
      </c>
      <c r="I90" s="14">
        <f t="shared" si="39"/>
        <v>9.1266665028971232</v>
      </c>
      <c r="J90" s="14">
        <f t="shared" si="39"/>
        <v>9.0796668611883256</v>
      </c>
      <c r="K90" s="14">
        <f t="shared" si="39"/>
        <v>9.0699037578308683</v>
      </c>
      <c r="L90" s="14">
        <f t="shared" si="39"/>
        <v>8.8627857337318634</v>
      </c>
    </row>
    <row r="92" spans="1:21" x14ac:dyDescent="0.35">
      <c r="A92" s="1" t="s">
        <v>127</v>
      </c>
      <c r="C92" s="12">
        <f>IF(C$25&lt;&gt;"",0.2,"")</f>
        <v>0.2</v>
      </c>
      <c r="D92" s="12">
        <f t="shared" ref="D92:L92" si="40">IF(D$25&lt;&gt;"",0.2,"")</f>
        <v>0.2</v>
      </c>
      <c r="E92" s="12">
        <f t="shared" si="40"/>
        <v>0.2</v>
      </c>
      <c r="F92" s="12">
        <f t="shared" si="40"/>
        <v>0.2</v>
      </c>
      <c r="G92" s="12">
        <f t="shared" si="40"/>
        <v>0.2</v>
      </c>
      <c r="H92" s="12">
        <f t="shared" si="40"/>
        <v>0.2</v>
      </c>
      <c r="I92" s="12">
        <f t="shared" si="40"/>
        <v>0.2</v>
      </c>
      <c r="J92" s="12">
        <f t="shared" si="40"/>
        <v>0.2</v>
      </c>
      <c r="K92" s="12">
        <f t="shared" si="40"/>
        <v>0.2</v>
      </c>
      <c r="L92" s="12">
        <f t="shared" si="40"/>
        <v>0.2</v>
      </c>
    </row>
    <row r="93" spans="1:21" x14ac:dyDescent="0.35">
      <c r="A93" t="s">
        <v>128</v>
      </c>
      <c r="C93" s="14">
        <f t="shared" ref="C93:L93" si="41">IF(C$25&lt;&gt;"",C77+C92,"")</f>
        <v>7.0670000000000002</v>
      </c>
      <c r="D93" s="14">
        <f t="shared" si="41"/>
        <v>7.0670000000000002</v>
      </c>
      <c r="E93" s="14">
        <f t="shared" si="41"/>
        <v>6.9830000000000005</v>
      </c>
      <c r="F93" s="14">
        <f t="shared" si="41"/>
        <v>6.9830000000000005</v>
      </c>
      <c r="G93" s="14">
        <f t="shared" si="41"/>
        <v>6.9830000000000005</v>
      </c>
      <c r="H93" s="14">
        <f t="shared" si="41"/>
        <v>6.9830000000000005</v>
      </c>
      <c r="I93" s="14">
        <f t="shared" si="41"/>
        <v>6.9830000000000005</v>
      </c>
      <c r="J93" s="14">
        <f t="shared" si="41"/>
        <v>6.9830000000000005</v>
      </c>
      <c r="K93" s="14">
        <f t="shared" si="41"/>
        <v>6.9830000000000005</v>
      </c>
      <c r="L93" s="14">
        <f t="shared" si="41"/>
        <v>6.7330000000000005</v>
      </c>
    </row>
    <row r="95" spans="1:21" x14ac:dyDescent="0.35">
      <c r="D95" s="18"/>
    </row>
  </sheetData>
  <mergeCells count="9">
    <mergeCell ref="C9:G9"/>
    <mergeCell ref="C10:G10"/>
    <mergeCell ref="C11:G11"/>
    <mergeCell ref="A3:G3"/>
    <mergeCell ref="C4:G4"/>
    <mergeCell ref="C5:G5"/>
    <mergeCell ref="C6:G6"/>
    <mergeCell ref="C7:G7"/>
    <mergeCell ref="C8:G8"/>
  </mergeCells>
  <conditionalFormatting sqref="C76">
    <cfRule type="cellIs" dxfId="82" priority="66" operator="greaterThan">
      <formula>$C$69</formula>
    </cfRule>
  </conditionalFormatting>
  <conditionalFormatting sqref="C77">
    <cfRule type="cellIs" dxfId="81" priority="65" operator="greaterThan">
      <formula>$C$70</formula>
    </cfRule>
  </conditionalFormatting>
  <conditionalFormatting sqref="C78">
    <cfRule type="cellIs" dxfId="80" priority="64" operator="greaterThan">
      <formula>$C$71</formula>
    </cfRule>
  </conditionalFormatting>
  <conditionalFormatting sqref="C79">
    <cfRule type="cellIs" dxfId="79" priority="63" operator="greaterThan">
      <formula>$C$72</formula>
    </cfRule>
  </conditionalFormatting>
  <conditionalFormatting sqref="C80">
    <cfRule type="cellIs" dxfId="78" priority="62" operator="greaterThan">
      <formula>$C$73</formula>
    </cfRule>
  </conditionalFormatting>
  <conditionalFormatting sqref="C81">
    <cfRule type="cellIs" dxfId="77" priority="61" operator="greaterThan">
      <formula>$C$74</formula>
    </cfRule>
  </conditionalFormatting>
  <conditionalFormatting sqref="D76">
    <cfRule type="cellIs" dxfId="76" priority="60" operator="greaterThan">
      <formula>$D$69</formula>
    </cfRule>
  </conditionalFormatting>
  <conditionalFormatting sqref="D77">
    <cfRule type="cellIs" dxfId="75" priority="59" operator="greaterThan">
      <formula>$D$70</formula>
    </cfRule>
  </conditionalFormatting>
  <conditionalFormatting sqref="D78">
    <cfRule type="cellIs" dxfId="74" priority="58" operator="greaterThan">
      <formula>$D$71</formula>
    </cfRule>
  </conditionalFormatting>
  <conditionalFormatting sqref="D79">
    <cfRule type="cellIs" dxfId="73" priority="57" operator="greaterThan">
      <formula>$D$72</formula>
    </cfRule>
  </conditionalFormatting>
  <conditionalFormatting sqref="D80">
    <cfRule type="cellIs" dxfId="72" priority="56" operator="greaterThan">
      <formula>$D$73</formula>
    </cfRule>
  </conditionalFormatting>
  <conditionalFormatting sqref="D81">
    <cfRule type="cellIs" dxfId="71" priority="55" operator="greaterThan">
      <formula>$D$74</formula>
    </cfRule>
  </conditionalFormatting>
  <conditionalFormatting sqref="E76">
    <cfRule type="cellIs" dxfId="70" priority="54" operator="greaterThan">
      <formula>$E$69</formula>
    </cfRule>
  </conditionalFormatting>
  <conditionalFormatting sqref="E77">
    <cfRule type="cellIs" dxfId="69" priority="53" operator="greaterThan">
      <formula>$E$70</formula>
    </cfRule>
  </conditionalFormatting>
  <conditionalFormatting sqref="E78">
    <cfRule type="cellIs" dxfId="68" priority="52" operator="greaterThan">
      <formula>$E$71</formula>
    </cfRule>
  </conditionalFormatting>
  <conditionalFormatting sqref="E79">
    <cfRule type="cellIs" dxfId="67" priority="51" operator="greaterThan">
      <formula>$E$72</formula>
    </cfRule>
  </conditionalFormatting>
  <conditionalFormatting sqref="E80">
    <cfRule type="cellIs" dxfId="66" priority="50" operator="greaterThan">
      <formula>$E$73</formula>
    </cfRule>
  </conditionalFormatting>
  <conditionalFormatting sqref="E81">
    <cfRule type="cellIs" dxfId="65" priority="49" operator="greaterThan">
      <formula>$E$74</formula>
    </cfRule>
  </conditionalFormatting>
  <conditionalFormatting sqref="F76">
    <cfRule type="cellIs" dxfId="64" priority="48" operator="greaterThan">
      <formula>$F$69</formula>
    </cfRule>
  </conditionalFormatting>
  <conditionalFormatting sqref="F77">
    <cfRule type="cellIs" dxfId="63" priority="47" operator="greaterThan">
      <formula>$F$70</formula>
    </cfRule>
  </conditionalFormatting>
  <conditionalFormatting sqref="F78">
    <cfRule type="cellIs" dxfId="62" priority="46" operator="greaterThan">
      <formula>$F$71</formula>
    </cfRule>
  </conditionalFormatting>
  <conditionalFormatting sqref="F79">
    <cfRule type="cellIs" dxfId="61" priority="45" operator="greaterThan">
      <formula>$F$72</formula>
    </cfRule>
  </conditionalFormatting>
  <conditionalFormatting sqref="F80">
    <cfRule type="cellIs" dxfId="60" priority="44" operator="greaterThan">
      <formula>$F$73</formula>
    </cfRule>
  </conditionalFormatting>
  <conditionalFormatting sqref="F81">
    <cfRule type="cellIs" dxfId="59" priority="43" operator="greaterThan">
      <formula>$F$74</formula>
    </cfRule>
  </conditionalFormatting>
  <conditionalFormatting sqref="G76">
    <cfRule type="cellIs" dxfId="58" priority="42" operator="greaterThan">
      <formula>$G$69</formula>
    </cfRule>
  </conditionalFormatting>
  <conditionalFormatting sqref="G77">
    <cfRule type="cellIs" dxfId="57" priority="41" operator="greaterThan">
      <formula>$G$70</formula>
    </cfRule>
  </conditionalFormatting>
  <conditionalFormatting sqref="G78">
    <cfRule type="cellIs" dxfId="56" priority="40" operator="greaterThan">
      <formula>$G$71</formula>
    </cfRule>
  </conditionalFormatting>
  <conditionalFormatting sqref="G79">
    <cfRule type="cellIs" dxfId="55" priority="39" operator="greaterThan">
      <formula>$G$72</formula>
    </cfRule>
  </conditionalFormatting>
  <conditionalFormatting sqref="G80">
    <cfRule type="cellIs" dxfId="54" priority="38" operator="greaterThan">
      <formula>$G$73</formula>
    </cfRule>
  </conditionalFormatting>
  <conditionalFormatting sqref="G81">
    <cfRule type="cellIs" dxfId="53" priority="37" operator="greaterThan">
      <formula>$G$74</formula>
    </cfRule>
  </conditionalFormatting>
  <conditionalFormatting sqref="H76">
    <cfRule type="cellIs" dxfId="52" priority="36" operator="greaterThan">
      <formula>$H$69</formula>
    </cfRule>
  </conditionalFormatting>
  <conditionalFormatting sqref="H77">
    <cfRule type="cellIs" dxfId="51" priority="35" operator="greaterThan">
      <formula>$H$70</formula>
    </cfRule>
  </conditionalFormatting>
  <conditionalFormatting sqref="H78">
    <cfRule type="cellIs" dxfId="50" priority="34" operator="greaterThan">
      <formula>$H$71</formula>
    </cfRule>
  </conditionalFormatting>
  <conditionalFormatting sqref="H79">
    <cfRule type="cellIs" dxfId="49" priority="33" operator="greaterThan">
      <formula>$H$72</formula>
    </cfRule>
  </conditionalFormatting>
  <conditionalFormatting sqref="H80">
    <cfRule type="cellIs" dxfId="48" priority="32" operator="greaterThan">
      <formula>$H$73</formula>
    </cfRule>
  </conditionalFormatting>
  <conditionalFormatting sqref="H81">
    <cfRule type="cellIs" dxfId="47" priority="31" operator="greaterThan">
      <formula>$H$74</formula>
    </cfRule>
  </conditionalFormatting>
  <conditionalFormatting sqref="I76">
    <cfRule type="cellIs" dxfId="46" priority="24" operator="greaterThan">
      <formula>$I$69</formula>
    </cfRule>
  </conditionalFormatting>
  <conditionalFormatting sqref="I77">
    <cfRule type="cellIs" dxfId="45" priority="23" operator="greaterThan">
      <formula>$I$70</formula>
    </cfRule>
  </conditionalFormatting>
  <conditionalFormatting sqref="I78">
    <cfRule type="cellIs" dxfId="44" priority="22" operator="greaterThan">
      <formula>$I$71</formula>
    </cfRule>
  </conditionalFormatting>
  <conditionalFormatting sqref="I79">
    <cfRule type="cellIs" dxfId="43" priority="21" operator="greaterThan">
      <formula>$I$72</formula>
    </cfRule>
  </conditionalFormatting>
  <conditionalFormatting sqref="I80">
    <cfRule type="cellIs" dxfId="42" priority="20" operator="greaterThan">
      <formula>$I$73</formula>
    </cfRule>
  </conditionalFormatting>
  <conditionalFormatting sqref="I81">
    <cfRule type="cellIs" dxfId="41" priority="19" operator="greaterThan">
      <formula>$I$74</formula>
    </cfRule>
  </conditionalFormatting>
  <conditionalFormatting sqref="J76">
    <cfRule type="cellIs" dxfId="40" priority="18" operator="greaterThan">
      <formula>$J$69</formula>
    </cfRule>
  </conditionalFormatting>
  <conditionalFormatting sqref="J77">
    <cfRule type="cellIs" dxfId="39" priority="17" operator="greaterThan">
      <formula>$J$70</formula>
    </cfRule>
  </conditionalFormatting>
  <conditionalFormatting sqref="J78">
    <cfRule type="cellIs" dxfId="38" priority="16" operator="greaterThan">
      <formula>$J$71</formula>
    </cfRule>
  </conditionalFormatting>
  <conditionalFormatting sqref="J79">
    <cfRule type="cellIs" dxfId="37" priority="15" operator="greaterThan">
      <formula>$J$72</formula>
    </cfRule>
  </conditionalFormatting>
  <conditionalFormatting sqref="J80">
    <cfRule type="cellIs" dxfId="36" priority="14" operator="greaterThan">
      <formula>$J$73</formula>
    </cfRule>
  </conditionalFormatting>
  <conditionalFormatting sqref="J81">
    <cfRule type="cellIs" dxfId="35" priority="13" operator="greaterThan">
      <formula>$J$74</formula>
    </cfRule>
  </conditionalFormatting>
  <conditionalFormatting sqref="K76">
    <cfRule type="cellIs" dxfId="34" priority="12" operator="greaterThan">
      <formula>$K$69</formula>
    </cfRule>
  </conditionalFormatting>
  <conditionalFormatting sqref="K77">
    <cfRule type="cellIs" dxfId="33" priority="11" operator="greaterThan">
      <formula>$K$70</formula>
    </cfRule>
  </conditionalFormatting>
  <conditionalFormatting sqref="K78">
    <cfRule type="cellIs" dxfId="32" priority="10" operator="greaterThan">
      <formula>$K$71</formula>
    </cfRule>
  </conditionalFormatting>
  <conditionalFormatting sqref="K79">
    <cfRule type="cellIs" dxfId="31" priority="9" operator="greaterThan">
      <formula>$K$72</formula>
    </cfRule>
  </conditionalFormatting>
  <conditionalFormatting sqref="K80">
    <cfRule type="cellIs" dxfId="30" priority="8" operator="greaterThan">
      <formula>$K$73</formula>
    </cfRule>
  </conditionalFormatting>
  <conditionalFormatting sqref="K81">
    <cfRule type="cellIs" dxfId="29" priority="7" operator="greaterThan">
      <formula>$K$74</formula>
    </cfRule>
  </conditionalFormatting>
  <conditionalFormatting sqref="L76">
    <cfRule type="cellIs" dxfId="28" priority="6" operator="greaterThan">
      <formula>$L$69</formula>
    </cfRule>
  </conditionalFormatting>
  <conditionalFormatting sqref="L77">
    <cfRule type="cellIs" dxfId="27" priority="5" operator="greaterThan">
      <formula>$L$70</formula>
    </cfRule>
  </conditionalFormatting>
  <conditionalFormatting sqref="L78">
    <cfRule type="cellIs" dxfId="26" priority="4" operator="greaterThan">
      <formula>$L$71</formula>
    </cfRule>
  </conditionalFormatting>
  <conditionalFormatting sqref="L79">
    <cfRule type="cellIs" dxfId="25" priority="3" operator="greaterThan">
      <formula>$L$72</formula>
    </cfRule>
  </conditionalFormatting>
  <conditionalFormatting sqref="L80">
    <cfRule type="cellIs" dxfId="24" priority="2" operator="greaterThan">
      <formula>$L$73</formula>
    </cfRule>
  </conditionalFormatting>
  <conditionalFormatting sqref="L81">
    <cfRule type="cellIs" dxfId="23" priority="1" operator="greaterThan">
      <formula>$L$74</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14463D-A2C3-4926-8417-FA772A766EC1}">
  <dimension ref="A1:X21"/>
  <sheetViews>
    <sheetView zoomScale="208" zoomScaleNormal="208" workbookViewId="0">
      <pane xSplit="2" ySplit="5" topLeftCell="C6" activePane="bottomRight" state="frozen"/>
      <selection pane="topRight" activeCell="C1" sqref="C1"/>
      <selection pane="bottomLeft" activeCell="A6" sqref="A6"/>
      <selection pane="bottomRight" activeCell="B13" sqref="B13"/>
    </sheetView>
  </sheetViews>
  <sheetFormatPr defaultRowHeight="14.5" x14ac:dyDescent="0.35"/>
  <cols>
    <col min="1" max="1" width="19.36328125" customWidth="1"/>
    <col min="2" max="2" width="24.54296875" customWidth="1"/>
    <col min="3" max="3" width="8.08984375" style="2" bestFit="1" customWidth="1"/>
    <col min="4" max="10" width="7.7265625" style="2" bestFit="1" customWidth="1"/>
    <col min="11" max="12" width="7.6328125" style="2" bestFit="1" customWidth="1"/>
    <col min="13" max="21" width="7.7265625" bestFit="1" customWidth="1"/>
    <col min="22" max="22" width="8.90625" bestFit="1" customWidth="1"/>
    <col min="23" max="23" width="8.90625" customWidth="1"/>
  </cols>
  <sheetData>
    <row r="1" spans="1:24" x14ac:dyDescent="0.35">
      <c r="A1" s="1" t="s">
        <v>55</v>
      </c>
    </row>
    <row r="3" spans="1:24" x14ac:dyDescent="0.35">
      <c r="A3" t="s">
        <v>77</v>
      </c>
    </row>
    <row r="5" spans="1:24" s="1" customFormat="1" x14ac:dyDescent="0.35">
      <c r="A5" s="1" t="s">
        <v>57</v>
      </c>
      <c r="B5" s="1" t="s">
        <v>56</v>
      </c>
      <c r="C5" s="13" t="s">
        <v>5</v>
      </c>
      <c r="D5" s="13" t="s">
        <v>6</v>
      </c>
      <c r="E5" s="13" t="s">
        <v>7</v>
      </c>
      <c r="F5" s="13" t="s">
        <v>8</v>
      </c>
      <c r="G5" s="13" t="s">
        <v>9</v>
      </c>
      <c r="H5" s="13" t="s">
        <v>10</v>
      </c>
      <c r="I5" s="13" t="s">
        <v>11</v>
      </c>
      <c r="J5" s="13" t="s">
        <v>12</v>
      </c>
      <c r="K5" s="13" t="s">
        <v>36</v>
      </c>
      <c r="L5" s="13" t="s">
        <v>37</v>
      </c>
      <c r="M5" s="13" t="s">
        <v>60</v>
      </c>
      <c r="N5" s="13" t="s">
        <v>61</v>
      </c>
      <c r="O5" s="13" t="s">
        <v>62</v>
      </c>
      <c r="P5" s="13" t="s">
        <v>63</v>
      </c>
      <c r="Q5" s="13" t="s">
        <v>64</v>
      </c>
      <c r="R5" s="13" t="s">
        <v>65</v>
      </c>
      <c r="S5" s="13" t="s">
        <v>66</v>
      </c>
      <c r="T5" s="13" t="s">
        <v>67</v>
      </c>
      <c r="U5" s="13" t="s">
        <v>68</v>
      </c>
      <c r="V5" s="1" t="s">
        <v>84</v>
      </c>
      <c r="W5" s="1" t="s">
        <v>85</v>
      </c>
      <c r="X5" s="1" t="s">
        <v>58</v>
      </c>
    </row>
    <row r="6" spans="1:24" x14ac:dyDescent="0.35">
      <c r="A6" t="s">
        <v>87</v>
      </c>
      <c r="B6" t="s">
        <v>88</v>
      </c>
      <c r="C6" s="2">
        <v>12.4</v>
      </c>
      <c r="D6" s="2">
        <f>C6</f>
        <v>12.4</v>
      </c>
      <c r="E6" s="2">
        <f t="shared" ref="E6:U6" si="0">D6</f>
        <v>12.4</v>
      </c>
      <c r="F6" s="2">
        <f t="shared" si="0"/>
        <v>12.4</v>
      </c>
      <c r="G6" s="2">
        <f t="shared" si="0"/>
        <v>12.4</v>
      </c>
      <c r="H6" s="2">
        <f t="shared" si="0"/>
        <v>12.4</v>
      </c>
      <c r="I6" s="2">
        <f t="shared" si="0"/>
        <v>12.4</v>
      </c>
      <c r="J6" s="2">
        <f t="shared" si="0"/>
        <v>12.4</v>
      </c>
      <c r="K6" s="2">
        <f t="shared" si="0"/>
        <v>12.4</v>
      </c>
      <c r="L6" s="2">
        <f t="shared" si="0"/>
        <v>12.4</v>
      </c>
      <c r="M6" s="2">
        <f t="shared" si="0"/>
        <v>12.4</v>
      </c>
      <c r="N6" s="2">
        <f t="shared" si="0"/>
        <v>12.4</v>
      </c>
      <c r="O6" s="2">
        <f t="shared" si="0"/>
        <v>12.4</v>
      </c>
      <c r="P6" s="2">
        <f t="shared" si="0"/>
        <v>12.4</v>
      </c>
      <c r="Q6" s="2">
        <f t="shared" si="0"/>
        <v>12.4</v>
      </c>
      <c r="R6" s="2">
        <f t="shared" si="0"/>
        <v>12.4</v>
      </c>
      <c r="S6" s="2">
        <f t="shared" si="0"/>
        <v>12.4</v>
      </c>
      <c r="T6" s="2">
        <f t="shared" si="0"/>
        <v>12.4</v>
      </c>
      <c r="U6" s="2">
        <f t="shared" si="0"/>
        <v>12.4</v>
      </c>
      <c r="V6" s="29">
        <f>AVERAGE(C6:L6)</f>
        <v>12.400000000000002</v>
      </c>
      <c r="W6" s="29">
        <f>AVERAGE(C6:U6)</f>
        <v>12.400000000000004</v>
      </c>
      <c r="X6" t="s">
        <v>72</v>
      </c>
    </row>
    <row r="7" spans="1:24" x14ac:dyDescent="0.35">
      <c r="A7" t="s">
        <v>89</v>
      </c>
      <c r="B7" t="s">
        <v>59</v>
      </c>
      <c r="C7" s="29">
        <v>10.541308000000001</v>
      </c>
      <c r="D7" s="29">
        <v>11.023149</v>
      </c>
      <c r="E7" s="29">
        <v>5.870736</v>
      </c>
      <c r="F7" s="29">
        <v>10.455249</v>
      </c>
      <c r="G7" s="29">
        <v>9.4432220000000004</v>
      </c>
      <c r="H7" s="29">
        <v>17.117932</v>
      </c>
      <c r="I7" s="29">
        <v>12.627808</v>
      </c>
      <c r="J7" s="29">
        <v>12.567529</v>
      </c>
      <c r="K7" s="29">
        <v>16.3156</v>
      </c>
      <c r="L7" s="29">
        <v>14.306982</v>
      </c>
      <c r="M7" s="29">
        <v>12.326231999999999</v>
      </c>
      <c r="N7" s="29">
        <v>20.207163000000001</v>
      </c>
      <c r="O7" s="29">
        <v>8.4420540000000006</v>
      </c>
      <c r="P7" s="29">
        <v>8.9732859999999999</v>
      </c>
      <c r="Q7" s="29">
        <v>14.100669999999999</v>
      </c>
      <c r="R7" s="29">
        <v>13.433123999999999</v>
      </c>
      <c r="S7" s="29">
        <v>13.477814</v>
      </c>
      <c r="T7" s="29">
        <v>16.476396999999999</v>
      </c>
      <c r="U7" s="29">
        <v>8.6142029999999998</v>
      </c>
      <c r="V7" s="29">
        <f t="shared" ref="V7:V13" si="1">AVERAGE(C7:L7)</f>
        <v>12.026951499999999</v>
      </c>
      <c r="W7" s="29">
        <f t="shared" ref="W7:W13" si="2">AVERAGE(C7:U7)</f>
        <v>12.437918842105264</v>
      </c>
      <c r="X7" t="s">
        <v>72</v>
      </c>
    </row>
    <row r="8" spans="1:24" x14ac:dyDescent="0.35">
      <c r="A8" t="s">
        <v>90</v>
      </c>
      <c r="B8" t="s">
        <v>74</v>
      </c>
      <c r="C8" s="29">
        <f>INDEX($C$7:$U$7, _xlfn.RANK.EQ(C19, $C19:$U19) + COUNTIF($C19:C19, C19) - 1)</f>
        <v>12.627808</v>
      </c>
      <c r="D8" s="29">
        <f>INDEX($C$7:$U$7, _xlfn.RANK.EQ(D19, $C19:$U19) + COUNTIF($C19:D19, D19) - 1)</f>
        <v>12.326231999999999</v>
      </c>
      <c r="E8" s="29">
        <f>INDEX($C$7:$U$7, _xlfn.RANK.EQ(E19, $C19:$U19) + COUNTIF($C19:E19, E19) - 1)</f>
        <v>10.455249</v>
      </c>
      <c r="F8" s="29">
        <f>INDEX($C$7:$U$7, _xlfn.RANK.EQ(F19, $C19:$U19) + COUNTIF($C19:F19, F19) - 1)</f>
        <v>5.870736</v>
      </c>
      <c r="G8" s="29">
        <f>INDEX($C$7:$U$7, _xlfn.RANK.EQ(G19, $C19:$U19) + COUNTIF($C19:G19, G19) - 1)</f>
        <v>14.100669999999999</v>
      </c>
      <c r="H8" s="29">
        <f>INDEX($C$7:$U$7, _xlfn.RANK.EQ(H19, $C19:$U19) + COUNTIF($C19:H19, H19) - 1)</f>
        <v>10.541308000000001</v>
      </c>
      <c r="I8" s="29">
        <f>INDEX($C$7:$U$7, _xlfn.RANK.EQ(I19, $C19:$U19) + COUNTIF($C19:I19, I19) - 1)</f>
        <v>17.117932</v>
      </c>
      <c r="J8" s="29">
        <f>INDEX($C$7:$U$7, _xlfn.RANK.EQ(J19, $C19:$U19) + COUNTIF($C19:J19, J19) - 1)</f>
        <v>9.4432220000000004</v>
      </c>
      <c r="K8" s="29">
        <f>INDEX($C$7:$U$7, _xlfn.RANK.EQ(K19, $C19:$U19) + COUNTIF($C19:K19, K19) - 1)</f>
        <v>20.207163000000001</v>
      </c>
      <c r="L8" s="29">
        <f>INDEX($C$7:$U$7, _xlfn.RANK.EQ(L19, $C19:$U19) + COUNTIF($C19:L19, L19) - 1)</f>
        <v>12.567529</v>
      </c>
      <c r="M8" s="29">
        <f>INDEX($C$7:$U$7, _xlfn.RANK.EQ(M19, $C19:$U19) + COUNTIF($C19:M19, M19) - 1)</f>
        <v>14.306982</v>
      </c>
      <c r="N8" s="29">
        <f>INDEX($C$7:$U$7, _xlfn.RANK.EQ(N19, $C19:$U19) + COUNTIF($C19:N19, N19) - 1)</f>
        <v>11.023149</v>
      </c>
      <c r="O8" s="29">
        <f>INDEX($C$7:$U$7, _xlfn.RANK.EQ(O19, $C19:$U19) + COUNTIF($C19:O19, O19) - 1)</f>
        <v>8.4420540000000006</v>
      </c>
      <c r="P8" s="29">
        <f>INDEX($C$7:$U$7, _xlfn.RANK.EQ(P19, $C19:$U19) + COUNTIF($C19:P19, P19) - 1)</f>
        <v>8.9732859999999999</v>
      </c>
      <c r="Q8" s="29">
        <f>INDEX($C$7:$U$7, _xlfn.RANK.EQ(Q19, $C19:$U19) + COUNTIF($C19:Q19, Q19) - 1)</f>
        <v>16.476396999999999</v>
      </c>
      <c r="R8" s="29">
        <f>INDEX($C$7:$U$7, _xlfn.RANK.EQ(R19, $C19:$U19) + COUNTIF($C19:R19, R19) - 1)</f>
        <v>16.3156</v>
      </c>
      <c r="S8" s="29">
        <f>INDEX($C$7:$U$7, _xlfn.RANK.EQ(S19, $C19:$U19) + COUNTIF($C19:S19, S19) - 1)</f>
        <v>13.477814</v>
      </c>
      <c r="T8" s="29">
        <f>INDEX($C$7:$U$7, _xlfn.RANK.EQ(T19, $C19:$U19) + COUNTIF($C19:T19, T19) - 1)</f>
        <v>13.433123999999999</v>
      </c>
      <c r="U8" s="29">
        <f>INDEX($C$7:$U$7, _xlfn.RANK.EQ(U19, $C19:$U19) + COUNTIF($C19:U19, U19) - 1)</f>
        <v>8.6142029999999998</v>
      </c>
      <c r="V8" s="29">
        <f t="shared" si="1"/>
        <v>12.525784900000001</v>
      </c>
      <c r="W8" s="29">
        <f t="shared" si="2"/>
        <v>12.437918842105264</v>
      </c>
      <c r="X8" t="s">
        <v>73</v>
      </c>
    </row>
    <row r="9" spans="1:24" x14ac:dyDescent="0.35">
      <c r="A9" t="s">
        <v>90</v>
      </c>
      <c r="B9" t="s">
        <v>75</v>
      </c>
      <c r="C9" s="29">
        <f>INDEX($C$7:$U$7, _xlfn.RANK.EQ(C20, $C20:$U20) + COUNTIF($C20:C20, C20) - 1)</f>
        <v>17.117932</v>
      </c>
      <c r="D9" s="29">
        <f>INDEX($C$7:$U$7, _xlfn.RANK.EQ(D20, $C20:$U20) + COUNTIF($C20:D20, D20) - 1)</f>
        <v>10.541308000000001</v>
      </c>
      <c r="E9" s="29">
        <f>INDEX($C$7:$U$7, _xlfn.RANK.EQ(E20, $C20:$U20) + COUNTIF($C20:E20, E20) - 1)</f>
        <v>14.100669999999999</v>
      </c>
      <c r="F9" s="29">
        <f>INDEX($C$7:$U$7, _xlfn.RANK.EQ(F20, $C20:$U20) + COUNTIF($C20:F20, F20) - 1)</f>
        <v>14.306982</v>
      </c>
      <c r="G9" s="29">
        <f>INDEX($C$7:$U$7, _xlfn.RANK.EQ(G20, $C20:$U20) + COUNTIF($C20:G20, G20) - 1)</f>
        <v>8.6142029999999998</v>
      </c>
      <c r="H9" s="29">
        <f>INDEX($C$7:$U$7, _xlfn.RANK.EQ(H20, $C20:$U20) + COUNTIF($C20:H20, H20) - 1)</f>
        <v>12.326231999999999</v>
      </c>
      <c r="I9" s="29">
        <f>INDEX($C$7:$U$7, _xlfn.RANK.EQ(I20, $C20:$U20) + COUNTIF($C20:I20, I20) - 1)</f>
        <v>10.455249</v>
      </c>
      <c r="J9" s="29">
        <f>INDEX($C$7:$U$7, _xlfn.RANK.EQ(J20, $C20:$U20) + COUNTIF($C20:J20, J20) - 1)</f>
        <v>5.870736</v>
      </c>
      <c r="K9" s="29">
        <f>INDEX($C$7:$U$7, _xlfn.RANK.EQ(K20, $C20:$U20) + COUNTIF($C20:K20, K20) - 1)</f>
        <v>13.433123999999999</v>
      </c>
      <c r="L9" s="29">
        <f>INDEX($C$7:$U$7, _xlfn.RANK.EQ(L20, $C20:$U20) + COUNTIF($C20:L20, L20) - 1)</f>
        <v>11.023149</v>
      </c>
      <c r="M9" s="29">
        <f>INDEX($C$7:$U$7, _xlfn.RANK.EQ(M20, $C20:$U20) + COUNTIF($C20:M20, M20) - 1)</f>
        <v>8.4420540000000006</v>
      </c>
      <c r="N9" s="29">
        <f>INDEX($C$7:$U$7, _xlfn.RANK.EQ(N20, $C20:$U20) + COUNTIF($C20:N20, N20) - 1)</f>
        <v>16.476396999999999</v>
      </c>
      <c r="O9" s="29">
        <f>INDEX($C$7:$U$7, _xlfn.RANK.EQ(O20, $C20:$U20) + COUNTIF($C20:O20, O20) - 1)</f>
        <v>20.207163000000001</v>
      </c>
      <c r="P9" s="29">
        <f>INDEX($C$7:$U$7, _xlfn.RANK.EQ(P20, $C20:$U20) + COUNTIF($C20:P20, P20) - 1)</f>
        <v>12.567529</v>
      </c>
      <c r="Q9" s="29">
        <f>INDEX($C$7:$U$7, _xlfn.RANK.EQ(Q20, $C20:$U20) + COUNTIF($C20:Q20, Q20) - 1)</f>
        <v>8.9732859999999999</v>
      </c>
      <c r="R9" s="29">
        <f>INDEX($C$7:$U$7, _xlfn.RANK.EQ(R20, $C20:$U20) + COUNTIF($C20:R20, R20) - 1)</f>
        <v>12.627808</v>
      </c>
      <c r="S9" s="29">
        <f>INDEX($C$7:$U$7, _xlfn.RANK.EQ(S20, $C20:$U20) + COUNTIF($C20:S20, S20) - 1)</f>
        <v>13.477814</v>
      </c>
      <c r="T9" s="29">
        <f>INDEX($C$7:$U$7, _xlfn.RANK.EQ(T20, $C20:$U20) + COUNTIF($C20:T20, T20) - 1)</f>
        <v>9.4432220000000004</v>
      </c>
      <c r="U9" s="29">
        <f>INDEX($C$7:$U$7, _xlfn.RANK.EQ(U20, $C20:$U20) + COUNTIF($C20:U20, U20) - 1)</f>
        <v>16.3156</v>
      </c>
      <c r="V9" s="29">
        <f t="shared" si="1"/>
        <v>11.7789585</v>
      </c>
      <c r="W9" s="29">
        <f t="shared" si="2"/>
        <v>12.437918842105262</v>
      </c>
      <c r="X9" t="s">
        <v>73</v>
      </c>
    </row>
    <row r="10" spans="1:24" x14ac:dyDescent="0.35">
      <c r="A10" t="s">
        <v>90</v>
      </c>
      <c r="B10" t="s">
        <v>76</v>
      </c>
      <c r="C10" s="29">
        <f>INDEX($C$7:$U$7, _xlfn.RANK.EQ(C21, $C21:$U21) + COUNTIF($C21:C21, C21) - 1)</f>
        <v>20.207163000000001</v>
      </c>
      <c r="D10" s="29">
        <f>INDEX($C$7:$U$7, _xlfn.RANK.EQ(D21, $C21:$U21) + COUNTIF($C21:D21, D21) - 1)</f>
        <v>17.117932</v>
      </c>
      <c r="E10" s="29">
        <f>INDEX($C$7:$U$7, _xlfn.RANK.EQ(E21, $C21:$U21) + COUNTIF($C21:E21, E21) - 1)</f>
        <v>16.476396999999999</v>
      </c>
      <c r="F10" s="29">
        <f>INDEX($C$7:$U$7, _xlfn.RANK.EQ(F21, $C21:$U21) + COUNTIF($C21:F21, F21) - 1)</f>
        <v>12.326231999999999</v>
      </c>
      <c r="G10" s="29">
        <f>INDEX($C$7:$U$7, _xlfn.RANK.EQ(G21, $C21:$U21) + COUNTIF($C21:G21, G21) - 1)</f>
        <v>12.627808</v>
      </c>
      <c r="H10" s="29">
        <f>INDEX($C$7:$U$7, _xlfn.RANK.EQ(H21, $C21:$U21) + COUNTIF($C21:H21, H21) - 1)</f>
        <v>13.433123999999999</v>
      </c>
      <c r="I10" s="29">
        <f>INDEX($C$7:$U$7, _xlfn.RANK.EQ(I21, $C21:$U21) + COUNTIF($C21:I21, I21) - 1)</f>
        <v>10.541308000000001</v>
      </c>
      <c r="J10" s="29">
        <f>INDEX($C$7:$U$7, _xlfn.RANK.EQ(J21, $C21:$U21) + COUNTIF($C21:J21, J21) - 1)</f>
        <v>16.3156</v>
      </c>
      <c r="K10" s="29">
        <f>INDEX($C$7:$U$7, _xlfn.RANK.EQ(K21, $C21:$U21) + COUNTIF($C21:K21, K21) - 1)</f>
        <v>9.4432220000000004</v>
      </c>
      <c r="L10" s="29">
        <f>INDEX($C$7:$U$7, _xlfn.RANK.EQ(L21, $C21:$U21) + COUNTIF($C21:L21, L21) - 1)</f>
        <v>14.306982</v>
      </c>
      <c r="M10" s="29">
        <f>INDEX($C$7:$U$7, _xlfn.RANK.EQ(M21, $C21:$U21) + COUNTIF($C21:M21, M21) - 1)</f>
        <v>8.6142029999999998</v>
      </c>
      <c r="N10" s="29">
        <f>INDEX($C$7:$U$7, _xlfn.RANK.EQ(N21, $C21:$U21) + COUNTIF($C21:N21, N21) - 1)</f>
        <v>10.455249</v>
      </c>
      <c r="O10" s="29">
        <f>INDEX($C$7:$U$7, _xlfn.RANK.EQ(O21, $C21:$U21) + COUNTIF($C21:O21, O21) - 1)</f>
        <v>8.4420540000000006</v>
      </c>
      <c r="P10" s="29">
        <f>INDEX($C$7:$U$7, _xlfn.RANK.EQ(P21, $C21:$U21) + COUNTIF($C21:P21, P21) - 1)</f>
        <v>8.9732859999999999</v>
      </c>
      <c r="Q10" s="29">
        <f>INDEX($C$7:$U$7, _xlfn.RANK.EQ(Q21, $C21:$U21) + COUNTIF($C21:Q21, Q21) - 1)</f>
        <v>14.100669999999999</v>
      </c>
      <c r="R10" s="29">
        <f>INDEX($C$7:$U$7, _xlfn.RANK.EQ(R21, $C21:$U21) + COUNTIF($C21:R21, R21) - 1)</f>
        <v>13.477814</v>
      </c>
      <c r="S10" s="29">
        <f>INDEX($C$7:$U$7, _xlfn.RANK.EQ(S21, $C21:$U21) + COUNTIF($C21:S21, S21) - 1)</f>
        <v>5.870736</v>
      </c>
      <c r="T10" s="29">
        <f>INDEX($C$7:$U$7, _xlfn.RANK.EQ(T21, $C21:$U21) + COUNTIF($C21:T21, T21) - 1)</f>
        <v>12.567529</v>
      </c>
      <c r="U10" s="29">
        <f>INDEX($C$7:$U$7, _xlfn.RANK.EQ(U21, $C21:$U21) + COUNTIF($C21:U21, U21) - 1)</f>
        <v>11.023149</v>
      </c>
      <c r="V10" s="29">
        <f t="shared" si="1"/>
        <v>14.279576800000001</v>
      </c>
      <c r="W10" s="29">
        <f t="shared" si="2"/>
        <v>12.437918842105265</v>
      </c>
      <c r="X10" t="s">
        <v>73</v>
      </c>
    </row>
    <row r="11" spans="1:24" x14ac:dyDescent="0.35">
      <c r="A11" t="s">
        <v>78</v>
      </c>
      <c r="B11" t="s">
        <v>91</v>
      </c>
      <c r="C11" s="2">
        <v>11.4</v>
      </c>
      <c r="D11" s="2">
        <f>C11</f>
        <v>11.4</v>
      </c>
      <c r="E11" s="2">
        <f t="shared" ref="E11:U11" si="3">D11</f>
        <v>11.4</v>
      </c>
      <c r="F11" s="2">
        <f t="shared" si="3"/>
        <v>11.4</v>
      </c>
      <c r="G11" s="2">
        <f t="shared" si="3"/>
        <v>11.4</v>
      </c>
      <c r="H11" s="2">
        <f t="shared" si="3"/>
        <v>11.4</v>
      </c>
      <c r="I11" s="2">
        <f t="shared" si="3"/>
        <v>11.4</v>
      </c>
      <c r="J11" s="2">
        <f t="shared" si="3"/>
        <v>11.4</v>
      </c>
      <c r="K11" s="2">
        <f t="shared" si="3"/>
        <v>11.4</v>
      </c>
      <c r="L11" s="2">
        <f t="shared" si="3"/>
        <v>11.4</v>
      </c>
      <c r="M11" s="2">
        <f t="shared" si="3"/>
        <v>11.4</v>
      </c>
      <c r="N11" s="2">
        <f t="shared" si="3"/>
        <v>11.4</v>
      </c>
      <c r="O11" s="2">
        <f t="shared" si="3"/>
        <v>11.4</v>
      </c>
      <c r="P11" s="2">
        <f t="shared" si="3"/>
        <v>11.4</v>
      </c>
      <c r="Q11" s="2">
        <f t="shared" si="3"/>
        <v>11.4</v>
      </c>
      <c r="R11" s="2">
        <f t="shared" si="3"/>
        <v>11.4</v>
      </c>
      <c r="S11" s="2">
        <f t="shared" si="3"/>
        <v>11.4</v>
      </c>
      <c r="T11" s="2">
        <f t="shared" si="3"/>
        <v>11.4</v>
      </c>
      <c r="U11" s="2">
        <f t="shared" si="3"/>
        <v>11.4</v>
      </c>
      <c r="V11" s="29">
        <f t="shared" si="1"/>
        <v>11.400000000000002</v>
      </c>
      <c r="W11" s="29">
        <f t="shared" si="2"/>
        <v>11.400000000000004</v>
      </c>
    </row>
    <row r="12" spans="1:24" x14ac:dyDescent="0.35">
      <c r="A12" t="s">
        <v>80</v>
      </c>
      <c r="B12" t="s">
        <v>81</v>
      </c>
      <c r="C12" s="29">
        <v>8.0656773127944597</v>
      </c>
      <c r="D12" s="29">
        <v>12.179497010248401</v>
      </c>
      <c r="E12" s="29">
        <v>10.4021452093777</v>
      </c>
      <c r="F12" s="29">
        <v>13.518813794409299</v>
      </c>
      <c r="G12" s="29">
        <v>16.316885566837801</v>
      </c>
      <c r="H12" s="29">
        <v>8.2963173615850092</v>
      </c>
      <c r="I12" s="29">
        <v>8.2334084440403892</v>
      </c>
      <c r="J12" s="29">
        <v>8.0507265516528701</v>
      </c>
      <c r="K12" s="29">
        <v>10.939025533005399</v>
      </c>
      <c r="L12" s="29">
        <v>17.117619193537298</v>
      </c>
      <c r="M12" s="29">
        <v>15.180122066368499</v>
      </c>
      <c r="N12" s="29">
        <v>18.434952033152101</v>
      </c>
      <c r="O12" s="29">
        <v>12.0058419359474</v>
      </c>
      <c r="P12" s="29">
        <v>6.7697458167134199</v>
      </c>
      <c r="Q12" s="29">
        <v>14.549174163850401</v>
      </c>
      <c r="R12" s="29">
        <v>7.0958145122825593</v>
      </c>
      <c r="S12" s="29">
        <v>14.9052393166876</v>
      </c>
      <c r="T12" s="29">
        <v>15.428213164007099</v>
      </c>
      <c r="U12" s="29">
        <v>17.679933099266101</v>
      </c>
      <c r="V12" s="29">
        <f t="shared" si="1"/>
        <v>11.312011597748862</v>
      </c>
      <c r="W12" s="29">
        <f t="shared" si="2"/>
        <v>12.377323793987571</v>
      </c>
      <c r="X12" t="s">
        <v>83</v>
      </c>
    </row>
    <row r="13" spans="1:24" x14ac:dyDescent="0.35">
      <c r="A13" t="s">
        <v>82</v>
      </c>
      <c r="B13" t="s">
        <v>81</v>
      </c>
      <c r="C13" s="29">
        <v>13.6721827614197</v>
      </c>
      <c r="D13" s="29">
        <v>12.666445529103701</v>
      </c>
      <c r="E13" s="29">
        <v>8.2123208856145009</v>
      </c>
      <c r="F13" s="29">
        <v>7.2985106981092596</v>
      </c>
      <c r="G13" s="29">
        <v>8.9240344766710908</v>
      </c>
      <c r="H13" s="29">
        <v>12.2239805462057</v>
      </c>
      <c r="I13" s="29">
        <v>12.116028475951</v>
      </c>
      <c r="J13" s="29">
        <v>9.3868894956851907</v>
      </c>
      <c r="K13" s="29">
        <v>5.7100895102609304</v>
      </c>
      <c r="L13" s="29">
        <v>7.6367030909024995</v>
      </c>
      <c r="M13" s="29">
        <v>17.908698431934599</v>
      </c>
      <c r="N13" s="29">
        <v>17.3439222124933</v>
      </c>
      <c r="O13" s="29">
        <v>16.712138882108398</v>
      </c>
      <c r="P13" s="29">
        <v>10.8627427743835</v>
      </c>
      <c r="Q13" s="29">
        <v>18.956338967251</v>
      </c>
      <c r="R13" s="29">
        <v>22.2800107884749</v>
      </c>
      <c r="S13" s="29">
        <v>19.616776674012698</v>
      </c>
      <c r="T13" s="29">
        <v>14.694013971958199</v>
      </c>
      <c r="U13" s="29">
        <v>13.8158034044588</v>
      </c>
      <c r="V13" s="29">
        <f t="shared" si="1"/>
        <v>9.7847185469923588</v>
      </c>
      <c r="W13" s="29">
        <f t="shared" si="2"/>
        <v>13.159875346157838</v>
      </c>
      <c r="X13" t="s">
        <v>83</v>
      </c>
    </row>
    <row r="14" spans="1:24" x14ac:dyDescent="0.35">
      <c r="A14" t="s">
        <v>79</v>
      </c>
      <c r="B14" t="s">
        <v>81</v>
      </c>
      <c r="C14" s="29">
        <v>8.6387119999999999</v>
      </c>
      <c r="D14" s="29">
        <v>16.724910999999999</v>
      </c>
      <c r="E14" s="29">
        <v>23.729841</v>
      </c>
      <c r="F14" s="29">
        <v>24.177980999999999</v>
      </c>
      <c r="G14" s="29">
        <v>21.044574999999998</v>
      </c>
      <c r="H14" s="29">
        <v>22.368445000000001</v>
      </c>
      <c r="I14" s="29">
        <v>16.596464999999998</v>
      </c>
      <c r="J14" s="29">
        <v>11.668810000000001</v>
      </c>
      <c r="K14" s="29">
        <v>9.5522320000000001</v>
      </c>
      <c r="L14" s="29">
        <v>8.9740110000000008</v>
      </c>
      <c r="M14" s="29">
        <v>12.344601000000001</v>
      </c>
      <c r="N14" s="29">
        <v>11.068530000000001</v>
      </c>
      <c r="O14" s="29">
        <v>18.697527999999998</v>
      </c>
      <c r="P14" s="29">
        <v>10.611249000000001</v>
      </c>
      <c r="Q14" s="29">
        <v>19.872761000000001</v>
      </c>
      <c r="R14" s="29">
        <v>14.052944999999999</v>
      </c>
      <c r="S14" s="29">
        <v>21.184925</v>
      </c>
      <c r="T14" s="29">
        <v>16.968572999999999</v>
      </c>
      <c r="U14" s="29">
        <v>16.452831</v>
      </c>
      <c r="V14" s="29">
        <f t="shared" ref="V14" si="4">AVERAGE(C14:L14)</f>
        <v>16.347598299999998</v>
      </c>
      <c r="W14" s="29">
        <f t="shared" ref="W14" si="5">AVERAGE(C14:U14)</f>
        <v>16.038417157894738</v>
      </c>
      <c r="X14" t="s">
        <v>72</v>
      </c>
    </row>
    <row r="15" spans="1:24" x14ac:dyDescent="0.35">
      <c r="A15" t="s">
        <v>86</v>
      </c>
      <c r="B15" t="s">
        <v>74</v>
      </c>
      <c r="C15" s="29">
        <f>INDEX($C$14:$U$14, _xlfn.RANK.EQ(C19, $C19:$U19) + COUNTIF($C19:C19, C19) - 1)</f>
        <v>16.596464999999998</v>
      </c>
      <c r="D15" s="29">
        <f>INDEX($C$14:$U$14, _xlfn.RANK.EQ(D19, $C19:$U19) + COUNTIF($C19:D19, D19) - 1)</f>
        <v>12.344601000000001</v>
      </c>
      <c r="E15" s="29">
        <f>INDEX($C$14:$U$14, _xlfn.RANK.EQ(E19, $C19:$U19) + COUNTIF($C19:E19, E19) - 1)</f>
        <v>24.177980999999999</v>
      </c>
      <c r="F15" s="29">
        <f>INDEX($C$14:$U$14, _xlfn.RANK.EQ(F19, $C19:$U19) + COUNTIF($C19:F19, F19) - 1)</f>
        <v>23.729841</v>
      </c>
      <c r="G15" s="29">
        <f>INDEX($C$14:$U$14, _xlfn.RANK.EQ(G19, $C19:$U19) + COUNTIF($C19:G19, G19) - 1)</f>
        <v>19.872761000000001</v>
      </c>
      <c r="H15" s="29">
        <f>INDEX($C$14:$U$14, _xlfn.RANK.EQ(H19, $C19:$U19) + COUNTIF($C19:H19, H19) - 1)</f>
        <v>8.6387119999999999</v>
      </c>
      <c r="I15" s="29">
        <f>INDEX($C$14:$U$14, _xlfn.RANK.EQ(I19, $C19:$U19) + COUNTIF($C19:I19, I19) - 1)</f>
        <v>22.368445000000001</v>
      </c>
      <c r="J15" s="29">
        <f>INDEX($C$14:$U$14, _xlfn.RANK.EQ(J19, $C19:$U19) + COUNTIF($C19:J19, J19) - 1)</f>
        <v>21.044574999999998</v>
      </c>
      <c r="K15" s="29">
        <f>INDEX($C$14:$U$14, _xlfn.RANK.EQ(K19, $C19:$U19) + COUNTIF($C19:K19, K19) - 1)</f>
        <v>11.068530000000001</v>
      </c>
      <c r="L15" s="29">
        <f>INDEX($C$14:$U$14, _xlfn.RANK.EQ(L19, $C19:$U19) + COUNTIF($C19:L19, L19) - 1)</f>
        <v>11.668810000000001</v>
      </c>
      <c r="M15" s="29">
        <f>INDEX($C$14:$U$14, _xlfn.RANK.EQ(M19, $C19:$U19) + COUNTIF($C19:M19, M19) - 1)</f>
        <v>8.9740110000000008</v>
      </c>
      <c r="N15" s="29">
        <f>INDEX($C$14:$U$14, _xlfn.RANK.EQ(N19, $C19:$U19) + COUNTIF($C19:N19, N19) - 1)</f>
        <v>16.724910999999999</v>
      </c>
      <c r="O15" s="29">
        <f>INDEX($C$14:$U$14, _xlfn.RANK.EQ(O19, $C19:$U19) + COUNTIF($C19:O19, O19) - 1)</f>
        <v>18.697527999999998</v>
      </c>
      <c r="P15" s="29">
        <f>INDEX($C$14:$U$14, _xlfn.RANK.EQ(P19, $C19:$U19) + COUNTIF($C19:P19, P19) - 1)</f>
        <v>10.611249000000001</v>
      </c>
      <c r="Q15" s="29">
        <f>INDEX($C$14:$U$14, _xlfn.RANK.EQ(Q19, $C19:$U19) + COUNTIF($C19:Q19, Q19) - 1)</f>
        <v>16.968572999999999</v>
      </c>
      <c r="R15" s="29">
        <f>INDEX($C$14:$U$14, _xlfn.RANK.EQ(R19, $C19:$U19) + COUNTIF($C19:R19, R19) - 1)</f>
        <v>9.5522320000000001</v>
      </c>
      <c r="S15" s="29">
        <f>INDEX($C$14:$U$14, _xlfn.RANK.EQ(S19, $C19:$U19) + COUNTIF($C19:S19, S19) - 1)</f>
        <v>21.184925</v>
      </c>
      <c r="T15" s="29">
        <f>INDEX($C$14:$U$14, _xlfn.RANK.EQ(T19, $C19:$U19) + COUNTIF($C19:T19, T19) - 1)</f>
        <v>14.052944999999999</v>
      </c>
      <c r="U15" s="29">
        <f>INDEX($C$14:$U$14, _xlfn.RANK.EQ(U19, $C19:$U19) + COUNTIF($C19:U19, U19) - 1)</f>
        <v>16.452831</v>
      </c>
      <c r="V15" s="29">
        <f t="shared" ref="V15:V16" si="6">AVERAGE(C15:L15)</f>
        <v>17.1510721</v>
      </c>
      <c r="W15" s="29">
        <f t="shared" ref="W15:W16" si="7">AVERAGE(C15:U15)</f>
        <v>16.038417157894738</v>
      </c>
      <c r="X15" t="s">
        <v>73</v>
      </c>
    </row>
    <row r="16" spans="1:24" x14ac:dyDescent="0.35">
      <c r="A16" t="s">
        <v>86</v>
      </c>
      <c r="B16" t="s">
        <v>75</v>
      </c>
      <c r="C16" s="29">
        <f>INDEX($C$14:$U$14, _xlfn.RANK.EQ(C20, $C20:$U20) + COUNTIF($C20:C20, C20) - 1)</f>
        <v>22.368445000000001</v>
      </c>
      <c r="D16" s="29">
        <f>INDEX($C$14:$U$14, _xlfn.RANK.EQ(D20, $C20:$U20) + COUNTIF($C20:D20, D20) - 1)</f>
        <v>8.6387119999999999</v>
      </c>
      <c r="E16" s="29">
        <f>INDEX($C$14:$U$14, _xlfn.RANK.EQ(E20, $C20:$U20) + COUNTIF($C20:E20, E20) - 1)</f>
        <v>19.872761000000001</v>
      </c>
      <c r="F16" s="29">
        <f>INDEX($C$14:$U$14, _xlfn.RANK.EQ(F20, $C20:$U20) + COUNTIF($C20:F20, F20) - 1)</f>
        <v>8.9740110000000008</v>
      </c>
      <c r="G16" s="29">
        <f>INDEX($C$14:$U$14, _xlfn.RANK.EQ(G20, $C20:$U20) + COUNTIF($C20:G20, G20) - 1)</f>
        <v>16.452831</v>
      </c>
      <c r="H16" s="29">
        <f>INDEX($C$14:$U$14, _xlfn.RANK.EQ(H20, $C20:$U20) + COUNTIF($C20:H20, H20) - 1)</f>
        <v>12.344601000000001</v>
      </c>
      <c r="I16" s="29">
        <f>INDEX($C$14:$U$14, _xlfn.RANK.EQ(I20, $C20:$U20) + COUNTIF($C20:I20, I20) - 1)</f>
        <v>24.177980999999999</v>
      </c>
      <c r="J16" s="29">
        <f>INDEX($C$14:$U$14, _xlfn.RANK.EQ(J20, $C20:$U20) + COUNTIF($C20:J20, J20) - 1)</f>
        <v>23.729841</v>
      </c>
      <c r="K16" s="29">
        <f>INDEX($C$14:$U$14, _xlfn.RANK.EQ(K20, $C20:$U20) + COUNTIF($C20:K20, K20) - 1)</f>
        <v>14.052944999999999</v>
      </c>
      <c r="L16" s="29">
        <f>INDEX($C$14:$U$14, _xlfn.RANK.EQ(L20, $C20:$U20) + COUNTIF($C20:L20, L20) - 1)</f>
        <v>16.724910999999999</v>
      </c>
      <c r="M16" s="29">
        <f>INDEX($C$14:$U$14, _xlfn.RANK.EQ(M20, $C20:$U20) + COUNTIF($C20:M20, M20) - 1)</f>
        <v>18.697527999999998</v>
      </c>
      <c r="N16" s="29">
        <f>INDEX($C$14:$U$14, _xlfn.RANK.EQ(N20, $C20:$U20) + COUNTIF($C20:N20, N20) - 1)</f>
        <v>16.968572999999999</v>
      </c>
      <c r="O16" s="29">
        <f>INDEX($C$14:$U$14, _xlfn.RANK.EQ(O20, $C20:$U20) + COUNTIF($C20:O20, O20) - 1)</f>
        <v>11.068530000000001</v>
      </c>
      <c r="P16" s="29">
        <f>INDEX($C$14:$U$14, _xlfn.RANK.EQ(P20, $C20:$U20) + COUNTIF($C20:P20, P20) - 1)</f>
        <v>11.668810000000001</v>
      </c>
      <c r="Q16" s="29">
        <f>INDEX($C$14:$U$14, _xlfn.RANK.EQ(Q20, $C20:$U20) + COUNTIF($C20:Q20, Q20) - 1)</f>
        <v>10.611249000000001</v>
      </c>
      <c r="R16" s="29">
        <f>INDEX($C$14:$U$14, _xlfn.RANK.EQ(R20, $C20:$U20) + COUNTIF($C20:R20, R20) - 1)</f>
        <v>16.596464999999998</v>
      </c>
      <c r="S16" s="29">
        <f>INDEX($C$14:$U$14, _xlfn.RANK.EQ(S20, $C20:$U20) + COUNTIF($C20:S20, S20) - 1)</f>
        <v>21.184925</v>
      </c>
      <c r="T16" s="29">
        <f>INDEX($C$14:$U$14, _xlfn.RANK.EQ(T20, $C20:$U20) + COUNTIF($C20:T20, T20) - 1)</f>
        <v>21.044574999999998</v>
      </c>
      <c r="U16" s="29">
        <f>INDEX($C$14:$U$14, _xlfn.RANK.EQ(U20, $C20:$U20) + COUNTIF($C20:U20, U20) - 1)</f>
        <v>9.5522320000000001</v>
      </c>
      <c r="V16" s="29">
        <f t="shared" si="6"/>
        <v>16.733703900000002</v>
      </c>
      <c r="W16" s="29">
        <f t="shared" si="7"/>
        <v>16.038417157894738</v>
      </c>
      <c r="X16" t="s">
        <v>73</v>
      </c>
    </row>
    <row r="18" spans="1:21" x14ac:dyDescent="0.35">
      <c r="A18" s="1" t="s">
        <v>92</v>
      </c>
    </row>
    <row r="19" spans="1:21" x14ac:dyDescent="0.35">
      <c r="A19" t="s">
        <v>69</v>
      </c>
      <c r="C19" s="30">
        <v>0.67644387335744371</v>
      </c>
      <c r="D19" s="30">
        <v>0.47418579468589028</v>
      </c>
      <c r="E19" s="30">
        <v>0.79191284201733858</v>
      </c>
      <c r="F19" s="30">
        <v>0.85845050624319708</v>
      </c>
      <c r="G19" s="30">
        <v>0.29119580343142981</v>
      </c>
      <c r="H19" s="30">
        <v>0.96698220369983379</v>
      </c>
      <c r="I19" s="30">
        <v>0.71660723236774859</v>
      </c>
      <c r="J19" s="30">
        <v>0.76657250740819849</v>
      </c>
      <c r="K19" s="30">
        <v>0.37210589764212265</v>
      </c>
      <c r="L19" s="30">
        <v>0.67238760239552131</v>
      </c>
      <c r="M19" s="30">
        <v>0.54861280840425941</v>
      </c>
      <c r="N19" s="30">
        <v>0.93847094237556061</v>
      </c>
      <c r="O19" s="30">
        <v>0.37036993145978159</v>
      </c>
      <c r="P19" s="30">
        <v>0.37012384678989274</v>
      </c>
      <c r="Q19" s="30">
        <v>5.0129257600194155E-2</v>
      </c>
      <c r="R19" s="30">
        <v>0.66224607523003343</v>
      </c>
      <c r="S19" s="30">
        <v>7.3598766477379618E-2</v>
      </c>
      <c r="T19" s="30">
        <v>0.14075741794709939</v>
      </c>
      <c r="U19" s="30">
        <v>4.0761876740060932E-2</v>
      </c>
    </row>
    <row r="20" spans="1:21" x14ac:dyDescent="0.35">
      <c r="A20" t="s">
        <v>70</v>
      </c>
      <c r="C20" s="30">
        <v>0.71178139473095614</v>
      </c>
      <c r="D20" s="30">
        <v>0.90508858194637953</v>
      </c>
      <c r="E20" s="30">
        <v>0.17598711058710848</v>
      </c>
      <c r="F20" s="30">
        <v>0.46040924842222275</v>
      </c>
      <c r="G20" s="30">
        <v>1.1082729617274412E-3</v>
      </c>
      <c r="H20" s="30">
        <v>0.4469646580924429</v>
      </c>
      <c r="I20" s="30">
        <v>0.76533202050878746</v>
      </c>
      <c r="J20" s="30">
        <v>0.83884971961311028</v>
      </c>
      <c r="K20" s="30">
        <v>0.13861192500449215</v>
      </c>
      <c r="L20" s="30">
        <v>0.86445706016894996</v>
      </c>
      <c r="M20" s="30">
        <v>0.27880519114550062</v>
      </c>
      <c r="N20" s="30">
        <v>4.9331580912537532E-2</v>
      </c>
      <c r="O20" s="30">
        <v>0.44358552686154573</v>
      </c>
      <c r="P20" s="30">
        <v>0.51627460025941363</v>
      </c>
      <c r="Q20" s="30">
        <v>0.19589373219881623</v>
      </c>
      <c r="R20" s="30">
        <v>0.57711767229760702</v>
      </c>
      <c r="S20" s="30">
        <v>0.11578704812173612</v>
      </c>
      <c r="T20" s="30">
        <v>0.75445830147475079</v>
      </c>
      <c r="U20" s="30">
        <v>0.50908150625985971</v>
      </c>
    </row>
    <row r="21" spans="1:21" x14ac:dyDescent="0.35">
      <c r="A21" t="s">
        <v>71</v>
      </c>
      <c r="C21" s="30">
        <v>0.49942177488685924</v>
      </c>
      <c r="D21" s="30">
        <v>0.73533205529292978</v>
      </c>
      <c r="E21" s="30">
        <v>3.6281905650776269E-2</v>
      </c>
      <c r="F21" s="30">
        <v>0.51032194818600674</v>
      </c>
      <c r="G21" s="30">
        <v>0.72301799545372614</v>
      </c>
      <c r="H21" s="30">
        <v>0.18140139614899009</v>
      </c>
      <c r="I21" s="30">
        <v>0.96487922099534429</v>
      </c>
      <c r="J21" s="30">
        <v>0.58598497382130921</v>
      </c>
      <c r="K21" s="30">
        <v>0.81220936811505928</v>
      </c>
      <c r="L21" s="30">
        <v>0.56799175094937815</v>
      </c>
      <c r="M21" s="30">
        <v>1.6868147569877312E-3</v>
      </c>
      <c r="N21" s="30">
        <v>0.81525247724513761</v>
      </c>
      <c r="O21" s="30">
        <v>0.43869003462286138</v>
      </c>
      <c r="P21" s="30">
        <v>0.41310932122101518</v>
      </c>
      <c r="Q21" s="30">
        <v>0.31390513036414502</v>
      </c>
      <c r="R21" s="30">
        <v>8.330275026684264E-2</v>
      </c>
      <c r="S21" s="30">
        <v>0.8318657658083044</v>
      </c>
      <c r="T21" s="30">
        <v>0.65077408918348401</v>
      </c>
      <c r="U21" s="30">
        <v>0.92682339319863516</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3B606B-01F6-4E7D-A974-83932AB0482C}">
  <dimension ref="A1:S689"/>
  <sheetViews>
    <sheetView topLeftCell="A305" zoomScale="160" zoomScaleNormal="160" workbookViewId="0">
      <selection activeCell="C5" sqref="C5"/>
    </sheetView>
  </sheetViews>
  <sheetFormatPr defaultRowHeight="14.5" x14ac:dyDescent="0.35"/>
  <cols>
    <col min="1" max="1" width="12.453125" customWidth="1"/>
    <col min="2" max="3" width="14.26953125" customWidth="1"/>
    <col min="4" max="4" width="11.54296875" bestFit="1" customWidth="1"/>
    <col min="7" max="7" width="14.7265625" customWidth="1"/>
    <col min="10" max="10" width="13.81640625" customWidth="1"/>
    <col min="11" max="11" width="10.54296875" bestFit="1" customWidth="1"/>
    <col min="12" max="12" width="11.54296875" bestFit="1" customWidth="1"/>
    <col min="13" max="13" width="10.54296875" bestFit="1" customWidth="1"/>
    <col min="14" max="14" width="11.1796875" customWidth="1"/>
    <col min="15" max="15" width="12.1796875" customWidth="1"/>
    <col min="16" max="16" width="10.54296875" bestFit="1" customWidth="1"/>
  </cols>
  <sheetData>
    <row r="1" spans="1:19" s="1" customFormat="1" x14ac:dyDescent="0.35">
      <c r="A1" s="1" t="s">
        <v>13</v>
      </c>
    </row>
    <row r="2" spans="1:19" x14ac:dyDescent="0.35">
      <c r="A2" t="s">
        <v>14</v>
      </c>
    </row>
    <row r="4" spans="1:19" x14ac:dyDescent="0.35">
      <c r="A4" s="3" t="s">
        <v>15</v>
      </c>
      <c r="B4" s="3" t="s">
        <v>16</v>
      </c>
      <c r="C4" s="3" t="s">
        <v>17</v>
      </c>
      <c r="D4" s="3" t="s">
        <v>18</v>
      </c>
      <c r="E4" s="4" t="s">
        <v>19</v>
      </c>
      <c r="G4" s="3" t="s">
        <v>20</v>
      </c>
      <c r="H4" s="3" t="s">
        <v>21</v>
      </c>
      <c r="J4" s="3" t="s">
        <v>22</v>
      </c>
    </row>
    <row r="5" spans="1:19" x14ac:dyDescent="0.35">
      <c r="A5" s="5">
        <v>3370</v>
      </c>
      <c r="B5" s="6">
        <v>0</v>
      </c>
      <c r="C5" s="6">
        <v>1895000</v>
      </c>
      <c r="D5" s="6">
        <v>20303</v>
      </c>
      <c r="E5" s="2">
        <v>1</v>
      </c>
      <c r="G5" s="7">
        <f>C5</f>
        <v>1895000</v>
      </c>
      <c r="H5" s="8">
        <f>A5</f>
        <v>3370</v>
      </c>
      <c r="J5" t="s">
        <v>23</v>
      </c>
    </row>
    <row r="6" spans="1:19" x14ac:dyDescent="0.35">
      <c r="A6" s="5">
        <v>3370.5</v>
      </c>
      <c r="B6" s="6">
        <v>10173.99</v>
      </c>
      <c r="C6" s="6">
        <v>1905173.99</v>
      </c>
      <c r="D6" s="6">
        <v>20392.95</v>
      </c>
      <c r="E6" s="2">
        <v>2</v>
      </c>
      <c r="G6" s="7">
        <f t="shared" ref="G6:G69" si="0">C6</f>
        <v>1905173.99</v>
      </c>
      <c r="H6" s="8">
        <f t="shared" ref="H6:H69" si="1">A6</f>
        <v>3370.5</v>
      </c>
    </row>
    <row r="7" spans="1:19" x14ac:dyDescent="0.35">
      <c r="A7" s="5">
        <v>3371</v>
      </c>
      <c r="B7" s="6">
        <v>20392.95</v>
      </c>
      <c r="C7" s="6">
        <v>1915392.95</v>
      </c>
      <c r="D7" s="6">
        <v>20482.900000000001</v>
      </c>
      <c r="E7" s="2">
        <v>3</v>
      </c>
      <c r="G7" s="7">
        <f t="shared" si="0"/>
        <v>1915392.95</v>
      </c>
      <c r="H7" s="8">
        <f t="shared" si="1"/>
        <v>3371</v>
      </c>
      <c r="J7" t="s">
        <v>24</v>
      </c>
      <c r="K7" t="s">
        <v>18</v>
      </c>
    </row>
    <row r="8" spans="1:19" x14ac:dyDescent="0.35">
      <c r="A8" s="5">
        <v>3371.5</v>
      </c>
      <c r="B8" s="6">
        <v>30656.89</v>
      </c>
      <c r="C8" s="6">
        <v>1925656.89</v>
      </c>
      <c r="D8" s="6">
        <v>20572.849999999999</v>
      </c>
      <c r="E8" s="2">
        <v>4</v>
      </c>
      <c r="G8" s="7">
        <f t="shared" si="0"/>
        <v>1925656.89</v>
      </c>
      <c r="H8" s="8">
        <f t="shared" si="1"/>
        <v>3371.5</v>
      </c>
      <c r="J8" s="6">
        <v>2000000</v>
      </c>
      <c r="K8" s="6">
        <f>VLOOKUP(J8,$C$5:$D$689,2)</f>
        <v>21202.5</v>
      </c>
      <c r="S8">
        <f>8.23/12</f>
        <v>0.68583333333333341</v>
      </c>
    </row>
    <row r="9" spans="1:19" x14ac:dyDescent="0.35">
      <c r="A9" s="5">
        <v>3372</v>
      </c>
      <c r="B9" s="6">
        <v>40965.800000000003</v>
      </c>
      <c r="C9" s="6">
        <v>1935965.8</v>
      </c>
      <c r="D9" s="6">
        <v>20662.8</v>
      </c>
      <c r="E9" s="2">
        <v>5</v>
      </c>
      <c r="G9" s="7">
        <f t="shared" si="0"/>
        <v>1935965.8</v>
      </c>
      <c r="H9" s="8">
        <f t="shared" si="1"/>
        <v>3372</v>
      </c>
    </row>
    <row r="10" spans="1:19" x14ac:dyDescent="0.35">
      <c r="A10" s="5">
        <v>3372.5</v>
      </c>
      <c r="B10" s="6">
        <v>51319.69</v>
      </c>
      <c r="C10" s="6">
        <v>1946319.69</v>
      </c>
      <c r="D10" s="6">
        <v>20752.75</v>
      </c>
      <c r="E10" s="2">
        <v>6</v>
      </c>
      <c r="G10" s="7">
        <f t="shared" si="0"/>
        <v>1946319.69</v>
      </c>
      <c r="H10" s="8">
        <f t="shared" si="1"/>
        <v>3372.5</v>
      </c>
      <c r="J10" t="s">
        <v>25</v>
      </c>
    </row>
    <row r="11" spans="1:19" x14ac:dyDescent="0.35">
      <c r="A11" s="5">
        <v>3373</v>
      </c>
      <c r="B11" s="6">
        <v>61718.55</v>
      </c>
      <c r="C11" s="6">
        <v>1956718.55</v>
      </c>
      <c r="D11" s="6">
        <v>20842.7</v>
      </c>
      <c r="E11" s="2">
        <v>7</v>
      </c>
      <c r="G11" s="7">
        <f t="shared" si="0"/>
        <v>1956718.55</v>
      </c>
      <c r="H11" s="8">
        <f t="shared" si="1"/>
        <v>3373</v>
      </c>
    </row>
    <row r="12" spans="1:19" x14ac:dyDescent="0.35">
      <c r="A12" s="5">
        <v>3373.5</v>
      </c>
      <c r="B12" s="6">
        <v>72162.39</v>
      </c>
      <c r="C12" s="6">
        <v>1967162.39</v>
      </c>
      <c r="D12" s="6">
        <v>20932.650000000001</v>
      </c>
      <c r="E12" s="2">
        <v>8</v>
      </c>
      <c r="G12" s="7">
        <f t="shared" si="0"/>
        <v>1967162.39</v>
      </c>
      <c r="H12" s="8">
        <f t="shared" si="1"/>
        <v>3373.5</v>
      </c>
      <c r="J12" t="s">
        <v>24</v>
      </c>
      <c r="K12" s="9" t="s">
        <v>19</v>
      </c>
      <c r="L12" t="s">
        <v>26</v>
      </c>
      <c r="M12" t="s">
        <v>27</v>
      </c>
      <c r="N12" t="s">
        <v>28</v>
      </c>
      <c r="O12" t="s">
        <v>29</v>
      </c>
      <c r="P12" t="s">
        <v>30</v>
      </c>
    </row>
    <row r="13" spans="1:19" x14ac:dyDescent="0.35">
      <c r="A13" s="5">
        <v>3374</v>
      </c>
      <c r="B13" s="6">
        <v>82651.2000004</v>
      </c>
      <c r="C13" s="6">
        <v>1977651.2000004</v>
      </c>
      <c r="D13" s="6">
        <v>21022.6</v>
      </c>
      <c r="E13" s="2">
        <v>9</v>
      </c>
      <c r="G13" s="7">
        <f t="shared" si="0"/>
        <v>1977651.2000004</v>
      </c>
      <c r="H13" s="8">
        <f t="shared" si="1"/>
        <v>3374</v>
      </c>
      <c r="J13" s="7">
        <f>J8</f>
        <v>2000000</v>
      </c>
      <c r="K13" s="10">
        <f>VLOOKUP(J13,$C$5:$E$689,3)</f>
        <v>11</v>
      </c>
      <c r="L13" s="6">
        <f ca="1">OFFSET($C$5,$K13-1,0)</f>
        <v>1998763.75</v>
      </c>
      <c r="M13" s="6">
        <f ca="1">OFFSET($C$5,$K13,0)</f>
        <v>2009387.49</v>
      </c>
      <c r="N13" s="6">
        <f ca="1">OFFSET($C$5,$K13-1,1)</f>
        <v>21202.5</v>
      </c>
      <c r="O13" s="6">
        <f ca="1">OFFSET($C$5,$K13,1)</f>
        <v>21292.45</v>
      </c>
      <c r="P13" s="7">
        <f ca="1">N13+(O13-N13)/(M13-L13)*(J13-L13)</f>
        <v>21212.967188344217</v>
      </c>
    </row>
    <row r="14" spans="1:19" x14ac:dyDescent="0.35">
      <c r="A14" s="5">
        <v>3374.5</v>
      </c>
      <c r="B14" s="6">
        <v>93184.99</v>
      </c>
      <c r="C14" s="6">
        <v>1988184.99</v>
      </c>
      <c r="D14" s="6">
        <v>21112.55</v>
      </c>
      <c r="E14" s="2">
        <v>10</v>
      </c>
      <c r="G14" s="7">
        <f t="shared" si="0"/>
        <v>1988184.99</v>
      </c>
      <c r="H14" s="8">
        <f t="shared" si="1"/>
        <v>3374.5</v>
      </c>
    </row>
    <row r="15" spans="1:19" x14ac:dyDescent="0.35">
      <c r="A15" s="5">
        <v>3375</v>
      </c>
      <c r="B15" s="6">
        <v>103763.75</v>
      </c>
      <c r="C15" s="6">
        <v>1998763.75</v>
      </c>
      <c r="D15" s="6">
        <v>21202.5</v>
      </c>
      <c r="E15" s="2">
        <v>11</v>
      </c>
      <c r="G15" s="7">
        <f t="shared" si="0"/>
        <v>1998763.75</v>
      </c>
      <c r="H15" s="8">
        <f t="shared" si="1"/>
        <v>3375</v>
      </c>
    </row>
    <row r="16" spans="1:19" x14ac:dyDescent="0.35">
      <c r="A16" s="5">
        <v>3375.5</v>
      </c>
      <c r="B16" s="6">
        <v>114387.49</v>
      </c>
      <c r="C16" s="6">
        <v>2009387.49</v>
      </c>
      <c r="D16" s="6">
        <v>21292.45</v>
      </c>
      <c r="E16" s="2">
        <v>12</v>
      </c>
      <c r="G16" s="7">
        <f t="shared" si="0"/>
        <v>2009387.49</v>
      </c>
      <c r="H16" s="8">
        <f t="shared" si="1"/>
        <v>3375.5</v>
      </c>
    </row>
    <row r="17" spans="1:8" x14ac:dyDescent="0.35">
      <c r="A17" s="5">
        <v>3376</v>
      </c>
      <c r="B17" s="6">
        <v>125056.2</v>
      </c>
      <c r="C17" s="6">
        <v>2020056.2</v>
      </c>
      <c r="D17" s="6">
        <v>21382.400000000001</v>
      </c>
      <c r="E17" s="2">
        <v>13</v>
      </c>
      <c r="G17" s="7">
        <f t="shared" si="0"/>
        <v>2020056.2</v>
      </c>
      <c r="H17" s="8">
        <f t="shared" si="1"/>
        <v>3376</v>
      </c>
    </row>
    <row r="18" spans="1:8" x14ac:dyDescent="0.35">
      <c r="A18" s="5">
        <v>3376.5</v>
      </c>
      <c r="B18" s="6">
        <v>135769.89000000001</v>
      </c>
      <c r="C18" s="6">
        <v>2030769.8900000001</v>
      </c>
      <c r="D18" s="6">
        <v>21472.35</v>
      </c>
      <c r="E18" s="2">
        <v>14</v>
      </c>
      <c r="G18" s="7">
        <f t="shared" si="0"/>
        <v>2030769.8900000001</v>
      </c>
      <c r="H18" s="8">
        <f t="shared" si="1"/>
        <v>3376.5</v>
      </c>
    </row>
    <row r="19" spans="1:8" x14ac:dyDescent="0.35">
      <c r="A19" s="5">
        <v>3377</v>
      </c>
      <c r="B19" s="6">
        <v>146528.54999999999</v>
      </c>
      <c r="C19" s="6">
        <v>2041528.55</v>
      </c>
      <c r="D19" s="6">
        <v>21562.3</v>
      </c>
      <c r="E19" s="2">
        <v>15</v>
      </c>
      <c r="G19" s="7">
        <f t="shared" si="0"/>
        <v>2041528.55</v>
      </c>
      <c r="H19" s="8">
        <f t="shared" si="1"/>
        <v>3377</v>
      </c>
    </row>
    <row r="20" spans="1:8" x14ac:dyDescent="0.35">
      <c r="A20" s="5">
        <v>3377.5</v>
      </c>
      <c r="B20" s="6">
        <v>157332.19</v>
      </c>
      <c r="C20" s="6">
        <v>2052332.19</v>
      </c>
      <c r="D20" s="6">
        <v>21652.25</v>
      </c>
      <c r="E20" s="2">
        <v>16</v>
      </c>
      <c r="G20" s="7">
        <f t="shared" si="0"/>
        <v>2052332.19</v>
      </c>
      <c r="H20" s="8">
        <f t="shared" si="1"/>
        <v>3377.5</v>
      </c>
    </row>
    <row r="21" spans="1:8" x14ac:dyDescent="0.35">
      <c r="A21" s="5">
        <v>3378</v>
      </c>
      <c r="B21" s="6">
        <v>168180.8</v>
      </c>
      <c r="C21" s="6">
        <v>2063180.8</v>
      </c>
      <c r="D21" s="6">
        <v>21742.2</v>
      </c>
      <c r="E21" s="2">
        <v>17</v>
      </c>
      <c r="G21" s="7">
        <f t="shared" si="0"/>
        <v>2063180.8</v>
      </c>
      <c r="H21" s="8">
        <f t="shared" si="1"/>
        <v>3378</v>
      </c>
    </row>
    <row r="22" spans="1:8" x14ac:dyDescent="0.35">
      <c r="A22" s="5">
        <v>3378.5</v>
      </c>
      <c r="B22" s="6">
        <v>179074.39</v>
      </c>
      <c r="C22" s="6">
        <v>2074074.3900000001</v>
      </c>
      <c r="D22" s="6">
        <v>21832.15</v>
      </c>
      <c r="E22" s="2">
        <v>18</v>
      </c>
      <c r="G22" s="7">
        <f t="shared" si="0"/>
        <v>2074074.3900000001</v>
      </c>
      <c r="H22" s="8">
        <f t="shared" si="1"/>
        <v>3378.5</v>
      </c>
    </row>
    <row r="23" spans="1:8" x14ac:dyDescent="0.35">
      <c r="A23" s="5">
        <v>3379</v>
      </c>
      <c r="B23" s="6">
        <v>190012.95</v>
      </c>
      <c r="C23" s="6">
        <v>2085012.95</v>
      </c>
      <c r="D23" s="6">
        <v>21922.1</v>
      </c>
      <c r="E23" s="2">
        <v>19</v>
      </c>
      <c r="G23" s="7">
        <f t="shared" si="0"/>
        <v>2085012.95</v>
      </c>
      <c r="H23" s="8">
        <f t="shared" si="1"/>
        <v>3379</v>
      </c>
    </row>
    <row r="24" spans="1:8" x14ac:dyDescent="0.35">
      <c r="A24" s="5">
        <v>3379.5</v>
      </c>
      <c r="B24" s="6">
        <v>200996.49</v>
      </c>
      <c r="C24" s="6">
        <v>2095996.49</v>
      </c>
      <c r="D24" s="6">
        <v>22012.05</v>
      </c>
      <c r="E24" s="2">
        <v>20</v>
      </c>
      <c r="G24" s="7">
        <f t="shared" si="0"/>
        <v>2095996.49</v>
      </c>
      <c r="H24" s="8">
        <f t="shared" si="1"/>
        <v>3379.5</v>
      </c>
    </row>
    <row r="25" spans="1:8" x14ac:dyDescent="0.35">
      <c r="A25" s="5">
        <v>3380</v>
      </c>
      <c r="B25" s="6">
        <v>212025</v>
      </c>
      <c r="C25" s="6">
        <v>2107025</v>
      </c>
      <c r="D25" s="6">
        <v>22102</v>
      </c>
      <c r="E25" s="2">
        <v>21</v>
      </c>
      <c r="G25" s="7">
        <f t="shared" si="0"/>
        <v>2107025</v>
      </c>
      <c r="H25" s="8">
        <f t="shared" si="1"/>
        <v>3380</v>
      </c>
    </row>
    <row r="26" spans="1:8" x14ac:dyDescent="0.35">
      <c r="A26" s="5">
        <v>3380.5</v>
      </c>
      <c r="B26" s="6">
        <v>223100.75</v>
      </c>
      <c r="C26" s="6">
        <v>2118100.75</v>
      </c>
      <c r="D26" s="6">
        <v>22201</v>
      </c>
      <c r="E26" s="2">
        <v>22</v>
      </c>
      <c r="G26" s="7">
        <f t="shared" si="0"/>
        <v>2118100.75</v>
      </c>
      <c r="H26" s="8">
        <f t="shared" si="1"/>
        <v>3380.5</v>
      </c>
    </row>
    <row r="27" spans="1:8" x14ac:dyDescent="0.35">
      <c r="A27" s="5">
        <v>3381</v>
      </c>
      <c r="B27" s="6">
        <v>234226</v>
      </c>
      <c r="C27" s="6">
        <v>2129226</v>
      </c>
      <c r="D27" s="6">
        <v>22300</v>
      </c>
      <c r="E27" s="2">
        <v>23</v>
      </c>
      <c r="G27" s="7">
        <f t="shared" si="0"/>
        <v>2129226</v>
      </c>
      <c r="H27" s="8">
        <f t="shared" si="1"/>
        <v>3381</v>
      </c>
    </row>
    <row r="28" spans="1:8" x14ac:dyDescent="0.35">
      <c r="A28" s="5">
        <v>3381.5</v>
      </c>
      <c r="B28" s="6">
        <v>245400.75</v>
      </c>
      <c r="C28" s="6">
        <v>2140400.75</v>
      </c>
      <c r="D28" s="6">
        <v>22399</v>
      </c>
      <c r="E28" s="2">
        <v>24</v>
      </c>
      <c r="G28" s="7">
        <f t="shared" si="0"/>
        <v>2140400.75</v>
      </c>
      <c r="H28" s="8">
        <f t="shared" si="1"/>
        <v>3381.5</v>
      </c>
    </row>
    <row r="29" spans="1:8" x14ac:dyDescent="0.35">
      <c r="A29" s="5">
        <v>3382</v>
      </c>
      <c r="B29" s="6">
        <v>256625</v>
      </c>
      <c r="C29" s="6">
        <v>2151625</v>
      </c>
      <c r="D29" s="6">
        <v>22498</v>
      </c>
      <c r="E29" s="2">
        <v>25</v>
      </c>
      <c r="G29" s="7">
        <f t="shared" si="0"/>
        <v>2151625</v>
      </c>
      <c r="H29" s="8">
        <f t="shared" si="1"/>
        <v>3382</v>
      </c>
    </row>
    <row r="30" spans="1:8" x14ac:dyDescent="0.35">
      <c r="A30" s="5">
        <v>3382.5</v>
      </c>
      <c r="B30" s="6">
        <v>267898.75</v>
      </c>
      <c r="C30" s="6">
        <v>2162898.75</v>
      </c>
      <c r="D30" s="6">
        <v>22597</v>
      </c>
      <c r="E30" s="2">
        <v>26</v>
      </c>
      <c r="G30" s="7">
        <f t="shared" si="0"/>
        <v>2162898.75</v>
      </c>
      <c r="H30" s="8">
        <f t="shared" si="1"/>
        <v>3382.5</v>
      </c>
    </row>
    <row r="31" spans="1:8" x14ac:dyDescent="0.35">
      <c r="A31" s="5">
        <v>3383</v>
      </c>
      <c r="B31" s="6">
        <v>279222</v>
      </c>
      <c r="C31" s="6">
        <v>2174222</v>
      </c>
      <c r="D31" s="6">
        <v>22696</v>
      </c>
      <c r="E31" s="2">
        <v>27</v>
      </c>
      <c r="G31" s="7">
        <f t="shared" si="0"/>
        <v>2174222</v>
      </c>
      <c r="H31" s="8">
        <f t="shared" si="1"/>
        <v>3383</v>
      </c>
    </row>
    <row r="32" spans="1:8" x14ac:dyDescent="0.35">
      <c r="A32" s="5">
        <v>3383.5</v>
      </c>
      <c r="B32" s="6">
        <v>290594.75</v>
      </c>
      <c r="C32" s="6">
        <v>2185594.75</v>
      </c>
      <c r="D32" s="6">
        <v>22795</v>
      </c>
      <c r="E32" s="2">
        <v>28</v>
      </c>
      <c r="G32" s="7">
        <f t="shared" si="0"/>
        <v>2185594.75</v>
      </c>
      <c r="H32" s="8">
        <f t="shared" si="1"/>
        <v>3383.5</v>
      </c>
    </row>
    <row r="33" spans="1:8" x14ac:dyDescent="0.35">
      <c r="A33" s="5">
        <v>3384</v>
      </c>
      <c r="B33" s="6">
        <v>302017</v>
      </c>
      <c r="C33" s="6">
        <v>2197017</v>
      </c>
      <c r="D33" s="6">
        <v>22894</v>
      </c>
      <c r="E33" s="2">
        <v>29</v>
      </c>
      <c r="G33" s="7">
        <f t="shared" si="0"/>
        <v>2197017</v>
      </c>
      <c r="H33" s="8">
        <f t="shared" si="1"/>
        <v>3384</v>
      </c>
    </row>
    <row r="34" spans="1:8" x14ac:dyDescent="0.35">
      <c r="A34" s="5">
        <v>3384.5</v>
      </c>
      <c r="B34" s="6">
        <v>313488.75</v>
      </c>
      <c r="C34" s="6">
        <v>2208488.75</v>
      </c>
      <c r="D34" s="6">
        <v>22993</v>
      </c>
      <c r="E34" s="2">
        <v>30</v>
      </c>
      <c r="G34" s="7">
        <f t="shared" si="0"/>
        <v>2208488.75</v>
      </c>
      <c r="H34" s="8">
        <f t="shared" si="1"/>
        <v>3384.5</v>
      </c>
    </row>
    <row r="35" spans="1:8" x14ac:dyDescent="0.35">
      <c r="A35" s="5">
        <v>3385</v>
      </c>
      <c r="B35" s="6">
        <v>325010</v>
      </c>
      <c r="C35" s="6">
        <v>2220010</v>
      </c>
      <c r="D35" s="6">
        <v>23092</v>
      </c>
      <c r="E35" s="2">
        <v>31</v>
      </c>
      <c r="G35" s="7">
        <f t="shared" si="0"/>
        <v>2220010</v>
      </c>
      <c r="H35" s="8">
        <f t="shared" si="1"/>
        <v>3385</v>
      </c>
    </row>
    <row r="36" spans="1:8" x14ac:dyDescent="0.35">
      <c r="A36" s="5">
        <v>3385.5</v>
      </c>
      <c r="B36" s="6">
        <v>336580.75</v>
      </c>
      <c r="C36" s="6">
        <v>2231580.75</v>
      </c>
      <c r="D36" s="6">
        <v>23191</v>
      </c>
      <c r="E36" s="2">
        <v>32</v>
      </c>
      <c r="G36" s="7">
        <f t="shared" si="0"/>
        <v>2231580.75</v>
      </c>
      <c r="H36" s="8">
        <f t="shared" si="1"/>
        <v>3385.5</v>
      </c>
    </row>
    <row r="37" spans="1:8" x14ac:dyDescent="0.35">
      <c r="A37" s="5">
        <v>3386</v>
      </c>
      <c r="B37" s="6">
        <v>348201</v>
      </c>
      <c r="C37" s="6">
        <v>2243201</v>
      </c>
      <c r="D37" s="6">
        <v>23290</v>
      </c>
      <c r="E37" s="2">
        <v>33</v>
      </c>
      <c r="G37" s="7">
        <f t="shared" si="0"/>
        <v>2243201</v>
      </c>
      <c r="H37" s="8">
        <f t="shared" si="1"/>
        <v>3386</v>
      </c>
    </row>
    <row r="38" spans="1:8" x14ac:dyDescent="0.35">
      <c r="A38" s="5">
        <v>3386.5</v>
      </c>
      <c r="B38" s="6">
        <v>359870.75</v>
      </c>
      <c r="C38" s="6">
        <v>2254870.75</v>
      </c>
      <c r="D38" s="6">
        <v>23389</v>
      </c>
      <c r="E38" s="2">
        <v>34</v>
      </c>
      <c r="G38" s="7">
        <f t="shared" si="0"/>
        <v>2254870.75</v>
      </c>
      <c r="H38" s="8">
        <f t="shared" si="1"/>
        <v>3386.5</v>
      </c>
    </row>
    <row r="39" spans="1:8" x14ac:dyDescent="0.35">
      <c r="A39" s="5">
        <v>3387</v>
      </c>
      <c r="B39" s="6">
        <v>371590</v>
      </c>
      <c r="C39" s="6">
        <v>2266590</v>
      </c>
      <c r="D39" s="6">
        <v>23488</v>
      </c>
      <c r="E39" s="2">
        <v>35</v>
      </c>
      <c r="G39" s="7">
        <f t="shared" si="0"/>
        <v>2266590</v>
      </c>
      <c r="H39" s="8">
        <f t="shared" si="1"/>
        <v>3387</v>
      </c>
    </row>
    <row r="40" spans="1:8" x14ac:dyDescent="0.35">
      <c r="A40" s="5">
        <v>3387.5</v>
      </c>
      <c r="B40" s="6">
        <v>383358.75</v>
      </c>
      <c r="C40" s="6">
        <v>2278358.75</v>
      </c>
      <c r="D40" s="6">
        <v>23587</v>
      </c>
      <c r="E40" s="2">
        <v>36</v>
      </c>
      <c r="G40" s="7">
        <f t="shared" si="0"/>
        <v>2278358.75</v>
      </c>
      <c r="H40" s="8">
        <f t="shared" si="1"/>
        <v>3387.5</v>
      </c>
    </row>
    <row r="41" spans="1:8" x14ac:dyDescent="0.35">
      <c r="A41" s="5">
        <v>3388</v>
      </c>
      <c r="B41" s="6">
        <v>395177</v>
      </c>
      <c r="C41" s="6">
        <v>2290177</v>
      </c>
      <c r="D41" s="6">
        <v>23686</v>
      </c>
      <c r="E41" s="2">
        <v>37</v>
      </c>
      <c r="G41" s="7">
        <f t="shared" si="0"/>
        <v>2290177</v>
      </c>
      <c r="H41" s="8">
        <f t="shared" si="1"/>
        <v>3388</v>
      </c>
    </row>
    <row r="42" spans="1:8" x14ac:dyDescent="0.35">
      <c r="A42" s="5">
        <v>3388.5</v>
      </c>
      <c r="B42" s="6">
        <v>407044.75</v>
      </c>
      <c r="C42" s="6">
        <v>2302044.75</v>
      </c>
      <c r="D42" s="6">
        <v>23785</v>
      </c>
      <c r="E42" s="2">
        <v>38</v>
      </c>
      <c r="G42" s="7">
        <f t="shared" si="0"/>
        <v>2302044.75</v>
      </c>
      <c r="H42" s="8">
        <f t="shared" si="1"/>
        <v>3388.5</v>
      </c>
    </row>
    <row r="43" spans="1:8" x14ac:dyDescent="0.35">
      <c r="A43" s="5">
        <v>3389</v>
      </c>
      <c r="B43" s="6">
        <v>418962</v>
      </c>
      <c r="C43" s="6">
        <v>2313962</v>
      </c>
      <c r="D43" s="6">
        <v>23884</v>
      </c>
      <c r="E43" s="2">
        <v>39</v>
      </c>
      <c r="G43" s="7">
        <f t="shared" si="0"/>
        <v>2313962</v>
      </c>
      <c r="H43" s="8">
        <f t="shared" si="1"/>
        <v>3389</v>
      </c>
    </row>
    <row r="44" spans="1:8" x14ac:dyDescent="0.35">
      <c r="A44" s="5">
        <v>3389.5</v>
      </c>
      <c r="B44" s="6">
        <v>430928.75</v>
      </c>
      <c r="C44" s="6">
        <v>2325928.75</v>
      </c>
      <c r="D44" s="6">
        <v>23983</v>
      </c>
      <c r="E44" s="2">
        <v>40</v>
      </c>
      <c r="G44" s="7">
        <f t="shared" si="0"/>
        <v>2325928.75</v>
      </c>
      <c r="H44" s="8">
        <f t="shared" si="1"/>
        <v>3389.5</v>
      </c>
    </row>
    <row r="45" spans="1:8" x14ac:dyDescent="0.35">
      <c r="A45" s="5">
        <v>3390</v>
      </c>
      <c r="B45" s="6">
        <v>442945</v>
      </c>
      <c r="C45" s="6">
        <v>2337945</v>
      </c>
      <c r="D45" s="6">
        <v>24082</v>
      </c>
      <c r="E45" s="2">
        <v>41</v>
      </c>
      <c r="G45" s="7">
        <f t="shared" si="0"/>
        <v>2337945</v>
      </c>
      <c r="H45" s="8">
        <f t="shared" si="1"/>
        <v>3390</v>
      </c>
    </row>
    <row r="46" spans="1:8" x14ac:dyDescent="0.35">
      <c r="A46" s="5">
        <v>3390.5</v>
      </c>
      <c r="B46" s="6">
        <v>455010.75</v>
      </c>
      <c r="C46" s="6">
        <v>2350010.75</v>
      </c>
      <c r="D46" s="6">
        <v>24181</v>
      </c>
      <c r="E46" s="2">
        <v>42</v>
      </c>
      <c r="G46" s="7">
        <f t="shared" si="0"/>
        <v>2350010.75</v>
      </c>
      <c r="H46" s="8">
        <f t="shared" si="1"/>
        <v>3390.5</v>
      </c>
    </row>
    <row r="47" spans="1:8" x14ac:dyDescent="0.35">
      <c r="A47" s="5">
        <v>3391</v>
      </c>
      <c r="B47" s="6">
        <v>467126</v>
      </c>
      <c r="C47" s="6">
        <v>2362126</v>
      </c>
      <c r="D47" s="6">
        <v>24280</v>
      </c>
      <c r="E47" s="2">
        <v>43</v>
      </c>
      <c r="G47" s="7">
        <f t="shared" si="0"/>
        <v>2362126</v>
      </c>
      <c r="H47" s="8">
        <f t="shared" si="1"/>
        <v>3391</v>
      </c>
    </row>
    <row r="48" spans="1:8" x14ac:dyDescent="0.35">
      <c r="A48" s="5">
        <v>3391.5</v>
      </c>
      <c r="B48" s="6">
        <v>479290.75</v>
      </c>
      <c r="C48" s="6">
        <v>2374290.75</v>
      </c>
      <c r="D48" s="6">
        <v>24379</v>
      </c>
      <c r="E48" s="2">
        <v>44</v>
      </c>
      <c r="G48" s="7">
        <f t="shared" si="0"/>
        <v>2374290.75</v>
      </c>
      <c r="H48" s="8">
        <f t="shared" si="1"/>
        <v>3391.5</v>
      </c>
    </row>
    <row r="49" spans="1:8" x14ac:dyDescent="0.35">
      <c r="A49" s="5">
        <v>3392</v>
      </c>
      <c r="B49" s="6">
        <v>491505</v>
      </c>
      <c r="C49" s="6">
        <v>2386505</v>
      </c>
      <c r="D49" s="6">
        <v>24478</v>
      </c>
      <c r="E49" s="2">
        <v>45</v>
      </c>
      <c r="G49" s="7">
        <f t="shared" si="0"/>
        <v>2386505</v>
      </c>
      <c r="H49" s="8">
        <f t="shared" si="1"/>
        <v>3392</v>
      </c>
    </row>
    <row r="50" spans="1:8" x14ac:dyDescent="0.35">
      <c r="A50" s="5">
        <v>3392.5</v>
      </c>
      <c r="B50" s="6">
        <v>503768.75</v>
      </c>
      <c r="C50" s="6">
        <v>2398768.75</v>
      </c>
      <c r="D50" s="6">
        <v>24577</v>
      </c>
      <c r="E50" s="2">
        <v>46</v>
      </c>
      <c r="G50" s="7">
        <f t="shared" si="0"/>
        <v>2398768.75</v>
      </c>
      <c r="H50" s="8">
        <f t="shared" si="1"/>
        <v>3392.5</v>
      </c>
    </row>
    <row r="51" spans="1:8" x14ac:dyDescent="0.35">
      <c r="A51" s="5">
        <v>3393</v>
      </c>
      <c r="B51" s="6">
        <v>516082</v>
      </c>
      <c r="C51" s="6">
        <v>2411082</v>
      </c>
      <c r="D51" s="6">
        <v>24676</v>
      </c>
      <c r="E51" s="2">
        <v>47</v>
      </c>
      <c r="G51" s="7">
        <f t="shared" si="0"/>
        <v>2411082</v>
      </c>
      <c r="H51" s="8">
        <f t="shared" si="1"/>
        <v>3393</v>
      </c>
    </row>
    <row r="52" spans="1:8" x14ac:dyDescent="0.35">
      <c r="A52" s="5">
        <v>3393.5</v>
      </c>
      <c r="B52" s="6">
        <v>528444.75</v>
      </c>
      <c r="C52" s="6">
        <v>2423444.75</v>
      </c>
      <c r="D52" s="6">
        <v>24775</v>
      </c>
      <c r="E52" s="2">
        <v>48</v>
      </c>
      <c r="G52" s="7">
        <f t="shared" si="0"/>
        <v>2423444.75</v>
      </c>
      <c r="H52" s="8">
        <f t="shared" si="1"/>
        <v>3393.5</v>
      </c>
    </row>
    <row r="53" spans="1:8" x14ac:dyDescent="0.35">
      <c r="A53" s="5">
        <v>3394</v>
      </c>
      <c r="B53" s="6">
        <v>540857</v>
      </c>
      <c r="C53" s="6">
        <v>2435857</v>
      </c>
      <c r="D53" s="6">
        <v>24874.000000100001</v>
      </c>
      <c r="E53" s="2">
        <v>49</v>
      </c>
      <c r="G53" s="7">
        <f t="shared" si="0"/>
        <v>2435857</v>
      </c>
      <c r="H53" s="8">
        <f t="shared" si="1"/>
        <v>3394</v>
      </c>
    </row>
    <row r="54" spans="1:8" x14ac:dyDescent="0.35">
      <c r="A54" s="5">
        <v>3394.5</v>
      </c>
      <c r="B54" s="6">
        <v>553318.75</v>
      </c>
      <c r="C54" s="6">
        <v>2448318.75</v>
      </c>
      <c r="D54" s="6">
        <v>24973.000000100001</v>
      </c>
      <c r="E54" s="2">
        <v>50</v>
      </c>
      <c r="G54" s="7">
        <f t="shared" si="0"/>
        <v>2448318.75</v>
      </c>
      <c r="H54" s="8">
        <f t="shared" si="1"/>
        <v>3394.5</v>
      </c>
    </row>
    <row r="55" spans="1:8" x14ac:dyDescent="0.35">
      <c r="A55" s="5">
        <v>3395</v>
      </c>
      <c r="B55" s="6">
        <v>565830</v>
      </c>
      <c r="C55" s="6">
        <v>2460830</v>
      </c>
      <c r="D55" s="6">
        <v>25071.999999899999</v>
      </c>
      <c r="E55" s="2">
        <v>51</v>
      </c>
      <c r="G55" s="7">
        <f t="shared" si="0"/>
        <v>2460830</v>
      </c>
      <c r="H55" s="8">
        <f t="shared" si="1"/>
        <v>3395</v>
      </c>
    </row>
    <row r="56" spans="1:8" x14ac:dyDescent="0.35">
      <c r="A56" s="5">
        <v>3395.5</v>
      </c>
      <c r="B56" s="6">
        <v>578390.75</v>
      </c>
      <c r="C56" s="6">
        <v>2473390.75</v>
      </c>
      <c r="D56" s="6">
        <v>25170.999999899999</v>
      </c>
      <c r="E56" s="2">
        <v>52</v>
      </c>
      <c r="G56" s="7">
        <f t="shared" si="0"/>
        <v>2473390.75</v>
      </c>
      <c r="H56" s="8">
        <f t="shared" si="1"/>
        <v>3395.5</v>
      </c>
    </row>
    <row r="57" spans="1:8" x14ac:dyDescent="0.35">
      <c r="A57" s="5">
        <v>3396</v>
      </c>
      <c r="B57" s="6">
        <v>591001</v>
      </c>
      <c r="C57" s="6">
        <v>2486001</v>
      </c>
      <c r="D57" s="6">
        <v>25270</v>
      </c>
      <c r="E57" s="2">
        <v>53</v>
      </c>
      <c r="G57" s="7">
        <f t="shared" si="0"/>
        <v>2486001</v>
      </c>
      <c r="H57" s="8">
        <f t="shared" si="1"/>
        <v>3396</v>
      </c>
    </row>
    <row r="58" spans="1:8" x14ac:dyDescent="0.35">
      <c r="A58" s="5">
        <v>3396.5</v>
      </c>
      <c r="B58" s="6">
        <v>603660.75</v>
      </c>
      <c r="C58" s="6">
        <v>2498660.75</v>
      </c>
      <c r="D58" s="6">
        <v>25369</v>
      </c>
      <c r="E58" s="2">
        <v>54</v>
      </c>
      <c r="G58" s="7">
        <f t="shared" si="0"/>
        <v>2498660.75</v>
      </c>
      <c r="H58" s="8">
        <f t="shared" si="1"/>
        <v>3396.5</v>
      </c>
    </row>
    <row r="59" spans="1:8" x14ac:dyDescent="0.35">
      <c r="A59" s="5">
        <v>3397</v>
      </c>
      <c r="B59" s="6">
        <v>616370</v>
      </c>
      <c r="C59" s="6">
        <v>2511370</v>
      </c>
      <c r="D59" s="6">
        <v>25468.000000100001</v>
      </c>
      <c r="E59" s="2">
        <v>55</v>
      </c>
      <c r="G59" s="7">
        <f t="shared" si="0"/>
        <v>2511370</v>
      </c>
      <c r="H59" s="8">
        <f t="shared" si="1"/>
        <v>3397</v>
      </c>
    </row>
    <row r="60" spans="1:8" x14ac:dyDescent="0.35">
      <c r="A60" s="5">
        <v>3397.5</v>
      </c>
      <c r="B60" s="6">
        <v>629128.75</v>
      </c>
      <c r="C60" s="6">
        <v>2524128.75</v>
      </c>
      <c r="D60" s="6">
        <v>25567.000000100001</v>
      </c>
      <c r="E60" s="2">
        <v>56</v>
      </c>
      <c r="G60" s="7">
        <f t="shared" si="0"/>
        <v>2524128.75</v>
      </c>
      <c r="H60" s="8">
        <f t="shared" si="1"/>
        <v>3397.5</v>
      </c>
    </row>
    <row r="61" spans="1:8" x14ac:dyDescent="0.35">
      <c r="A61" s="5">
        <v>3398</v>
      </c>
      <c r="B61" s="6">
        <v>641937</v>
      </c>
      <c r="C61" s="6">
        <v>2536937</v>
      </c>
      <c r="D61" s="6">
        <v>25665.999999899999</v>
      </c>
      <c r="E61" s="2">
        <v>57</v>
      </c>
      <c r="G61" s="7">
        <f t="shared" si="0"/>
        <v>2536937</v>
      </c>
      <c r="H61" s="8">
        <f t="shared" si="1"/>
        <v>3398</v>
      </c>
    </row>
    <row r="62" spans="1:8" x14ac:dyDescent="0.35">
      <c r="A62" s="5">
        <v>3398.5</v>
      </c>
      <c r="B62" s="6">
        <v>654794.75</v>
      </c>
      <c r="C62" s="6">
        <v>2549794.75</v>
      </c>
      <c r="D62" s="6">
        <v>25765</v>
      </c>
      <c r="E62" s="2">
        <v>58</v>
      </c>
      <c r="G62" s="7">
        <f t="shared" si="0"/>
        <v>2549794.75</v>
      </c>
      <c r="H62" s="8">
        <f t="shared" si="1"/>
        <v>3398.5</v>
      </c>
    </row>
    <row r="63" spans="1:8" x14ac:dyDescent="0.35">
      <c r="A63" s="5">
        <v>3399</v>
      </c>
      <c r="B63" s="6">
        <v>667702</v>
      </c>
      <c r="C63" s="6">
        <v>2562702</v>
      </c>
      <c r="D63" s="6">
        <v>25864</v>
      </c>
      <c r="E63" s="2">
        <v>59</v>
      </c>
      <c r="G63" s="7">
        <f t="shared" si="0"/>
        <v>2562702</v>
      </c>
      <c r="H63" s="8">
        <f t="shared" si="1"/>
        <v>3399</v>
      </c>
    </row>
    <row r="64" spans="1:8" x14ac:dyDescent="0.35">
      <c r="A64" s="5">
        <v>3399.5</v>
      </c>
      <c r="B64" s="6">
        <v>680658.75</v>
      </c>
      <c r="C64" s="6">
        <v>2575658.75</v>
      </c>
      <c r="D64" s="6">
        <v>25963.000000100001</v>
      </c>
      <c r="E64" s="2">
        <v>60</v>
      </c>
      <c r="G64" s="7">
        <f t="shared" si="0"/>
        <v>2575658.75</v>
      </c>
      <c r="H64" s="8">
        <f t="shared" si="1"/>
        <v>3399.5</v>
      </c>
    </row>
    <row r="65" spans="1:8" x14ac:dyDescent="0.35">
      <c r="A65" s="5">
        <v>3400</v>
      </c>
      <c r="B65" s="6">
        <v>693665</v>
      </c>
      <c r="C65" s="6">
        <v>2588665</v>
      </c>
      <c r="D65" s="6">
        <v>26062.000000100001</v>
      </c>
      <c r="E65" s="2">
        <v>61</v>
      </c>
      <c r="G65" s="7">
        <f t="shared" si="0"/>
        <v>2588665</v>
      </c>
      <c r="H65" s="8">
        <f t="shared" si="1"/>
        <v>3400</v>
      </c>
    </row>
    <row r="66" spans="1:8" x14ac:dyDescent="0.35">
      <c r="A66" s="5">
        <v>3400.5</v>
      </c>
      <c r="B66" s="6">
        <v>706720.89</v>
      </c>
      <c r="C66" s="6">
        <v>2601720.89</v>
      </c>
      <c r="D66" s="6">
        <v>26161.5700001</v>
      </c>
      <c r="E66" s="2">
        <v>62</v>
      </c>
      <c r="G66" s="7">
        <f t="shared" si="0"/>
        <v>2601720.89</v>
      </c>
      <c r="H66" s="8">
        <f t="shared" si="1"/>
        <v>3400.5</v>
      </c>
    </row>
    <row r="67" spans="1:8" x14ac:dyDescent="0.35">
      <c r="A67" s="5">
        <v>3401</v>
      </c>
      <c r="B67" s="6">
        <v>719826.57</v>
      </c>
      <c r="C67" s="6">
        <v>2614826.5699999998</v>
      </c>
      <c r="D67" s="6">
        <v>26261.15</v>
      </c>
      <c r="E67" s="2">
        <v>63</v>
      </c>
      <c r="G67" s="7">
        <f t="shared" si="0"/>
        <v>2614826.5699999998</v>
      </c>
      <c r="H67" s="8">
        <f t="shared" si="1"/>
        <v>3401</v>
      </c>
    </row>
    <row r="68" spans="1:8" x14ac:dyDescent="0.35">
      <c r="A68" s="5">
        <v>3401.5</v>
      </c>
      <c r="B68" s="6">
        <v>732982.04</v>
      </c>
      <c r="C68" s="6">
        <v>2627982.04</v>
      </c>
      <c r="D68" s="6">
        <v>26360.720000000001</v>
      </c>
      <c r="E68" s="2">
        <v>64</v>
      </c>
      <c r="G68" s="7">
        <f t="shared" si="0"/>
        <v>2627982.04</v>
      </c>
      <c r="H68" s="8">
        <f t="shared" si="1"/>
        <v>3401.5</v>
      </c>
    </row>
    <row r="69" spans="1:8" x14ac:dyDescent="0.35">
      <c r="A69" s="5">
        <v>3402</v>
      </c>
      <c r="B69" s="6">
        <v>746187.3</v>
      </c>
      <c r="C69" s="6">
        <v>2641187.2999999998</v>
      </c>
      <c r="D69" s="6">
        <v>26460.3000001</v>
      </c>
      <c r="E69" s="2">
        <v>65</v>
      </c>
      <c r="G69" s="7">
        <f t="shared" si="0"/>
        <v>2641187.2999999998</v>
      </c>
      <c r="H69" s="8">
        <f t="shared" si="1"/>
        <v>3402</v>
      </c>
    </row>
    <row r="70" spans="1:8" x14ac:dyDescent="0.35">
      <c r="A70" s="5">
        <v>3402.5</v>
      </c>
      <c r="B70" s="6">
        <v>759442.34</v>
      </c>
      <c r="C70" s="6">
        <v>2654442.34</v>
      </c>
      <c r="D70" s="6">
        <v>26559.8700001</v>
      </c>
      <c r="E70" s="2">
        <v>66</v>
      </c>
      <c r="G70" s="7">
        <f t="shared" ref="G70:G133" si="2">C70</f>
        <v>2654442.34</v>
      </c>
      <c r="H70" s="8">
        <f t="shared" ref="H70:H133" si="3">A70</f>
        <v>3402.5</v>
      </c>
    </row>
    <row r="71" spans="1:8" x14ac:dyDescent="0.35">
      <c r="A71" s="5">
        <v>3403</v>
      </c>
      <c r="B71" s="6">
        <v>772747.17</v>
      </c>
      <c r="C71" s="6">
        <v>2667747.17</v>
      </c>
      <c r="D71" s="6">
        <v>26659.45</v>
      </c>
      <c r="E71" s="2">
        <v>67</v>
      </c>
      <c r="G71" s="7">
        <f t="shared" si="2"/>
        <v>2667747.17</v>
      </c>
      <c r="H71" s="8">
        <f t="shared" si="3"/>
        <v>3403</v>
      </c>
    </row>
    <row r="72" spans="1:8" x14ac:dyDescent="0.35">
      <c r="A72" s="5">
        <v>3403.5</v>
      </c>
      <c r="B72" s="6">
        <v>786101.79</v>
      </c>
      <c r="C72" s="6">
        <v>2681101.79</v>
      </c>
      <c r="D72" s="6">
        <v>26759.02</v>
      </c>
      <c r="E72" s="2">
        <v>68</v>
      </c>
      <c r="G72" s="7">
        <f t="shared" si="2"/>
        <v>2681101.79</v>
      </c>
      <c r="H72" s="8">
        <f t="shared" si="3"/>
        <v>3403.5</v>
      </c>
    </row>
    <row r="73" spans="1:8" x14ac:dyDescent="0.35">
      <c r="A73" s="5">
        <v>3404</v>
      </c>
      <c r="B73" s="6">
        <v>799506.2</v>
      </c>
      <c r="C73" s="6">
        <v>2694506.2</v>
      </c>
      <c r="D73" s="6">
        <v>26858.600000099999</v>
      </c>
      <c r="E73" s="2">
        <v>69</v>
      </c>
      <c r="G73" s="7">
        <f t="shared" si="2"/>
        <v>2694506.2</v>
      </c>
      <c r="H73" s="8">
        <f t="shared" si="3"/>
        <v>3404</v>
      </c>
    </row>
    <row r="74" spans="1:8" x14ac:dyDescent="0.35">
      <c r="A74" s="5">
        <v>3404.5</v>
      </c>
      <c r="B74" s="6">
        <v>812960.39</v>
      </c>
      <c r="C74" s="6">
        <v>2707960.39</v>
      </c>
      <c r="D74" s="6">
        <v>26958.170000099999</v>
      </c>
      <c r="E74" s="2">
        <v>70</v>
      </c>
      <c r="G74" s="7">
        <f t="shared" si="2"/>
        <v>2707960.39</v>
      </c>
      <c r="H74" s="8">
        <f t="shared" si="3"/>
        <v>3404.5</v>
      </c>
    </row>
    <row r="75" spans="1:8" x14ac:dyDescent="0.35">
      <c r="A75" s="5">
        <v>3405</v>
      </c>
      <c r="B75" s="6">
        <v>826464.37000400003</v>
      </c>
      <c r="C75" s="6">
        <v>2721464.3700040001</v>
      </c>
      <c r="D75" s="6">
        <v>27057.75</v>
      </c>
      <c r="E75" s="2">
        <v>71</v>
      </c>
      <c r="G75" s="7">
        <f t="shared" si="2"/>
        <v>2721464.3700040001</v>
      </c>
      <c r="H75" s="8">
        <f t="shared" si="3"/>
        <v>3405</v>
      </c>
    </row>
    <row r="76" spans="1:8" x14ac:dyDescent="0.35">
      <c r="A76" s="5">
        <v>3405.5</v>
      </c>
      <c r="B76" s="6">
        <v>840018.14</v>
      </c>
      <c r="C76" s="6">
        <v>2735018.14</v>
      </c>
      <c r="D76" s="6">
        <v>27157.32</v>
      </c>
      <c r="E76" s="2">
        <v>72</v>
      </c>
      <c r="G76" s="7">
        <f t="shared" si="2"/>
        <v>2735018.14</v>
      </c>
      <c r="H76" s="8">
        <f t="shared" si="3"/>
        <v>3405.5</v>
      </c>
    </row>
    <row r="77" spans="1:8" x14ac:dyDescent="0.35">
      <c r="A77" s="5">
        <v>3406</v>
      </c>
      <c r="B77" s="6">
        <v>853621.70000299998</v>
      </c>
      <c r="C77" s="6">
        <v>2748621.700003</v>
      </c>
      <c r="D77" s="6">
        <v>27256.900000099999</v>
      </c>
      <c r="E77" s="2">
        <v>73</v>
      </c>
      <c r="G77" s="7">
        <f t="shared" si="2"/>
        <v>2748621.700003</v>
      </c>
      <c r="H77" s="8">
        <f t="shared" si="3"/>
        <v>3406</v>
      </c>
    </row>
    <row r="78" spans="1:8" x14ac:dyDescent="0.35">
      <c r="A78" s="5">
        <v>3406.5</v>
      </c>
      <c r="B78" s="6">
        <v>867275.04000100004</v>
      </c>
      <c r="C78" s="6">
        <v>2762275.0400010003</v>
      </c>
      <c r="D78" s="6">
        <v>27356.470000099998</v>
      </c>
      <c r="E78" s="2">
        <v>74</v>
      </c>
      <c r="G78" s="7">
        <f t="shared" si="2"/>
        <v>2762275.0400010003</v>
      </c>
      <c r="H78" s="8">
        <f t="shared" si="3"/>
        <v>3406.5</v>
      </c>
    </row>
    <row r="79" spans="1:8" x14ac:dyDescent="0.35">
      <c r="A79" s="5">
        <v>3407</v>
      </c>
      <c r="B79" s="6">
        <v>880978.16999900003</v>
      </c>
      <c r="C79" s="6">
        <v>2775978.1699990002</v>
      </c>
      <c r="D79" s="6">
        <v>27456.049999899999</v>
      </c>
      <c r="E79" s="2">
        <v>75</v>
      </c>
      <c r="G79" s="7">
        <f t="shared" si="2"/>
        <v>2775978.1699990002</v>
      </c>
      <c r="H79" s="8">
        <f t="shared" si="3"/>
        <v>3407</v>
      </c>
    </row>
    <row r="80" spans="1:8" x14ac:dyDescent="0.35">
      <c r="A80" s="5">
        <v>3407.5</v>
      </c>
      <c r="B80" s="6">
        <v>894731.08999699994</v>
      </c>
      <c r="C80" s="6">
        <v>2789731.0899970001</v>
      </c>
      <c r="D80" s="6">
        <v>27555.619999899998</v>
      </c>
      <c r="E80" s="2">
        <v>76</v>
      </c>
      <c r="G80" s="7">
        <f t="shared" si="2"/>
        <v>2789731.0899970001</v>
      </c>
      <c r="H80" s="8">
        <f t="shared" si="3"/>
        <v>3407.5</v>
      </c>
    </row>
    <row r="81" spans="1:8" x14ac:dyDescent="0.35">
      <c r="A81" s="5">
        <v>3408</v>
      </c>
      <c r="B81" s="6">
        <v>908533.80000199995</v>
      </c>
      <c r="C81" s="6">
        <v>2803533.8000019998</v>
      </c>
      <c r="D81" s="6">
        <v>27655.200000100001</v>
      </c>
      <c r="E81" s="2">
        <v>77</v>
      </c>
      <c r="G81" s="7">
        <f t="shared" si="2"/>
        <v>2803533.8000019998</v>
      </c>
      <c r="H81" s="8">
        <f t="shared" si="3"/>
        <v>3408</v>
      </c>
    </row>
    <row r="82" spans="1:8" x14ac:dyDescent="0.35">
      <c r="A82" s="5">
        <v>3408.5</v>
      </c>
      <c r="B82" s="6">
        <v>922386.29000200005</v>
      </c>
      <c r="C82" s="6">
        <v>2817386.2900020001</v>
      </c>
      <c r="D82" s="6">
        <v>27754.770000100001</v>
      </c>
      <c r="E82" s="2">
        <v>78</v>
      </c>
      <c r="G82" s="7">
        <f t="shared" si="2"/>
        <v>2817386.2900020001</v>
      </c>
      <c r="H82" s="8">
        <f t="shared" si="3"/>
        <v>3408.5</v>
      </c>
    </row>
    <row r="83" spans="1:8" x14ac:dyDescent="0.35">
      <c r="A83" s="5">
        <v>3409</v>
      </c>
      <c r="B83" s="6">
        <v>936288.57000099996</v>
      </c>
      <c r="C83" s="6">
        <v>2831288.5700010001</v>
      </c>
      <c r="D83" s="6">
        <v>27854.349999900001</v>
      </c>
      <c r="E83" s="2">
        <v>79</v>
      </c>
      <c r="G83" s="7">
        <f t="shared" si="2"/>
        <v>2831288.5700010001</v>
      </c>
      <c r="H83" s="8">
        <f t="shared" si="3"/>
        <v>3409</v>
      </c>
    </row>
    <row r="84" spans="1:8" x14ac:dyDescent="0.35">
      <c r="A84" s="5">
        <v>3409.5</v>
      </c>
      <c r="B84" s="6">
        <v>950240.64</v>
      </c>
      <c r="C84" s="6">
        <v>2845240.64</v>
      </c>
      <c r="D84" s="6">
        <v>27953.919999900001</v>
      </c>
      <c r="E84" s="2">
        <v>80</v>
      </c>
      <c r="G84" s="7">
        <f t="shared" si="2"/>
        <v>2845240.64</v>
      </c>
      <c r="H84" s="8">
        <f t="shared" si="3"/>
        <v>3409.5</v>
      </c>
    </row>
    <row r="85" spans="1:8" x14ac:dyDescent="0.35">
      <c r="A85" s="5">
        <v>3410</v>
      </c>
      <c r="B85" s="6">
        <v>964242.49999899999</v>
      </c>
      <c r="C85" s="6">
        <v>2859242.4999989998</v>
      </c>
      <c r="D85" s="6">
        <v>28053.5</v>
      </c>
      <c r="E85" s="2">
        <v>81</v>
      </c>
      <c r="G85" s="7">
        <f t="shared" si="2"/>
        <v>2859242.4999989998</v>
      </c>
      <c r="H85" s="8">
        <f t="shared" si="3"/>
        <v>3410</v>
      </c>
    </row>
    <row r="86" spans="1:8" x14ac:dyDescent="0.35">
      <c r="A86" s="5">
        <v>3410.5</v>
      </c>
      <c r="B86" s="6">
        <v>978294.14000100002</v>
      </c>
      <c r="C86" s="6">
        <v>2873294.1400009999</v>
      </c>
      <c r="D86" s="6">
        <v>28153.0700001</v>
      </c>
      <c r="E86" s="2">
        <v>82</v>
      </c>
      <c r="G86" s="7">
        <f t="shared" si="2"/>
        <v>2873294.1400009999</v>
      </c>
      <c r="H86" s="8">
        <f t="shared" si="3"/>
        <v>3410.5</v>
      </c>
    </row>
    <row r="87" spans="1:8" x14ac:dyDescent="0.35">
      <c r="A87" s="5">
        <v>3411</v>
      </c>
      <c r="B87" s="6">
        <v>992395.57000199996</v>
      </c>
      <c r="C87" s="6">
        <v>2887395.5700019998</v>
      </c>
      <c r="D87" s="6">
        <v>28252.649999900001</v>
      </c>
      <c r="E87" s="2">
        <v>83</v>
      </c>
      <c r="G87" s="7">
        <f t="shared" si="2"/>
        <v>2887395.5700019998</v>
      </c>
      <c r="H87" s="8">
        <f t="shared" si="3"/>
        <v>3411</v>
      </c>
    </row>
    <row r="88" spans="1:8" x14ac:dyDescent="0.35">
      <c r="A88" s="5">
        <v>3411.5</v>
      </c>
      <c r="B88" s="6">
        <v>1006546.79</v>
      </c>
      <c r="C88" s="6">
        <v>2901546.79</v>
      </c>
      <c r="D88" s="6">
        <v>28352.2199999</v>
      </c>
      <c r="E88" s="2">
        <v>84</v>
      </c>
      <c r="G88" s="7">
        <f t="shared" si="2"/>
        <v>2901546.79</v>
      </c>
      <c r="H88" s="8">
        <f t="shared" si="3"/>
        <v>3411.5</v>
      </c>
    </row>
    <row r="89" spans="1:8" x14ac:dyDescent="0.35">
      <c r="A89" s="5">
        <v>3412</v>
      </c>
      <c r="B89" s="6">
        <v>1020747.8</v>
      </c>
      <c r="C89" s="6">
        <v>2915747.8</v>
      </c>
      <c r="D89" s="6">
        <v>28451.8</v>
      </c>
      <c r="E89" s="2">
        <v>85</v>
      </c>
      <c r="G89" s="7">
        <f t="shared" si="2"/>
        <v>2915747.8</v>
      </c>
      <c r="H89" s="8">
        <f t="shared" si="3"/>
        <v>3412</v>
      </c>
    </row>
    <row r="90" spans="1:8" x14ac:dyDescent="0.35">
      <c r="A90" s="5">
        <v>3412.5</v>
      </c>
      <c r="B90" s="6">
        <v>1034998.59</v>
      </c>
      <c r="C90" s="6">
        <v>2929998.59</v>
      </c>
      <c r="D90" s="6">
        <v>28551.37</v>
      </c>
      <c r="E90" s="2">
        <v>86</v>
      </c>
      <c r="G90" s="7">
        <f t="shared" si="2"/>
        <v>2929998.59</v>
      </c>
      <c r="H90" s="8">
        <f t="shared" si="3"/>
        <v>3412.5</v>
      </c>
    </row>
    <row r="91" spans="1:8" x14ac:dyDescent="0.35">
      <c r="A91" s="5">
        <v>3413</v>
      </c>
      <c r="B91" s="6">
        <v>1049299.17</v>
      </c>
      <c r="C91" s="6">
        <v>2944299.17</v>
      </c>
      <c r="D91" s="6">
        <v>28650.9499999</v>
      </c>
      <c r="E91" s="2">
        <v>87</v>
      </c>
      <c r="G91" s="7">
        <f t="shared" si="2"/>
        <v>2944299.17</v>
      </c>
      <c r="H91" s="8">
        <f t="shared" si="3"/>
        <v>3413</v>
      </c>
    </row>
    <row r="92" spans="1:8" x14ac:dyDescent="0.35">
      <c r="A92" s="5">
        <v>3413.5</v>
      </c>
      <c r="B92" s="6">
        <v>1063649.54</v>
      </c>
      <c r="C92" s="6">
        <v>2958649.54</v>
      </c>
      <c r="D92" s="6">
        <v>28750.5199999</v>
      </c>
      <c r="E92" s="2">
        <v>88</v>
      </c>
      <c r="G92" s="7">
        <f t="shared" si="2"/>
        <v>2958649.54</v>
      </c>
      <c r="H92" s="8">
        <f t="shared" si="3"/>
        <v>3413.5</v>
      </c>
    </row>
    <row r="93" spans="1:8" x14ac:dyDescent="0.35">
      <c r="A93" s="5">
        <v>3414</v>
      </c>
      <c r="B93" s="6">
        <v>1078049.7</v>
      </c>
      <c r="C93" s="6">
        <v>2973049.7</v>
      </c>
      <c r="D93" s="6">
        <v>28850.1</v>
      </c>
      <c r="E93" s="2">
        <v>89</v>
      </c>
      <c r="G93" s="7">
        <f t="shared" si="2"/>
        <v>2973049.7</v>
      </c>
      <c r="H93" s="8">
        <f t="shared" si="3"/>
        <v>3414</v>
      </c>
    </row>
    <row r="94" spans="1:8" x14ac:dyDescent="0.35">
      <c r="A94" s="5">
        <v>3414.5</v>
      </c>
      <c r="B94" s="6">
        <v>1092499.6399999999</v>
      </c>
      <c r="C94" s="6">
        <v>2987499.6399999997</v>
      </c>
      <c r="D94" s="6">
        <v>28949.67</v>
      </c>
      <c r="E94" s="2">
        <v>90</v>
      </c>
      <c r="G94" s="7">
        <f t="shared" si="2"/>
        <v>2987499.6399999997</v>
      </c>
      <c r="H94" s="8">
        <f t="shared" si="3"/>
        <v>3414.5</v>
      </c>
    </row>
    <row r="95" spans="1:8" x14ac:dyDescent="0.35">
      <c r="A95" s="5">
        <v>3415</v>
      </c>
      <c r="B95" s="6">
        <v>1106999.3700000001</v>
      </c>
      <c r="C95" s="6">
        <v>3001999.37</v>
      </c>
      <c r="D95" s="6">
        <v>29049.249999899999</v>
      </c>
      <c r="E95" s="2">
        <v>91</v>
      </c>
      <c r="G95" s="7">
        <f t="shared" si="2"/>
        <v>3001999.37</v>
      </c>
      <c r="H95" s="8">
        <f t="shared" si="3"/>
        <v>3415</v>
      </c>
    </row>
    <row r="96" spans="1:8" x14ac:dyDescent="0.35">
      <c r="A96" s="5">
        <v>3415.5</v>
      </c>
      <c r="B96" s="6">
        <v>1121548.8899999999</v>
      </c>
      <c r="C96" s="6">
        <v>3016548.8899999997</v>
      </c>
      <c r="D96" s="6">
        <v>29148.819999899999</v>
      </c>
      <c r="E96" s="2">
        <v>92</v>
      </c>
      <c r="G96" s="7">
        <f t="shared" si="2"/>
        <v>3016548.8899999997</v>
      </c>
      <c r="H96" s="8">
        <f t="shared" si="3"/>
        <v>3415.5</v>
      </c>
    </row>
    <row r="97" spans="1:8" x14ac:dyDescent="0.35">
      <c r="A97" s="5">
        <v>3416</v>
      </c>
      <c r="B97" s="6">
        <v>1136148.2</v>
      </c>
      <c r="C97" s="6">
        <v>3031148.2</v>
      </c>
      <c r="D97" s="6">
        <v>29248.400000000001</v>
      </c>
      <c r="E97" s="2">
        <v>93</v>
      </c>
      <c r="G97" s="7">
        <f t="shared" si="2"/>
        <v>3031148.2</v>
      </c>
      <c r="H97" s="8">
        <f t="shared" si="3"/>
        <v>3416</v>
      </c>
    </row>
    <row r="98" spans="1:8" x14ac:dyDescent="0.35">
      <c r="A98" s="5">
        <v>3416.5</v>
      </c>
      <c r="B98" s="6">
        <v>1150797.29</v>
      </c>
      <c r="C98" s="6">
        <v>3045797.29</v>
      </c>
      <c r="D98" s="6">
        <v>29347.97</v>
      </c>
      <c r="E98" s="2">
        <v>94</v>
      </c>
      <c r="G98" s="7">
        <f t="shared" si="2"/>
        <v>3045797.29</v>
      </c>
      <c r="H98" s="8">
        <f t="shared" si="3"/>
        <v>3416.5</v>
      </c>
    </row>
    <row r="99" spans="1:8" x14ac:dyDescent="0.35">
      <c r="A99" s="5">
        <v>3417</v>
      </c>
      <c r="B99" s="6">
        <v>1165496.17</v>
      </c>
      <c r="C99" s="6">
        <v>3060496.17</v>
      </c>
      <c r="D99" s="6">
        <v>29447.549999899999</v>
      </c>
      <c r="E99" s="2">
        <v>95</v>
      </c>
      <c r="G99" s="7">
        <f t="shared" si="2"/>
        <v>3060496.17</v>
      </c>
      <c r="H99" s="8">
        <f t="shared" si="3"/>
        <v>3417</v>
      </c>
    </row>
    <row r="100" spans="1:8" x14ac:dyDescent="0.35">
      <c r="A100" s="5">
        <v>3417.5</v>
      </c>
      <c r="B100" s="6">
        <v>1180244.8400000001</v>
      </c>
      <c r="C100" s="6">
        <v>3075244.84</v>
      </c>
      <c r="D100" s="6">
        <v>29547.119999899998</v>
      </c>
      <c r="E100" s="2">
        <v>96</v>
      </c>
      <c r="G100" s="7">
        <f t="shared" si="2"/>
        <v>3075244.84</v>
      </c>
      <c r="H100" s="8">
        <f t="shared" si="3"/>
        <v>3417.5</v>
      </c>
    </row>
    <row r="101" spans="1:8" x14ac:dyDescent="0.35">
      <c r="A101" s="5">
        <v>3418</v>
      </c>
      <c r="B101" s="6">
        <v>1195043.3</v>
      </c>
      <c r="C101" s="6">
        <v>3090043.3</v>
      </c>
      <c r="D101" s="6">
        <v>29646.7</v>
      </c>
      <c r="E101" s="2">
        <v>97</v>
      </c>
      <c r="G101" s="7">
        <f t="shared" si="2"/>
        <v>3090043.3</v>
      </c>
      <c r="H101" s="8">
        <f t="shared" si="3"/>
        <v>3418</v>
      </c>
    </row>
    <row r="102" spans="1:8" x14ac:dyDescent="0.35">
      <c r="A102" s="5">
        <v>3418.5</v>
      </c>
      <c r="B102" s="6">
        <v>1209891.54</v>
      </c>
      <c r="C102" s="6">
        <v>3104891.54</v>
      </c>
      <c r="D102" s="6">
        <v>29746.27</v>
      </c>
      <c r="E102" s="2">
        <v>98</v>
      </c>
      <c r="G102" s="7">
        <f t="shared" si="2"/>
        <v>3104891.54</v>
      </c>
      <c r="H102" s="8">
        <f t="shared" si="3"/>
        <v>3418.5</v>
      </c>
    </row>
    <row r="103" spans="1:8" x14ac:dyDescent="0.35">
      <c r="A103" s="5">
        <v>3419</v>
      </c>
      <c r="B103" s="6">
        <v>1224789.57</v>
      </c>
      <c r="C103" s="6">
        <v>3119789.5700000003</v>
      </c>
      <c r="D103" s="6">
        <v>29845.849999900001</v>
      </c>
      <c r="E103" s="2">
        <v>99</v>
      </c>
      <c r="G103" s="7">
        <f t="shared" si="2"/>
        <v>3119789.5700000003</v>
      </c>
      <c r="H103" s="8">
        <f t="shared" si="3"/>
        <v>3419</v>
      </c>
    </row>
    <row r="104" spans="1:8" x14ac:dyDescent="0.35">
      <c r="A104" s="5">
        <v>3419.5</v>
      </c>
      <c r="B104" s="6">
        <v>1239737.3899999999</v>
      </c>
      <c r="C104" s="6">
        <v>3134737.3899999997</v>
      </c>
      <c r="D104" s="6">
        <v>29945.419999900001</v>
      </c>
      <c r="E104" s="2">
        <v>100</v>
      </c>
      <c r="G104" s="7">
        <f t="shared" si="2"/>
        <v>3134737.3899999997</v>
      </c>
      <c r="H104" s="8">
        <f t="shared" si="3"/>
        <v>3419.5</v>
      </c>
    </row>
    <row r="105" spans="1:8" x14ac:dyDescent="0.35">
      <c r="A105" s="5">
        <v>3420</v>
      </c>
      <c r="B105" s="6">
        <v>1254735</v>
      </c>
      <c r="C105" s="6">
        <v>3149735</v>
      </c>
      <c r="D105" s="6">
        <v>30045</v>
      </c>
      <c r="E105" s="2">
        <v>101</v>
      </c>
      <c r="G105" s="7">
        <f t="shared" si="2"/>
        <v>3149735</v>
      </c>
      <c r="H105" s="8">
        <f t="shared" si="3"/>
        <v>3420</v>
      </c>
    </row>
    <row r="106" spans="1:8" x14ac:dyDescent="0.35">
      <c r="A106" s="5">
        <v>3420.5</v>
      </c>
      <c r="B106" s="6">
        <v>1269786.5900000001</v>
      </c>
      <c r="C106" s="6">
        <v>3164786.59</v>
      </c>
      <c r="D106" s="6">
        <v>30161.350000099999</v>
      </c>
      <c r="E106" s="2">
        <v>102</v>
      </c>
      <c r="G106" s="7">
        <f t="shared" si="2"/>
        <v>3164786.59</v>
      </c>
      <c r="H106" s="8">
        <f t="shared" si="3"/>
        <v>3420.5</v>
      </c>
    </row>
    <row r="107" spans="1:8" x14ac:dyDescent="0.35">
      <c r="A107" s="5">
        <v>3421</v>
      </c>
      <c r="B107" s="6">
        <v>1284896.3500000001</v>
      </c>
      <c r="C107" s="6">
        <v>3179896.35</v>
      </c>
      <c r="D107" s="6">
        <v>30277.700000100001</v>
      </c>
      <c r="E107" s="2">
        <v>103</v>
      </c>
      <c r="G107" s="7">
        <f t="shared" si="2"/>
        <v>3179896.35</v>
      </c>
      <c r="H107" s="8">
        <f t="shared" si="3"/>
        <v>3421</v>
      </c>
    </row>
    <row r="108" spans="1:8" x14ac:dyDescent="0.35">
      <c r="A108" s="5">
        <v>3421.5</v>
      </c>
      <c r="B108" s="6">
        <v>1300064.29</v>
      </c>
      <c r="C108" s="6">
        <v>3195064.29</v>
      </c>
      <c r="D108" s="6">
        <v>30394.049999899999</v>
      </c>
      <c r="E108" s="2">
        <v>104</v>
      </c>
      <c r="G108" s="7">
        <f t="shared" si="2"/>
        <v>3195064.29</v>
      </c>
      <c r="H108" s="8">
        <f t="shared" si="3"/>
        <v>3421.5</v>
      </c>
    </row>
    <row r="109" spans="1:8" x14ac:dyDescent="0.35">
      <c r="A109" s="5">
        <v>3422</v>
      </c>
      <c r="B109" s="6">
        <v>1315290.3999999999</v>
      </c>
      <c r="C109" s="6">
        <v>3210290.4</v>
      </c>
      <c r="D109" s="6">
        <v>30510.400000000001</v>
      </c>
      <c r="E109" s="2">
        <v>105</v>
      </c>
      <c r="G109" s="7">
        <f t="shared" si="2"/>
        <v>3210290.4</v>
      </c>
      <c r="H109" s="8">
        <f t="shared" si="3"/>
        <v>3422</v>
      </c>
    </row>
    <row r="110" spans="1:8" x14ac:dyDescent="0.35">
      <c r="A110" s="5">
        <v>3422.5</v>
      </c>
      <c r="B110" s="6">
        <v>1330574.69</v>
      </c>
      <c r="C110" s="6">
        <v>3225574.69</v>
      </c>
      <c r="D110" s="6">
        <v>30626.750000100001</v>
      </c>
      <c r="E110" s="2">
        <v>106</v>
      </c>
      <c r="G110" s="7">
        <f t="shared" si="2"/>
        <v>3225574.69</v>
      </c>
      <c r="H110" s="8">
        <f t="shared" si="3"/>
        <v>3422.5</v>
      </c>
    </row>
    <row r="111" spans="1:8" x14ac:dyDescent="0.35">
      <c r="A111" s="5">
        <v>3423</v>
      </c>
      <c r="B111" s="6">
        <v>1345917.15</v>
      </c>
      <c r="C111" s="6">
        <v>3240917.15</v>
      </c>
      <c r="D111" s="6">
        <v>30743.099999900001</v>
      </c>
      <c r="E111" s="2">
        <v>107</v>
      </c>
      <c r="G111" s="7">
        <f t="shared" si="2"/>
        <v>3240917.15</v>
      </c>
      <c r="H111" s="8">
        <f t="shared" si="3"/>
        <v>3423</v>
      </c>
    </row>
    <row r="112" spans="1:8" x14ac:dyDescent="0.35">
      <c r="A112" s="5">
        <v>3423.5</v>
      </c>
      <c r="B112" s="6">
        <v>1361317.79</v>
      </c>
      <c r="C112" s="6">
        <v>3256317.79</v>
      </c>
      <c r="D112" s="6">
        <v>30859.4499999</v>
      </c>
      <c r="E112" s="2">
        <v>108</v>
      </c>
      <c r="G112" s="7">
        <f t="shared" si="2"/>
        <v>3256317.79</v>
      </c>
      <c r="H112" s="8">
        <f t="shared" si="3"/>
        <v>3423.5</v>
      </c>
    </row>
    <row r="113" spans="1:8" x14ac:dyDescent="0.35">
      <c r="A113" s="5">
        <v>3424</v>
      </c>
      <c r="B113" s="6">
        <v>1376776.6</v>
      </c>
      <c r="C113" s="6">
        <v>3271776.6</v>
      </c>
      <c r="D113" s="6">
        <v>30975.8</v>
      </c>
      <c r="E113" s="2">
        <v>109</v>
      </c>
      <c r="G113" s="7">
        <f t="shared" si="2"/>
        <v>3271776.6</v>
      </c>
      <c r="H113" s="8">
        <f t="shared" si="3"/>
        <v>3424</v>
      </c>
    </row>
    <row r="114" spans="1:8" x14ac:dyDescent="0.35">
      <c r="A114" s="5">
        <v>3424.5</v>
      </c>
      <c r="B114" s="6">
        <v>1392293.59</v>
      </c>
      <c r="C114" s="6">
        <v>3287293.59</v>
      </c>
      <c r="D114" s="6">
        <v>31092.150000099999</v>
      </c>
      <c r="E114" s="2">
        <v>110</v>
      </c>
      <c r="G114" s="7">
        <f t="shared" si="2"/>
        <v>3287293.59</v>
      </c>
      <c r="H114" s="8">
        <f t="shared" si="3"/>
        <v>3424.5</v>
      </c>
    </row>
    <row r="115" spans="1:8" x14ac:dyDescent="0.35">
      <c r="A115" s="5">
        <v>3425</v>
      </c>
      <c r="B115" s="6">
        <v>1407868.75</v>
      </c>
      <c r="C115" s="6">
        <v>3302868.75</v>
      </c>
      <c r="D115" s="6">
        <v>31208.499999899999</v>
      </c>
      <c r="E115" s="2">
        <v>111</v>
      </c>
      <c r="G115" s="7">
        <f t="shared" si="2"/>
        <v>3302868.75</v>
      </c>
      <c r="H115" s="8">
        <f t="shared" si="3"/>
        <v>3425</v>
      </c>
    </row>
    <row r="116" spans="1:8" x14ac:dyDescent="0.35">
      <c r="A116" s="5">
        <v>3425.5</v>
      </c>
      <c r="B116" s="6">
        <v>1423502.09</v>
      </c>
      <c r="C116" s="6">
        <v>3318502.09</v>
      </c>
      <c r="D116" s="6">
        <v>31324.849999900001</v>
      </c>
      <c r="E116" s="2">
        <v>112</v>
      </c>
      <c r="G116" s="7">
        <f t="shared" si="2"/>
        <v>3318502.09</v>
      </c>
      <c r="H116" s="8">
        <f t="shared" si="3"/>
        <v>3425.5</v>
      </c>
    </row>
    <row r="117" spans="1:8" x14ac:dyDescent="0.35">
      <c r="A117" s="5">
        <v>3426</v>
      </c>
      <c r="B117" s="6">
        <v>1439193.6</v>
      </c>
      <c r="C117" s="6">
        <v>3334193.6</v>
      </c>
      <c r="D117" s="6">
        <v>31441.200000000001</v>
      </c>
      <c r="E117" s="2">
        <v>113</v>
      </c>
      <c r="G117" s="7">
        <f t="shared" si="2"/>
        <v>3334193.6</v>
      </c>
      <c r="H117" s="8">
        <f t="shared" si="3"/>
        <v>3426</v>
      </c>
    </row>
    <row r="118" spans="1:8" x14ac:dyDescent="0.35">
      <c r="A118" s="5">
        <v>3426.5</v>
      </c>
      <c r="B118" s="6">
        <v>1454943.29</v>
      </c>
      <c r="C118" s="6">
        <v>3349943.29</v>
      </c>
      <c r="D118" s="6">
        <v>31557.5500001</v>
      </c>
      <c r="E118" s="2">
        <v>114</v>
      </c>
      <c r="G118" s="7">
        <f t="shared" si="2"/>
        <v>3349943.29</v>
      </c>
      <c r="H118" s="8">
        <f t="shared" si="3"/>
        <v>3426.5</v>
      </c>
    </row>
    <row r="119" spans="1:8" x14ac:dyDescent="0.35">
      <c r="A119" s="5">
        <v>3427</v>
      </c>
      <c r="B119" s="6">
        <v>1470751.15</v>
      </c>
      <c r="C119" s="6">
        <v>3365751.15</v>
      </c>
      <c r="D119" s="6">
        <v>31673.899999900001</v>
      </c>
      <c r="E119" s="2">
        <v>115</v>
      </c>
      <c r="G119" s="7">
        <f t="shared" si="2"/>
        <v>3365751.15</v>
      </c>
      <c r="H119" s="8">
        <f t="shared" si="3"/>
        <v>3427</v>
      </c>
    </row>
    <row r="120" spans="1:8" x14ac:dyDescent="0.35">
      <c r="A120" s="5">
        <v>3427.5</v>
      </c>
      <c r="B120" s="6">
        <v>1486617.19</v>
      </c>
      <c r="C120" s="6">
        <v>3381617.19</v>
      </c>
      <c r="D120" s="6">
        <v>31790.25</v>
      </c>
      <c r="E120" s="2">
        <v>116</v>
      </c>
      <c r="G120" s="7">
        <f t="shared" si="2"/>
        <v>3381617.19</v>
      </c>
      <c r="H120" s="8">
        <f t="shared" si="3"/>
        <v>3427.5</v>
      </c>
    </row>
    <row r="121" spans="1:8" x14ac:dyDescent="0.35">
      <c r="A121" s="5">
        <v>3428</v>
      </c>
      <c r="B121" s="6">
        <v>1502541.4</v>
      </c>
      <c r="C121" s="6">
        <v>3397541.4</v>
      </c>
      <c r="D121" s="6">
        <v>31906.6</v>
      </c>
      <c r="E121" s="2">
        <v>117</v>
      </c>
      <c r="G121" s="7">
        <f t="shared" si="2"/>
        <v>3397541.4</v>
      </c>
      <c r="H121" s="8">
        <f t="shared" si="3"/>
        <v>3428</v>
      </c>
    </row>
    <row r="122" spans="1:8" x14ac:dyDescent="0.35">
      <c r="A122" s="5">
        <v>3428.5</v>
      </c>
      <c r="B122" s="6">
        <v>1518523.79</v>
      </c>
      <c r="C122" s="6">
        <v>3413523.79</v>
      </c>
      <c r="D122" s="6">
        <v>32022.950000100001</v>
      </c>
      <c r="E122" s="2">
        <v>118</v>
      </c>
      <c r="G122" s="7">
        <f t="shared" si="2"/>
        <v>3413523.79</v>
      </c>
      <c r="H122" s="8">
        <f t="shared" si="3"/>
        <v>3428.5</v>
      </c>
    </row>
    <row r="123" spans="1:8" x14ac:dyDescent="0.35">
      <c r="A123" s="5">
        <v>3429</v>
      </c>
      <c r="B123" s="6">
        <v>1534564.35</v>
      </c>
      <c r="C123" s="6">
        <v>3429564.35</v>
      </c>
      <c r="D123" s="6">
        <v>32139.299999899999</v>
      </c>
      <c r="E123" s="2">
        <v>119</v>
      </c>
      <c r="G123" s="7">
        <f t="shared" si="2"/>
        <v>3429564.35</v>
      </c>
      <c r="H123" s="8">
        <f t="shared" si="3"/>
        <v>3429</v>
      </c>
    </row>
    <row r="124" spans="1:8" x14ac:dyDescent="0.35">
      <c r="A124" s="5">
        <v>3429.5</v>
      </c>
      <c r="B124" s="6">
        <v>1550663.09</v>
      </c>
      <c r="C124" s="6">
        <v>3445663.09</v>
      </c>
      <c r="D124" s="6">
        <v>32255.65</v>
      </c>
      <c r="E124" s="2">
        <v>120</v>
      </c>
      <c r="G124" s="7">
        <f t="shared" si="2"/>
        <v>3445663.09</v>
      </c>
      <c r="H124" s="8">
        <f t="shared" si="3"/>
        <v>3429.5</v>
      </c>
    </row>
    <row r="125" spans="1:8" x14ac:dyDescent="0.35">
      <c r="A125" s="5">
        <v>3430</v>
      </c>
      <c r="B125" s="6">
        <v>1566820</v>
      </c>
      <c r="C125" s="6">
        <v>3461820</v>
      </c>
      <c r="D125" s="6">
        <v>32372</v>
      </c>
      <c r="E125" s="2">
        <v>121</v>
      </c>
      <c r="G125" s="7">
        <f t="shared" si="2"/>
        <v>3461820</v>
      </c>
      <c r="H125" s="8">
        <f t="shared" si="3"/>
        <v>3430</v>
      </c>
    </row>
    <row r="126" spans="1:8" x14ac:dyDescent="0.35">
      <c r="A126" s="5">
        <v>3430.5</v>
      </c>
      <c r="B126" s="6">
        <v>1583035.09</v>
      </c>
      <c r="C126" s="6">
        <v>3478035.09</v>
      </c>
      <c r="D126" s="6">
        <v>32488.350000099999</v>
      </c>
      <c r="E126" s="2">
        <v>122</v>
      </c>
      <c r="G126" s="7">
        <f t="shared" si="2"/>
        <v>3478035.09</v>
      </c>
      <c r="H126" s="8">
        <f t="shared" si="3"/>
        <v>3430.5</v>
      </c>
    </row>
    <row r="127" spans="1:8" x14ac:dyDescent="0.35">
      <c r="A127" s="5">
        <v>3431</v>
      </c>
      <c r="B127" s="6">
        <v>1599308.35</v>
      </c>
      <c r="C127" s="6">
        <v>3494308.35</v>
      </c>
      <c r="D127" s="6">
        <v>32604.6999999</v>
      </c>
      <c r="E127" s="2">
        <v>123</v>
      </c>
      <c r="G127" s="7">
        <f t="shared" si="2"/>
        <v>3494308.35</v>
      </c>
      <c r="H127" s="8">
        <f t="shared" si="3"/>
        <v>3431</v>
      </c>
    </row>
    <row r="128" spans="1:8" x14ac:dyDescent="0.35">
      <c r="A128" s="5">
        <v>3431.5</v>
      </c>
      <c r="B128" s="6">
        <v>1615639.79</v>
      </c>
      <c r="C128" s="6">
        <v>3510639.79</v>
      </c>
      <c r="D128" s="6">
        <v>32721.05</v>
      </c>
      <c r="E128" s="2">
        <v>124</v>
      </c>
      <c r="G128" s="7">
        <f t="shared" si="2"/>
        <v>3510639.79</v>
      </c>
      <c r="H128" s="8">
        <f t="shared" si="3"/>
        <v>3431.5</v>
      </c>
    </row>
    <row r="129" spans="1:8" x14ac:dyDescent="0.35">
      <c r="A129" s="5">
        <v>3432</v>
      </c>
      <c r="B129" s="6">
        <v>1632029.4</v>
      </c>
      <c r="C129" s="6">
        <v>3527029.4</v>
      </c>
      <c r="D129" s="6">
        <v>32837.4</v>
      </c>
      <c r="E129" s="2">
        <v>125</v>
      </c>
      <c r="G129" s="7">
        <f t="shared" si="2"/>
        <v>3527029.4</v>
      </c>
      <c r="H129" s="8">
        <f t="shared" si="3"/>
        <v>3432</v>
      </c>
    </row>
    <row r="130" spans="1:8" x14ac:dyDescent="0.35">
      <c r="A130" s="5">
        <v>3432.5</v>
      </c>
      <c r="B130" s="6">
        <v>1648477.19</v>
      </c>
      <c r="C130" s="6">
        <v>3543477.19</v>
      </c>
      <c r="D130" s="6">
        <v>32953.750000100001</v>
      </c>
      <c r="E130" s="2">
        <v>126</v>
      </c>
      <c r="G130" s="7">
        <f t="shared" si="2"/>
        <v>3543477.19</v>
      </c>
      <c r="H130" s="8">
        <f t="shared" si="3"/>
        <v>3432.5</v>
      </c>
    </row>
    <row r="131" spans="1:8" x14ac:dyDescent="0.35">
      <c r="A131" s="5">
        <v>3433</v>
      </c>
      <c r="B131" s="6">
        <v>1664983.15</v>
      </c>
      <c r="C131" s="6">
        <v>3559983.15</v>
      </c>
      <c r="D131" s="6">
        <v>33070.099999899998</v>
      </c>
      <c r="E131" s="2">
        <v>127</v>
      </c>
      <c r="G131" s="7">
        <f t="shared" si="2"/>
        <v>3559983.15</v>
      </c>
      <c r="H131" s="8">
        <f t="shared" si="3"/>
        <v>3433</v>
      </c>
    </row>
    <row r="132" spans="1:8" x14ac:dyDescent="0.35">
      <c r="A132" s="5">
        <v>3433.5</v>
      </c>
      <c r="B132" s="6">
        <v>1681547.29</v>
      </c>
      <c r="C132" s="6">
        <v>3576547.29</v>
      </c>
      <c r="D132" s="6">
        <v>33186.449999999997</v>
      </c>
      <c r="E132" s="2">
        <v>128</v>
      </c>
      <c r="G132" s="7">
        <f t="shared" si="2"/>
        <v>3576547.29</v>
      </c>
      <c r="H132" s="8">
        <f t="shared" si="3"/>
        <v>3433.5</v>
      </c>
    </row>
    <row r="133" spans="1:8" x14ac:dyDescent="0.35">
      <c r="A133" s="5">
        <v>3434</v>
      </c>
      <c r="B133" s="6">
        <v>1698169.6</v>
      </c>
      <c r="C133" s="6">
        <v>3593169.6</v>
      </c>
      <c r="D133" s="6">
        <v>33302.800000000003</v>
      </c>
      <c r="E133" s="2">
        <v>129</v>
      </c>
      <c r="G133" s="7">
        <f t="shared" si="2"/>
        <v>3593169.6</v>
      </c>
      <c r="H133" s="8">
        <f t="shared" si="3"/>
        <v>3434</v>
      </c>
    </row>
    <row r="134" spans="1:8" x14ac:dyDescent="0.35">
      <c r="A134" s="5">
        <v>3434.5</v>
      </c>
      <c r="B134" s="6">
        <v>1714850.09</v>
      </c>
      <c r="C134" s="6">
        <v>3609850.09</v>
      </c>
      <c r="D134" s="6">
        <v>33419.150000100002</v>
      </c>
      <c r="E134" s="2">
        <v>130</v>
      </c>
      <c r="G134" s="7">
        <f t="shared" ref="G134:G197" si="4">C134</f>
        <v>3609850.09</v>
      </c>
      <c r="H134" s="8">
        <f t="shared" ref="H134:H197" si="5">A134</f>
        <v>3434.5</v>
      </c>
    </row>
    <row r="135" spans="1:8" x14ac:dyDescent="0.35">
      <c r="A135" s="5">
        <v>3435</v>
      </c>
      <c r="B135" s="6">
        <v>1731588.75</v>
      </c>
      <c r="C135" s="6">
        <v>3626588.75</v>
      </c>
      <c r="D135" s="6">
        <v>33535.499999899999</v>
      </c>
      <c r="E135" s="2">
        <v>131</v>
      </c>
      <c r="G135" s="7">
        <f t="shared" si="4"/>
        <v>3626588.75</v>
      </c>
      <c r="H135" s="8">
        <f t="shared" si="5"/>
        <v>3435</v>
      </c>
    </row>
    <row r="136" spans="1:8" x14ac:dyDescent="0.35">
      <c r="A136" s="5">
        <v>3435.5</v>
      </c>
      <c r="B136" s="6">
        <v>1748385.59</v>
      </c>
      <c r="C136" s="6">
        <v>3643385.59</v>
      </c>
      <c r="D136" s="6">
        <v>33651.85</v>
      </c>
      <c r="E136" s="2">
        <v>132</v>
      </c>
      <c r="G136" s="7">
        <f t="shared" si="4"/>
        <v>3643385.59</v>
      </c>
      <c r="H136" s="8">
        <f t="shared" si="5"/>
        <v>3435.5</v>
      </c>
    </row>
    <row r="137" spans="1:8" x14ac:dyDescent="0.35">
      <c r="A137" s="5">
        <v>3436</v>
      </c>
      <c r="B137" s="6">
        <v>1765240.6</v>
      </c>
      <c r="C137" s="6">
        <v>3660240.6</v>
      </c>
      <c r="D137" s="6">
        <v>33768.199999999997</v>
      </c>
      <c r="E137" s="2">
        <v>133</v>
      </c>
      <c r="G137" s="7">
        <f t="shared" si="4"/>
        <v>3660240.6</v>
      </c>
      <c r="H137" s="8">
        <f t="shared" si="5"/>
        <v>3436</v>
      </c>
    </row>
    <row r="138" spans="1:8" x14ac:dyDescent="0.35">
      <c r="A138" s="5">
        <v>3436.5</v>
      </c>
      <c r="B138" s="6">
        <v>1782153.79</v>
      </c>
      <c r="C138" s="6">
        <v>3677153.79</v>
      </c>
      <c r="D138" s="6">
        <v>33884.550000099996</v>
      </c>
      <c r="E138" s="2">
        <v>134</v>
      </c>
      <c r="G138" s="7">
        <f t="shared" si="4"/>
        <v>3677153.79</v>
      </c>
      <c r="H138" s="8">
        <f t="shared" si="5"/>
        <v>3436.5</v>
      </c>
    </row>
    <row r="139" spans="1:8" x14ac:dyDescent="0.35">
      <c r="A139" s="5">
        <v>3437</v>
      </c>
      <c r="B139" s="6">
        <v>1799125.15</v>
      </c>
      <c r="C139" s="6">
        <v>3694125.15</v>
      </c>
      <c r="D139" s="6">
        <v>34000.899999900001</v>
      </c>
      <c r="E139" s="2">
        <v>135</v>
      </c>
      <c r="G139" s="7">
        <f t="shared" si="4"/>
        <v>3694125.15</v>
      </c>
      <c r="H139" s="8">
        <f t="shared" si="5"/>
        <v>3437</v>
      </c>
    </row>
    <row r="140" spans="1:8" x14ac:dyDescent="0.35">
      <c r="A140" s="5">
        <v>3437.5</v>
      </c>
      <c r="B140" s="6">
        <v>1816154.69</v>
      </c>
      <c r="C140" s="6">
        <v>3711154.69</v>
      </c>
      <c r="D140" s="6">
        <v>34117.25</v>
      </c>
      <c r="E140" s="2">
        <v>136</v>
      </c>
      <c r="G140" s="7">
        <f t="shared" si="4"/>
        <v>3711154.69</v>
      </c>
      <c r="H140" s="8">
        <f t="shared" si="5"/>
        <v>3437.5</v>
      </c>
    </row>
    <row r="141" spans="1:8" x14ac:dyDescent="0.35">
      <c r="A141" s="5">
        <v>3438</v>
      </c>
      <c r="B141" s="6">
        <v>1833242.4</v>
      </c>
      <c r="C141" s="6">
        <v>3728242.4</v>
      </c>
      <c r="D141" s="6">
        <v>34233.599999999999</v>
      </c>
      <c r="E141" s="2">
        <v>137</v>
      </c>
      <c r="G141" s="7">
        <f t="shared" si="4"/>
        <v>3728242.4</v>
      </c>
      <c r="H141" s="8">
        <f t="shared" si="5"/>
        <v>3438</v>
      </c>
    </row>
    <row r="142" spans="1:8" x14ac:dyDescent="0.35">
      <c r="A142" s="5">
        <v>3438.5</v>
      </c>
      <c r="B142" s="6">
        <v>1850388.29</v>
      </c>
      <c r="C142" s="6">
        <v>3745388.29</v>
      </c>
      <c r="D142" s="6">
        <v>34349.950000099998</v>
      </c>
      <c r="E142" s="2">
        <v>138</v>
      </c>
      <c r="G142" s="7">
        <f t="shared" si="4"/>
        <v>3745388.29</v>
      </c>
      <c r="H142" s="8">
        <f t="shared" si="5"/>
        <v>3438.5</v>
      </c>
    </row>
    <row r="143" spans="1:8" x14ac:dyDescent="0.35">
      <c r="A143" s="5">
        <v>3439</v>
      </c>
      <c r="B143" s="6">
        <v>1867592.35</v>
      </c>
      <c r="C143" s="6">
        <v>3762592.35</v>
      </c>
      <c r="D143" s="6">
        <v>34466.299999900002</v>
      </c>
      <c r="E143" s="2">
        <v>139</v>
      </c>
      <c r="G143" s="7">
        <f t="shared" si="4"/>
        <v>3762592.35</v>
      </c>
      <c r="H143" s="8">
        <f t="shared" si="5"/>
        <v>3439</v>
      </c>
    </row>
    <row r="144" spans="1:8" x14ac:dyDescent="0.35">
      <c r="A144" s="5">
        <v>3439.5</v>
      </c>
      <c r="B144" s="6">
        <v>1884854.59</v>
      </c>
      <c r="C144" s="6">
        <v>3779854.59</v>
      </c>
      <c r="D144" s="6">
        <v>34582.65</v>
      </c>
      <c r="E144" s="2">
        <v>140</v>
      </c>
      <c r="G144" s="7">
        <f t="shared" si="4"/>
        <v>3779854.59</v>
      </c>
      <c r="H144" s="8">
        <f t="shared" si="5"/>
        <v>3439.5</v>
      </c>
    </row>
    <row r="145" spans="1:8" x14ac:dyDescent="0.35">
      <c r="A145" s="5">
        <v>3440</v>
      </c>
      <c r="B145" s="6">
        <v>1902175</v>
      </c>
      <c r="C145" s="6">
        <v>3797175</v>
      </c>
      <c r="D145" s="6">
        <v>34699</v>
      </c>
      <c r="E145" s="2">
        <v>141</v>
      </c>
      <c r="G145" s="7">
        <f t="shared" si="4"/>
        <v>3797175</v>
      </c>
      <c r="H145" s="8">
        <f t="shared" si="5"/>
        <v>3440</v>
      </c>
    </row>
    <row r="146" spans="1:8" x14ac:dyDescent="0.35">
      <c r="A146" s="5">
        <v>3440.5</v>
      </c>
      <c r="B146" s="6">
        <v>1919559.89</v>
      </c>
      <c r="C146" s="6">
        <v>3814559.8899999997</v>
      </c>
      <c r="D146" s="6">
        <v>34840.549999900002</v>
      </c>
      <c r="E146" s="2">
        <v>142</v>
      </c>
      <c r="G146" s="7">
        <f t="shared" si="4"/>
        <v>3814559.8899999997</v>
      </c>
      <c r="H146" s="8">
        <f t="shared" si="5"/>
        <v>3440.5</v>
      </c>
    </row>
    <row r="147" spans="1:8" x14ac:dyDescent="0.35">
      <c r="A147" s="5">
        <v>3441</v>
      </c>
      <c r="B147" s="6">
        <v>1937015.55</v>
      </c>
      <c r="C147" s="6">
        <v>3832015.55</v>
      </c>
      <c r="D147" s="6">
        <v>34982.1</v>
      </c>
      <c r="E147" s="2">
        <v>143</v>
      </c>
      <c r="G147" s="7">
        <f t="shared" si="4"/>
        <v>3832015.55</v>
      </c>
      <c r="H147" s="8">
        <f t="shared" si="5"/>
        <v>3441</v>
      </c>
    </row>
    <row r="148" spans="1:8" x14ac:dyDescent="0.35">
      <c r="A148" s="5">
        <v>3441.5</v>
      </c>
      <c r="B148" s="6">
        <v>1954541.99</v>
      </c>
      <c r="C148" s="6">
        <v>3849541.99</v>
      </c>
      <c r="D148" s="6">
        <v>35123.650000100002</v>
      </c>
      <c r="E148" s="2">
        <v>144</v>
      </c>
      <c r="G148" s="7">
        <f t="shared" si="4"/>
        <v>3849541.99</v>
      </c>
      <c r="H148" s="8">
        <f t="shared" si="5"/>
        <v>3441.5</v>
      </c>
    </row>
    <row r="149" spans="1:8" x14ac:dyDescent="0.35">
      <c r="A149" s="5">
        <v>3442</v>
      </c>
      <c r="B149" s="6">
        <v>1972139.2</v>
      </c>
      <c r="C149" s="6">
        <v>3867139.2</v>
      </c>
      <c r="D149" s="6">
        <v>35265.199999900004</v>
      </c>
      <c r="E149" s="2">
        <v>145</v>
      </c>
      <c r="G149" s="7">
        <f t="shared" si="4"/>
        <v>3867139.2</v>
      </c>
      <c r="H149" s="8">
        <f t="shared" si="5"/>
        <v>3442</v>
      </c>
    </row>
    <row r="150" spans="1:8" x14ac:dyDescent="0.35">
      <c r="A150" s="5">
        <v>3442.5</v>
      </c>
      <c r="B150" s="6">
        <v>1989807.19</v>
      </c>
      <c r="C150" s="6">
        <v>3884807.19</v>
      </c>
      <c r="D150" s="6">
        <v>35406.75</v>
      </c>
      <c r="E150" s="2">
        <v>146</v>
      </c>
      <c r="G150" s="7">
        <f t="shared" si="4"/>
        <v>3884807.19</v>
      </c>
      <c r="H150" s="8">
        <f t="shared" si="5"/>
        <v>3442.5</v>
      </c>
    </row>
    <row r="151" spans="1:8" x14ac:dyDescent="0.35">
      <c r="A151" s="5">
        <v>3443</v>
      </c>
      <c r="B151" s="6">
        <v>2007545.95</v>
      </c>
      <c r="C151" s="6">
        <v>3902545.95</v>
      </c>
      <c r="D151" s="6">
        <v>35548.299999900002</v>
      </c>
      <c r="E151" s="2">
        <v>147</v>
      </c>
      <c r="G151" s="7">
        <f t="shared" si="4"/>
        <v>3902545.95</v>
      </c>
      <c r="H151" s="8">
        <f t="shared" si="5"/>
        <v>3443</v>
      </c>
    </row>
    <row r="152" spans="1:8" x14ac:dyDescent="0.35">
      <c r="A152" s="5">
        <v>3443.5</v>
      </c>
      <c r="B152" s="6">
        <v>2025355.49</v>
      </c>
      <c r="C152" s="6">
        <v>3920355.49</v>
      </c>
      <c r="D152" s="6">
        <v>35689.85</v>
      </c>
      <c r="E152" s="2">
        <v>148</v>
      </c>
      <c r="G152" s="7">
        <f t="shared" si="4"/>
        <v>3920355.49</v>
      </c>
      <c r="H152" s="8">
        <f t="shared" si="5"/>
        <v>3443.5</v>
      </c>
    </row>
    <row r="153" spans="1:8" x14ac:dyDescent="0.35">
      <c r="A153" s="5">
        <v>3444</v>
      </c>
      <c r="B153" s="6">
        <v>2043235.8</v>
      </c>
      <c r="C153" s="6">
        <v>3938235.8</v>
      </c>
      <c r="D153" s="6">
        <v>35831.400000100002</v>
      </c>
      <c r="E153" s="2">
        <v>149</v>
      </c>
      <c r="G153" s="7">
        <f t="shared" si="4"/>
        <v>3938235.8</v>
      </c>
      <c r="H153" s="8">
        <f t="shared" si="5"/>
        <v>3444</v>
      </c>
    </row>
    <row r="154" spans="1:8" x14ac:dyDescent="0.35">
      <c r="A154" s="5">
        <v>3444.5</v>
      </c>
      <c r="B154" s="6">
        <v>2061186.89</v>
      </c>
      <c r="C154" s="6">
        <v>3956186.8899999997</v>
      </c>
      <c r="D154" s="6">
        <v>35972.949999999997</v>
      </c>
      <c r="E154" s="2">
        <v>150</v>
      </c>
      <c r="G154" s="7">
        <f t="shared" si="4"/>
        <v>3956186.8899999997</v>
      </c>
      <c r="H154" s="8">
        <f t="shared" si="5"/>
        <v>3444.5</v>
      </c>
    </row>
    <row r="155" spans="1:8" x14ac:dyDescent="0.35">
      <c r="A155" s="5">
        <v>3445</v>
      </c>
      <c r="B155" s="6">
        <v>2079208.75</v>
      </c>
      <c r="C155" s="6">
        <v>3974208.75</v>
      </c>
      <c r="D155" s="6">
        <v>36114.500000100001</v>
      </c>
      <c r="E155" s="2">
        <v>151</v>
      </c>
      <c r="G155" s="7">
        <f t="shared" si="4"/>
        <v>3974208.75</v>
      </c>
      <c r="H155" s="8">
        <f t="shared" si="5"/>
        <v>3445</v>
      </c>
    </row>
    <row r="156" spans="1:8" x14ac:dyDescent="0.35">
      <c r="A156" s="5">
        <v>3445.5</v>
      </c>
      <c r="B156" s="6">
        <v>2097301.39</v>
      </c>
      <c r="C156" s="6">
        <v>3992301.39</v>
      </c>
      <c r="D156" s="6">
        <v>36256.049999900002</v>
      </c>
      <c r="E156" s="2">
        <v>152</v>
      </c>
      <c r="G156" s="7">
        <f t="shared" si="4"/>
        <v>3992301.39</v>
      </c>
      <c r="H156" s="8">
        <f t="shared" si="5"/>
        <v>3445.5</v>
      </c>
    </row>
    <row r="157" spans="1:8" x14ac:dyDescent="0.35">
      <c r="A157" s="5">
        <v>3446</v>
      </c>
      <c r="B157" s="6">
        <v>2115464.7999999998</v>
      </c>
      <c r="C157" s="6">
        <v>4010464.8</v>
      </c>
      <c r="D157" s="6">
        <v>36397.599999999999</v>
      </c>
      <c r="E157" s="2">
        <v>153</v>
      </c>
      <c r="G157" s="7">
        <f t="shared" si="4"/>
        <v>4010464.8</v>
      </c>
      <c r="H157" s="8">
        <f t="shared" si="5"/>
        <v>3446</v>
      </c>
    </row>
    <row r="158" spans="1:8" x14ac:dyDescent="0.35">
      <c r="A158" s="5">
        <v>3446.5</v>
      </c>
      <c r="B158" s="6">
        <v>2133698.9900000002</v>
      </c>
      <c r="C158" s="6">
        <v>4028698.99</v>
      </c>
      <c r="D158" s="6">
        <v>36539.150000100002</v>
      </c>
      <c r="E158" s="2">
        <v>154</v>
      </c>
      <c r="G158" s="7">
        <f t="shared" si="4"/>
        <v>4028698.99</v>
      </c>
      <c r="H158" s="8">
        <f t="shared" si="5"/>
        <v>3446.5</v>
      </c>
    </row>
    <row r="159" spans="1:8" x14ac:dyDescent="0.35">
      <c r="A159" s="5">
        <v>3447</v>
      </c>
      <c r="B159" s="6">
        <v>2152003.9500000002</v>
      </c>
      <c r="C159" s="6">
        <v>4047003.95</v>
      </c>
      <c r="D159" s="6">
        <v>36680.699999999997</v>
      </c>
      <c r="E159" s="2">
        <v>155</v>
      </c>
      <c r="G159" s="7">
        <f t="shared" si="4"/>
        <v>4047003.95</v>
      </c>
      <c r="H159" s="8">
        <f t="shared" si="5"/>
        <v>3447</v>
      </c>
    </row>
    <row r="160" spans="1:8" x14ac:dyDescent="0.35">
      <c r="A160" s="5">
        <v>3447.5</v>
      </c>
      <c r="B160" s="6">
        <v>2170379.69</v>
      </c>
      <c r="C160" s="6">
        <v>4065379.69</v>
      </c>
      <c r="D160" s="6">
        <v>36822.250000100001</v>
      </c>
      <c r="E160" s="2">
        <v>156</v>
      </c>
      <c r="G160" s="7">
        <f t="shared" si="4"/>
        <v>4065379.69</v>
      </c>
      <c r="H160" s="8">
        <f t="shared" si="5"/>
        <v>3447.5</v>
      </c>
    </row>
    <row r="161" spans="1:8" x14ac:dyDescent="0.35">
      <c r="A161" s="5">
        <v>3448</v>
      </c>
      <c r="B161" s="6">
        <v>2188826.2000000002</v>
      </c>
      <c r="C161" s="6">
        <v>4083826.2</v>
      </c>
      <c r="D161" s="6">
        <v>36963.799999900002</v>
      </c>
      <c r="E161" s="2">
        <v>157</v>
      </c>
      <c r="G161" s="7">
        <f t="shared" si="4"/>
        <v>4083826.2</v>
      </c>
      <c r="H161" s="8">
        <f t="shared" si="5"/>
        <v>3448</v>
      </c>
    </row>
    <row r="162" spans="1:8" x14ac:dyDescent="0.35">
      <c r="A162" s="5">
        <v>3448.5</v>
      </c>
      <c r="B162" s="6">
        <v>2207343.4900000002</v>
      </c>
      <c r="C162" s="6">
        <v>4102343.49</v>
      </c>
      <c r="D162" s="6">
        <v>37105.35</v>
      </c>
      <c r="E162" s="2">
        <v>158</v>
      </c>
      <c r="G162" s="7">
        <f t="shared" si="4"/>
        <v>4102343.49</v>
      </c>
      <c r="H162" s="8">
        <f t="shared" si="5"/>
        <v>3448.5</v>
      </c>
    </row>
    <row r="163" spans="1:8" x14ac:dyDescent="0.35">
      <c r="A163" s="5">
        <v>3449</v>
      </c>
      <c r="B163" s="6">
        <v>2225931.5499999998</v>
      </c>
      <c r="C163" s="6">
        <v>4120931.55</v>
      </c>
      <c r="D163" s="6">
        <v>37246.899999900001</v>
      </c>
      <c r="E163" s="2">
        <v>159</v>
      </c>
      <c r="G163" s="7">
        <f t="shared" si="4"/>
        <v>4120931.55</v>
      </c>
      <c r="H163" s="8">
        <f t="shared" si="5"/>
        <v>3449</v>
      </c>
    </row>
    <row r="164" spans="1:8" x14ac:dyDescent="0.35">
      <c r="A164" s="5">
        <v>3449.5</v>
      </c>
      <c r="B164" s="6">
        <v>2244590.39</v>
      </c>
      <c r="C164" s="6">
        <v>4139590.39</v>
      </c>
      <c r="D164" s="6">
        <v>37388.449999999997</v>
      </c>
      <c r="E164" s="2">
        <v>160</v>
      </c>
      <c r="G164" s="7">
        <f t="shared" si="4"/>
        <v>4139590.39</v>
      </c>
      <c r="H164" s="8">
        <f t="shared" si="5"/>
        <v>3449.5</v>
      </c>
    </row>
    <row r="165" spans="1:8" x14ac:dyDescent="0.35">
      <c r="A165" s="5">
        <v>3450</v>
      </c>
      <c r="B165" s="6">
        <v>2263320</v>
      </c>
      <c r="C165" s="6">
        <v>4158320</v>
      </c>
      <c r="D165" s="6">
        <v>37530.000000100001</v>
      </c>
      <c r="E165" s="2">
        <v>161</v>
      </c>
      <c r="G165" s="7">
        <f t="shared" si="4"/>
        <v>4158320</v>
      </c>
      <c r="H165" s="8">
        <f t="shared" si="5"/>
        <v>3450</v>
      </c>
    </row>
    <row r="166" spans="1:8" x14ac:dyDescent="0.35">
      <c r="A166" s="5">
        <v>3450.5</v>
      </c>
      <c r="B166" s="6">
        <v>2282120.39</v>
      </c>
      <c r="C166" s="6">
        <v>4177120.39</v>
      </c>
      <c r="D166" s="6">
        <v>37671.549999900002</v>
      </c>
      <c r="E166" s="2">
        <v>162</v>
      </c>
      <c r="G166" s="7">
        <f t="shared" si="4"/>
        <v>4177120.39</v>
      </c>
      <c r="H166" s="8">
        <f t="shared" si="5"/>
        <v>3450.5</v>
      </c>
    </row>
    <row r="167" spans="1:8" x14ac:dyDescent="0.35">
      <c r="A167" s="5">
        <v>3451</v>
      </c>
      <c r="B167" s="6">
        <v>2300991.5499999998</v>
      </c>
      <c r="C167" s="6">
        <v>4195991.55</v>
      </c>
      <c r="D167" s="6">
        <v>37813.1</v>
      </c>
      <c r="E167" s="2">
        <v>163</v>
      </c>
      <c r="G167" s="7">
        <f t="shared" si="4"/>
        <v>4195991.55</v>
      </c>
      <c r="H167" s="8">
        <f t="shared" si="5"/>
        <v>3451</v>
      </c>
    </row>
    <row r="168" spans="1:8" x14ac:dyDescent="0.35">
      <c r="A168" s="5">
        <v>3451.5</v>
      </c>
      <c r="B168" s="6">
        <v>2319933.4900000002</v>
      </c>
      <c r="C168" s="6">
        <v>4214933.49</v>
      </c>
      <c r="D168" s="6">
        <v>37954.649999900001</v>
      </c>
      <c r="E168" s="2">
        <v>164</v>
      </c>
      <c r="G168" s="7">
        <f t="shared" si="4"/>
        <v>4214933.49</v>
      </c>
      <c r="H168" s="8">
        <f t="shared" si="5"/>
        <v>3451.5</v>
      </c>
    </row>
    <row r="169" spans="1:8" x14ac:dyDescent="0.35">
      <c r="A169" s="5">
        <v>3452</v>
      </c>
      <c r="B169" s="6">
        <v>2338946.2000000002</v>
      </c>
      <c r="C169" s="6">
        <v>4233946.2</v>
      </c>
      <c r="D169" s="6">
        <v>38096.199999999997</v>
      </c>
      <c r="E169" s="2">
        <v>165</v>
      </c>
      <c r="G169" s="7">
        <f t="shared" si="4"/>
        <v>4233946.2</v>
      </c>
      <c r="H169" s="8">
        <f t="shared" si="5"/>
        <v>3452</v>
      </c>
    </row>
    <row r="170" spans="1:8" x14ac:dyDescent="0.35">
      <c r="A170" s="5">
        <v>3452.5</v>
      </c>
      <c r="B170" s="6">
        <v>2358029.69</v>
      </c>
      <c r="C170" s="6">
        <v>4253029.6899999995</v>
      </c>
      <c r="D170" s="6">
        <v>38237.750000100001</v>
      </c>
      <c r="E170" s="2">
        <v>166</v>
      </c>
      <c r="G170" s="7">
        <f t="shared" si="4"/>
        <v>4253029.6899999995</v>
      </c>
      <c r="H170" s="8">
        <f t="shared" si="5"/>
        <v>3452.5</v>
      </c>
    </row>
    <row r="171" spans="1:8" x14ac:dyDescent="0.35">
      <c r="A171" s="5">
        <v>3453</v>
      </c>
      <c r="B171" s="6">
        <v>2377183.9500000002</v>
      </c>
      <c r="C171" s="6">
        <v>4272183.95</v>
      </c>
      <c r="D171" s="6">
        <v>38379.299999900002</v>
      </c>
      <c r="E171" s="2">
        <v>167</v>
      </c>
      <c r="G171" s="7">
        <f t="shared" si="4"/>
        <v>4272183.95</v>
      </c>
      <c r="H171" s="8">
        <f t="shared" si="5"/>
        <v>3453</v>
      </c>
    </row>
    <row r="172" spans="1:8" x14ac:dyDescent="0.35">
      <c r="A172" s="5">
        <v>3453.5</v>
      </c>
      <c r="B172" s="6">
        <v>2396408.9900000002</v>
      </c>
      <c r="C172" s="6">
        <v>4291408.99</v>
      </c>
      <c r="D172" s="6">
        <v>38520.85</v>
      </c>
      <c r="E172" s="2">
        <v>168</v>
      </c>
      <c r="G172" s="7">
        <f t="shared" si="4"/>
        <v>4291408.99</v>
      </c>
      <c r="H172" s="8">
        <f t="shared" si="5"/>
        <v>3453.5</v>
      </c>
    </row>
    <row r="173" spans="1:8" x14ac:dyDescent="0.35">
      <c r="A173" s="5">
        <v>3454</v>
      </c>
      <c r="B173" s="6">
        <v>2415704.7999999998</v>
      </c>
      <c r="C173" s="6">
        <v>4310704.8</v>
      </c>
      <c r="D173" s="6">
        <v>38662.399999900001</v>
      </c>
      <c r="E173" s="2">
        <v>169</v>
      </c>
      <c r="G173" s="7">
        <f t="shared" si="4"/>
        <v>4310704.8</v>
      </c>
      <c r="H173" s="8">
        <f t="shared" si="5"/>
        <v>3454</v>
      </c>
    </row>
    <row r="174" spans="1:8" x14ac:dyDescent="0.35">
      <c r="A174" s="5">
        <v>3454.5</v>
      </c>
      <c r="B174" s="6">
        <v>2435071.39</v>
      </c>
      <c r="C174" s="6">
        <v>4330071.3900000006</v>
      </c>
      <c r="D174" s="6">
        <v>38803.949999999997</v>
      </c>
      <c r="E174" s="2">
        <v>170</v>
      </c>
      <c r="G174" s="7">
        <f t="shared" si="4"/>
        <v>4330071.3900000006</v>
      </c>
      <c r="H174" s="8">
        <f t="shared" si="5"/>
        <v>3454.5</v>
      </c>
    </row>
    <row r="175" spans="1:8" x14ac:dyDescent="0.35">
      <c r="A175" s="5">
        <v>3455</v>
      </c>
      <c r="B175" s="6">
        <v>2454508.75</v>
      </c>
      <c r="C175" s="6">
        <v>4349508.75</v>
      </c>
      <c r="D175" s="6">
        <v>38945.500000100001</v>
      </c>
      <c r="E175" s="2">
        <v>171</v>
      </c>
      <c r="G175" s="7">
        <f t="shared" si="4"/>
        <v>4349508.75</v>
      </c>
      <c r="H175" s="8">
        <f t="shared" si="5"/>
        <v>3455</v>
      </c>
    </row>
    <row r="176" spans="1:8" x14ac:dyDescent="0.35">
      <c r="A176" s="5">
        <v>3455.5</v>
      </c>
      <c r="B176" s="6">
        <v>2474016.89</v>
      </c>
      <c r="C176" s="6">
        <v>4369016.8900000006</v>
      </c>
      <c r="D176" s="6">
        <v>39087.050000000003</v>
      </c>
      <c r="E176" s="2">
        <v>172</v>
      </c>
      <c r="G176" s="7">
        <f t="shared" si="4"/>
        <v>4369016.8900000006</v>
      </c>
      <c r="H176" s="8">
        <f t="shared" si="5"/>
        <v>3455.5</v>
      </c>
    </row>
    <row r="177" spans="1:8" x14ac:dyDescent="0.35">
      <c r="A177" s="5">
        <v>3456</v>
      </c>
      <c r="B177" s="6">
        <v>2493595.7999999998</v>
      </c>
      <c r="C177" s="6">
        <v>4388595.8</v>
      </c>
      <c r="D177" s="6">
        <v>39228.600000099999</v>
      </c>
      <c r="E177" s="2">
        <v>173</v>
      </c>
      <c r="G177" s="7">
        <f t="shared" si="4"/>
        <v>4388595.8</v>
      </c>
      <c r="H177" s="8">
        <f t="shared" si="5"/>
        <v>3456</v>
      </c>
    </row>
    <row r="178" spans="1:8" x14ac:dyDescent="0.35">
      <c r="A178" s="5">
        <v>3456.5</v>
      </c>
      <c r="B178" s="6">
        <v>2513245.4900000002</v>
      </c>
      <c r="C178" s="6">
        <v>4408245.49</v>
      </c>
      <c r="D178" s="6">
        <v>39370.149999900001</v>
      </c>
      <c r="E178" s="2">
        <v>174</v>
      </c>
      <c r="G178" s="7">
        <f t="shared" si="4"/>
        <v>4408245.49</v>
      </c>
      <c r="H178" s="8">
        <f t="shared" si="5"/>
        <v>3456.5</v>
      </c>
    </row>
    <row r="179" spans="1:8" x14ac:dyDescent="0.35">
      <c r="A179" s="5">
        <v>3457</v>
      </c>
      <c r="B179" s="6">
        <v>2532965.9500000002</v>
      </c>
      <c r="C179" s="6">
        <v>4427965.95</v>
      </c>
      <c r="D179" s="6">
        <v>39511.699999999997</v>
      </c>
      <c r="E179" s="2">
        <v>175</v>
      </c>
      <c r="G179" s="7">
        <f t="shared" si="4"/>
        <v>4427965.95</v>
      </c>
      <c r="H179" s="8">
        <f t="shared" si="5"/>
        <v>3457</v>
      </c>
    </row>
    <row r="180" spans="1:8" x14ac:dyDescent="0.35">
      <c r="A180" s="5">
        <v>3457.5</v>
      </c>
      <c r="B180" s="6">
        <v>2552757.19</v>
      </c>
      <c r="C180" s="6">
        <v>4447757.1899999995</v>
      </c>
      <c r="D180" s="6">
        <v>39653.250000100001</v>
      </c>
      <c r="E180" s="2">
        <v>176</v>
      </c>
      <c r="G180" s="7">
        <f t="shared" si="4"/>
        <v>4447757.1899999995</v>
      </c>
      <c r="H180" s="8">
        <f t="shared" si="5"/>
        <v>3457.5</v>
      </c>
    </row>
    <row r="181" spans="1:8" x14ac:dyDescent="0.35">
      <c r="A181" s="5">
        <v>3458</v>
      </c>
      <c r="B181" s="6">
        <v>2572619.2000000002</v>
      </c>
      <c r="C181" s="6">
        <v>4467619.2</v>
      </c>
      <c r="D181" s="6">
        <v>39794.800000000003</v>
      </c>
      <c r="E181" s="2">
        <v>177</v>
      </c>
      <c r="G181" s="7">
        <f t="shared" si="4"/>
        <v>4467619.2</v>
      </c>
      <c r="H181" s="8">
        <f t="shared" si="5"/>
        <v>3458</v>
      </c>
    </row>
    <row r="182" spans="1:8" x14ac:dyDescent="0.35">
      <c r="A182" s="5">
        <v>3458.5</v>
      </c>
      <c r="B182" s="6">
        <v>2592551.9900000002</v>
      </c>
      <c r="C182" s="6">
        <v>4487551.99</v>
      </c>
      <c r="D182" s="6">
        <v>39936.350000099999</v>
      </c>
      <c r="E182" s="2">
        <v>178</v>
      </c>
      <c r="G182" s="7">
        <f t="shared" si="4"/>
        <v>4487551.99</v>
      </c>
      <c r="H182" s="8">
        <f t="shared" si="5"/>
        <v>3458.5</v>
      </c>
    </row>
    <row r="183" spans="1:8" x14ac:dyDescent="0.35">
      <c r="A183" s="5">
        <v>3459</v>
      </c>
      <c r="B183" s="6">
        <v>2612555.5499999998</v>
      </c>
      <c r="C183" s="6">
        <v>4507555.55</v>
      </c>
      <c r="D183" s="6">
        <v>40077.899999900001</v>
      </c>
      <c r="E183" s="2">
        <v>179</v>
      </c>
      <c r="G183" s="7">
        <f t="shared" si="4"/>
        <v>4507555.55</v>
      </c>
      <c r="H183" s="8">
        <f t="shared" si="5"/>
        <v>3459</v>
      </c>
    </row>
    <row r="184" spans="1:8" x14ac:dyDescent="0.35">
      <c r="A184" s="5">
        <v>3459.5</v>
      </c>
      <c r="B184" s="6">
        <v>2632629.89</v>
      </c>
      <c r="C184" s="6">
        <v>4527629.8900000006</v>
      </c>
      <c r="D184" s="6">
        <v>40219.449999999997</v>
      </c>
      <c r="E184" s="2">
        <v>180</v>
      </c>
      <c r="G184" s="7">
        <f t="shared" si="4"/>
        <v>4527629.8900000006</v>
      </c>
      <c r="H184" s="8">
        <f t="shared" si="5"/>
        <v>3459.5</v>
      </c>
    </row>
    <row r="185" spans="1:8" x14ac:dyDescent="0.35">
      <c r="A185" s="5">
        <v>3460</v>
      </c>
      <c r="B185" s="6">
        <v>2652775</v>
      </c>
      <c r="C185" s="6">
        <v>4547775</v>
      </c>
      <c r="D185" s="6">
        <v>40360.999999899999</v>
      </c>
      <c r="E185" s="2">
        <v>181</v>
      </c>
      <c r="G185" s="7">
        <f t="shared" si="4"/>
        <v>4547775</v>
      </c>
      <c r="H185" s="8">
        <f t="shared" si="5"/>
        <v>3460</v>
      </c>
    </row>
    <row r="186" spans="1:8" x14ac:dyDescent="0.35">
      <c r="A186" s="5">
        <v>3460.5</v>
      </c>
      <c r="B186" s="6">
        <v>2672992.46</v>
      </c>
      <c r="C186" s="6">
        <v>4567992.46</v>
      </c>
      <c r="D186" s="6">
        <v>40508.850000099999</v>
      </c>
      <c r="E186" s="2">
        <v>182</v>
      </c>
      <c r="G186" s="7">
        <f t="shared" si="4"/>
        <v>4567992.46</v>
      </c>
      <c r="H186" s="8">
        <f t="shared" si="5"/>
        <v>3460.5</v>
      </c>
    </row>
    <row r="187" spans="1:8" x14ac:dyDescent="0.35">
      <c r="A187" s="5">
        <v>3461</v>
      </c>
      <c r="B187" s="6">
        <v>2693283.85</v>
      </c>
      <c r="C187" s="6">
        <v>4588283.8499999996</v>
      </c>
      <c r="D187" s="6">
        <v>40656.700000099998</v>
      </c>
      <c r="E187" s="2">
        <v>183</v>
      </c>
      <c r="G187" s="7">
        <f t="shared" si="4"/>
        <v>4588283.8499999996</v>
      </c>
      <c r="H187" s="8">
        <f t="shared" si="5"/>
        <v>3461</v>
      </c>
    </row>
    <row r="188" spans="1:8" x14ac:dyDescent="0.35">
      <c r="A188" s="5">
        <v>3461.5</v>
      </c>
      <c r="B188" s="6">
        <v>2713649.16</v>
      </c>
      <c r="C188" s="6">
        <v>4608649.16</v>
      </c>
      <c r="D188" s="6">
        <v>40804.550000099996</v>
      </c>
      <c r="E188" s="2">
        <v>184</v>
      </c>
      <c r="G188" s="7">
        <f t="shared" si="4"/>
        <v>4608649.16</v>
      </c>
      <c r="H188" s="8">
        <f t="shared" si="5"/>
        <v>3461.5</v>
      </c>
    </row>
    <row r="189" spans="1:8" x14ac:dyDescent="0.35">
      <c r="A189" s="5">
        <v>3462</v>
      </c>
      <c r="B189" s="6">
        <v>2734088.4</v>
      </c>
      <c r="C189" s="6">
        <v>4629088.4000000004</v>
      </c>
      <c r="D189" s="6">
        <v>40952.400000100002</v>
      </c>
      <c r="E189" s="2">
        <v>185</v>
      </c>
      <c r="G189" s="7">
        <f t="shared" si="4"/>
        <v>4629088.4000000004</v>
      </c>
      <c r="H189" s="8">
        <f t="shared" si="5"/>
        <v>3462</v>
      </c>
    </row>
    <row r="190" spans="1:8" x14ac:dyDescent="0.35">
      <c r="A190" s="5">
        <v>3462.5</v>
      </c>
      <c r="B190" s="6">
        <v>2754601.56</v>
      </c>
      <c r="C190" s="6">
        <v>4649601.5600000005</v>
      </c>
      <c r="D190" s="6">
        <v>41100.250000100001</v>
      </c>
      <c r="E190" s="2">
        <v>186</v>
      </c>
      <c r="G190" s="7">
        <f t="shared" si="4"/>
        <v>4649601.5600000005</v>
      </c>
      <c r="H190" s="8">
        <f t="shared" si="5"/>
        <v>3462.5</v>
      </c>
    </row>
    <row r="191" spans="1:8" x14ac:dyDescent="0.35">
      <c r="A191" s="5">
        <v>3463</v>
      </c>
      <c r="B191" s="6">
        <v>2775188.65</v>
      </c>
      <c r="C191" s="6">
        <v>4670188.6500000004</v>
      </c>
      <c r="D191" s="6">
        <v>41248.1</v>
      </c>
      <c r="E191" s="2">
        <v>187</v>
      </c>
      <c r="G191" s="7">
        <f t="shared" si="4"/>
        <v>4670188.6500000004</v>
      </c>
      <c r="H191" s="8">
        <f t="shared" si="5"/>
        <v>3463</v>
      </c>
    </row>
    <row r="192" spans="1:8" x14ac:dyDescent="0.35">
      <c r="A192" s="5">
        <v>3463.5</v>
      </c>
      <c r="B192" s="6">
        <v>2795849.66</v>
      </c>
      <c r="C192" s="6">
        <v>4690849.66</v>
      </c>
      <c r="D192" s="6">
        <v>41395.949999999997</v>
      </c>
      <c r="E192" s="2">
        <v>188</v>
      </c>
      <c r="G192" s="7">
        <f t="shared" si="4"/>
        <v>4690849.66</v>
      </c>
      <c r="H192" s="8">
        <f t="shared" si="5"/>
        <v>3463.5</v>
      </c>
    </row>
    <row r="193" spans="1:8" x14ac:dyDescent="0.35">
      <c r="A193" s="5">
        <v>3464</v>
      </c>
      <c r="B193" s="6">
        <v>2816584.6</v>
      </c>
      <c r="C193" s="6">
        <v>4711584.5999999996</v>
      </c>
      <c r="D193" s="6">
        <v>41543.800000000003</v>
      </c>
      <c r="E193" s="2">
        <v>189</v>
      </c>
      <c r="G193" s="7">
        <f t="shared" si="4"/>
        <v>4711584.5999999996</v>
      </c>
      <c r="H193" s="8">
        <f t="shared" si="5"/>
        <v>3464</v>
      </c>
    </row>
    <row r="194" spans="1:8" x14ac:dyDescent="0.35">
      <c r="A194" s="5">
        <v>3464.5</v>
      </c>
      <c r="B194" s="6">
        <v>2837393.46</v>
      </c>
      <c r="C194" s="6">
        <v>4732393.46</v>
      </c>
      <c r="D194" s="6">
        <v>41691.65</v>
      </c>
      <c r="E194" s="2">
        <v>190</v>
      </c>
      <c r="G194" s="7">
        <f t="shared" si="4"/>
        <v>4732393.46</v>
      </c>
      <c r="H194" s="8">
        <f t="shared" si="5"/>
        <v>3464.5</v>
      </c>
    </row>
    <row r="195" spans="1:8" x14ac:dyDescent="0.35">
      <c r="A195" s="5">
        <v>3465</v>
      </c>
      <c r="B195" s="6">
        <v>2858276.25</v>
      </c>
      <c r="C195" s="6">
        <v>4753276.25</v>
      </c>
      <c r="D195" s="6">
        <v>41839.5</v>
      </c>
      <c r="E195" s="2">
        <v>191</v>
      </c>
      <c r="G195" s="7">
        <f t="shared" si="4"/>
        <v>4753276.25</v>
      </c>
      <c r="H195" s="8">
        <f t="shared" si="5"/>
        <v>3465</v>
      </c>
    </row>
    <row r="196" spans="1:8" x14ac:dyDescent="0.35">
      <c r="A196" s="5">
        <v>3465.5</v>
      </c>
      <c r="B196" s="6">
        <v>2879232.96</v>
      </c>
      <c r="C196" s="6">
        <v>4774232.96</v>
      </c>
      <c r="D196" s="6">
        <v>41987.35</v>
      </c>
      <c r="E196" s="2">
        <v>192</v>
      </c>
      <c r="G196" s="7">
        <f t="shared" si="4"/>
        <v>4774232.96</v>
      </c>
      <c r="H196" s="8">
        <f t="shared" si="5"/>
        <v>3465.5</v>
      </c>
    </row>
    <row r="197" spans="1:8" x14ac:dyDescent="0.35">
      <c r="A197" s="5">
        <v>3466</v>
      </c>
      <c r="B197" s="6">
        <v>2900263.6</v>
      </c>
      <c r="C197" s="6">
        <v>4795263.5999999996</v>
      </c>
      <c r="D197" s="6">
        <v>42135.199999999997</v>
      </c>
      <c r="E197" s="2">
        <v>193</v>
      </c>
      <c r="G197" s="7">
        <f t="shared" si="4"/>
        <v>4795263.5999999996</v>
      </c>
      <c r="H197" s="8">
        <f t="shared" si="5"/>
        <v>3466</v>
      </c>
    </row>
    <row r="198" spans="1:8" x14ac:dyDescent="0.35">
      <c r="A198" s="5">
        <v>3466.5</v>
      </c>
      <c r="B198" s="6">
        <v>2921368.16</v>
      </c>
      <c r="C198" s="6">
        <v>4816368.16</v>
      </c>
      <c r="D198" s="6">
        <v>42283.05</v>
      </c>
      <c r="E198" s="2">
        <v>194</v>
      </c>
      <c r="G198" s="7">
        <f t="shared" ref="G198:G261" si="6">C198</f>
        <v>4816368.16</v>
      </c>
      <c r="H198" s="8">
        <f t="shared" ref="H198:H261" si="7">A198</f>
        <v>3466.5</v>
      </c>
    </row>
    <row r="199" spans="1:8" x14ac:dyDescent="0.35">
      <c r="A199" s="5">
        <v>3467</v>
      </c>
      <c r="B199" s="6">
        <v>2942546.65</v>
      </c>
      <c r="C199" s="6">
        <v>4837546.6500000004</v>
      </c>
      <c r="D199" s="6">
        <v>42430.899999900001</v>
      </c>
      <c r="E199" s="2">
        <v>195</v>
      </c>
      <c r="G199" s="7">
        <f t="shared" si="6"/>
        <v>4837546.6500000004</v>
      </c>
      <c r="H199" s="8">
        <f t="shared" si="7"/>
        <v>3467</v>
      </c>
    </row>
    <row r="200" spans="1:8" x14ac:dyDescent="0.35">
      <c r="A200" s="5">
        <v>3467.5</v>
      </c>
      <c r="B200" s="6">
        <v>2963799.06</v>
      </c>
      <c r="C200" s="6">
        <v>4858799.0600000005</v>
      </c>
      <c r="D200" s="6">
        <v>42578.749999899999</v>
      </c>
      <c r="E200" s="2">
        <v>196</v>
      </c>
      <c r="G200" s="7">
        <f t="shared" si="6"/>
        <v>4858799.0600000005</v>
      </c>
      <c r="H200" s="8">
        <f t="shared" si="7"/>
        <v>3467.5</v>
      </c>
    </row>
    <row r="201" spans="1:8" x14ac:dyDescent="0.35">
      <c r="A201" s="5">
        <v>3468</v>
      </c>
      <c r="B201" s="6">
        <v>2985125.4</v>
      </c>
      <c r="C201" s="6">
        <v>4880125.4000000004</v>
      </c>
      <c r="D201" s="6">
        <v>42726.599999899998</v>
      </c>
      <c r="E201" s="2">
        <v>197</v>
      </c>
      <c r="G201" s="7">
        <f t="shared" si="6"/>
        <v>4880125.4000000004</v>
      </c>
      <c r="H201" s="8">
        <f t="shared" si="7"/>
        <v>3468</v>
      </c>
    </row>
    <row r="202" spans="1:8" x14ac:dyDescent="0.35">
      <c r="A202" s="5">
        <v>3468.5</v>
      </c>
      <c r="B202" s="6">
        <v>3006525.66</v>
      </c>
      <c r="C202" s="6">
        <v>4901525.66</v>
      </c>
      <c r="D202" s="6">
        <v>42874.449999900004</v>
      </c>
      <c r="E202" s="2">
        <v>198</v>
      </c>
      <c r="G202" s="7">
        <f t="shared" si="6"/>
        <v>4901525.66</v>
      </c>
      <c r="H202" s="8">
        <f t="shared" si="7"/>
        <v>3468.5</v>
      </c>
    </row>
    <row r="203" spans="1:8" x14ac:dyDescent="0.35">
      <c r="A203" s="5">
        <v>3469</v>
      </c>
      <c r="B203" s="6">
        <v>3027999.85</v>
      </c>
      <c r="C203" s="6">
        <v>4922999.8499999996</v>
      </c>
      <c r="D203" s="6">
        <v>43022.299999900002</v>
      </c>
      <c r="E203" s="2">
        <v>199</v>
      </c>
      <c r="G203" s="7">
        <f t="shared" si="6"/>
        <v>4922999.8499999996</v>
      </c>
      <c r="H203" s="8">
        <f t="shared" si="7"/>
        <v>3469</v>
      </c>
    </row>
    <row r="204" spans="1:8" x14ac:dyDescent="0.35">
      <c r="A204" s="5">
        <v>3469.5</v>
      </c>
      <c r="B204" s="6">
        <v>3049547.96</v>
      </c>
      <c r="C204" s="6">
        <v>4944547.96</v>
      </c>
      <c r="D204" s="6">
        <v>43170.149999900001</v>
      </c>
      <c r="E204" s="2">
        <v>200</v>
      </c>
      <c r="G204" s="7">
        <f t="shared" si="6"/>
        <v>4944547.96</v>
      </c>
      <c r="H204" s="8">
        <f t="shared" si="7"/>
        <v>3469.5</v>
      </c>
    </row>
    <row r="205" spans="1:8" x14ac:dyDescent="0.35">
      <c r="A205" s="5">
        <v>3470</v>
      </c>
      <c r="B205" s="6">
        <v>3071170</v>
      </c>
      <c r="C205" s="6">
        <v>4966170</v>
      </c>
      <c r="D205" s="6">
        <v>43318.000000100001</v>
      </c>
      <c r="E205" s="2">
        <v>201</v>
      </c>
      <c r="G205" s="7">
        <f t="shared" si="6"/>
        <v>4966170</v>
      </c>
      <c r="H205" s="8">
        <f t="shared" si="7"/>
        <v>3470</v>
      </c>
    </row>
    <row r="206" spans="1:8" x14ac:dyDescent="0.35">
      <c r="A206" s="5">
        <v>3470.5</v>
      </c>
      <c r="B206" s="6">
        <v>3092865.96</v>
      </c>
      <c r="C206" s="6">
        <v>4987865.96</v>
      </c>
      <c r="D206" s="6">
        <v>43465.850000099999</v>
      </c>
      <c r="E206" s="2">
        <v>202</v>
      </c>
      <c r="G206" s="7">
        <f t="shared" si="6"/>
        <v>4987865.96</v>
      </c>
      <c r="H206" s="8">
        <f t="shared" si="7"/>
        <v>3470.5</v>
      </c>
    </row>
    <row r="207" spans="1:8" x14ac:dyDescent="0.35">
      <c r="A207" s="5">
        <v>3471</v>
      </c>
      <c r="B207" s="6">
        <v>3114635.85</v>
      </c>
      <c r="C207" s="6">
        <v>5009635.8499999996</v>
      </c>
      <c r="D207" s="6">
        <v>43613.700000099998</v>
      </c>
      <c r="E207" s="2">
        <v>203</v>
      </c>
      <c r="G207" s="7">
        <f t="shared" si="6"/>
        <v>5009635.8499999996</v>
      </c>
      <c r="H207" s="8">
        <f t="shared" si="7"/>
        <v>3471</v>
      </c>
    </row>
    <row r="208" spans="1:8" x14ac:dyDescent="0.35">
      <c r="A208" s="5">
        <v>3471.5</v>
      </c>
      <c r="B208" s="6">
        <v>3136479.66</v>
      </c>
      <c r="C208" s="6">
        <v>5031479.66</v>
      </c>
      <c r="D208" s="6">
        <v>43761.550000099996</v>
      </c>
      <c r="E208" s="2">
        <v>204</v>
      </c>
      <c r="G208" s="7">
        <f t="shared" si="6"/>
        <v>5031479.66</v>
      </c>
      <c r="H208" s="8">
        <f t="shared" si="7"/>
        <v>3471.5</v>
      </c>
    </row>
    <row r="209" spans="1:8" x14ac:dyDescent="0.35">
      <c r="A209" s="5">
        <v>3472</v>
      </c>
      <c r="B209" s="6">
        <v>3158397.4</v>
      </c>
      <c r="C209" s="6">
        <v>5053397.4000000004</v>
      </c>
      <c r="D209" s="6">
        <v>43909.400000100002</v>
      </c>
      <c r="E209" s="2">
        <v>205</v>
      </c>
      <c r="G209" s="7">
        <f t="shared" si="6"/>
        <v>5053397.4000000004</v>
      </c>
      <c r="H209" s="8">
        <f t="shared" si="7"/>
        <v>3472</v>
      </c>
    </row>
    <row r="210" spans="1:8" x14ac:dyDescent="0.35">
      <c r="A210" s="5">
        <v>3472.5</v>
      </c>
      <c r="B210" s="6">
        <v>3180389.06</v>
      </c>
      <c r="C210" s="6">
        <v>5075389.0600000005</v>
      </c>
      <c r="D210" s="6">
        <v>44057.250000100001</v>
      </c>
      <c r="E210" s="2">
        <v>206</v>
      </c>
      <c r="G210" s="7">
        <f t="shared" si="6"/>
        <v>5075389.0600000005</v>
      </c>
      <c r="H210" s="8">
        <f t="shared" si="7"/>
        <v>3472.5</v>
      </c>
    </row>
    <row r="211" spans="1:8" x14ac:dyDescent="0.35">
      <c r="A211" s="5">
        <v>3473</v>
      </c>
      <c r="B211" s="6">
        <v>3202454.65</v>
      </c>
      <c r="C211" s="6">
        <v>5097454.6500000004</v>
      </c>
      <c r="D211" s="6">
        <v>44205.1</v>
      </c>
      <c r="E211" s="2">
        <v>207</v>
      </c>
      <c r="G211" s="7">
        <f t="shared" si="6"/>
        <v>5097454.6500000004</v>
      </c>
      <c r="H211" s="8">
        <f t="shared" si="7"/>
        <v>3473</v>
      </c>
    </row>
    <row r="212" spans="1:8" x14ac:dyDescent="0.35">
      <c r="A212" s="5">
        <v>3473.5</v>
      </c>
      <c r="B212" s="6">
        <v>3224594.16</v>
      </c>
      <c r="C212" s="6">
        <v>5119594.16</v>
      </c>
      <c r="D212" s="6">
        <v>44352.95</v>
      </c>
      <c r="E212" s="2">
        <v>208</v>
      </c>
      <c r="G212" s="7">
        <f t="shared" si="6"/>
        <v>5119594.16</v>
      </c>
      <c r="H212" s="8">
        <f t="shared" si="7"/>
        <v>3473.5</v>
      </c>
    </row>
    <row r="213" spans="1:8" x14ac:dyDescent="0.35">
      <c r="A213" s="5">
        <v>3474</v>
      </c>
      <c r="B213" s="6">
        <v>3246807.6</v>
      </c>
      <c r="C213" s="6">
        <v>5141807.5999999996</v>
      </c>
      <c r="D213" s="6">
        <v>44500.800000000003</v>
      </c>
      <c r="E213" s="2">
        <v>209</v>
      </c>
      <c r="G213" s="7">
        <f t="shared" si="6"/>
        <v>5141807.5999999996</v>
      </c>
      <c r="H213" s="8">
        <f t="shared" si="7"/>
        <v>3474</v>
      </c>
    </row>
    <row r="214" spans="1:8" x14ac:dyDescent="0.35">
      <c r="A214" s="5">
        <v>3474.5</v>
      </c>
      <c r="B214" s="6">
        <v>3269094.96</v>
      </c>
      <c r="C214" s="6">
        <v>5164094.96</v>
      </c>
      <c r="D214" s="6">
        <v>44648.65</v>
      </c>
      <c r="E214" s="2">
        <v>210</v>
      </c>
      <c r="G214" s="7">
        <f t="shared" si="6"/>
        <v>5164094.96</v>
      </c>
      <c r="H214" s="8">
        <f t="shared" si="7"/>
        <v>3474.5</v>
      </c>
    </row>
    <row r="215" spans="1:8" x14ac:dyDescent="0.35">
      <c r="A215" s="5">
        <v>3475</v>
      </c>
      <c r="B215" s="6">
        <v>3291456.25</v>
      </c>
      <c r="C215" s="6">
        <v>5186456.25</v>
      </c>
      <c r="D215" s="6">
        <v>44796.5</v>
      </c>
      <c r="E215" s="2">
        <v>211</v>
      </c>
      <c r="G215" s="7">
        <f t="shared" si="6"/>
        <v>5186456.25</v>
      </c>
      <c r="H215" s="8">
        <f t="shared" si="7"/>
        <v>3475</v>
      </c>
    </row>
    <row r="216" spans="1:8" x14ac:dyDescent="0.35">
      <c r="A216" s="5">
        <v>3475.5</v>
      </c>
      <c r="B216" s="6">
        <v>3313891.46</v>
      </c>
      <c r="C216" s="6">
        <v>5208891.46</v>
      </c>
      <c r="D216" s="6">
        <v>44944.35</v>
      </c>
      <c r="E216" s="2">
        <v>212</v>
      </c>
      <c r="G216" s="7">
        <f t="shared" si="6"/>
        <v>5208891.46</v>
      </c>
      <c r="H216" s="8">
        <f t="shared" si="7"/>
        <v>3475.5</v>
      </c>
    </row>
    <row r="217" spans="1:8" x14ac:dyDescent="0.35">
      <c r="A217" s="5">
        <v>3476</v>
      </c>
      <c r="B217" s="6">
        <v>3336400.6</v>
      </c>
      <c r="C217" s="6">
        <v>5231400.5999999996</v>
      </c>
      <c r="D217" s="6">
        <v>45092.2</v>
      </c>
      <c r="E217" s="2">
        <v>213</v>
      </c>
      <c r="G217" s="7">
        <f t="shared" si="6"/>
        <v>5231400.5999999996</v>
      </c>
      <c r="H217" s="8">
        <f t="shared" si="7"/>
        <v>3476</v>
      </c>
    </row>
    <row r="218" spans="1:8" x14ac:dyDescent="0.35">
      <c r="A218" s="5">
        <v>3476.5</v>
      </c>
      <c r="B218" s="6">
        <v>3358983.66</v>
      </c>
      <c r="C218" s="6">
        <v>5253983.66</v>
      </c>
      <c r="D218" s="6">
        <v>45240.05</v>
      </c>
      <c r="E218" s="2">
        <v>214</v>
      </c>
      <c r="G218" s="7">
        <f t="shared" si="6"/>
        <v>5253983.66</v>
      </c>
      <c r="H218" s="8">
        <f t="shared" si="7"/>
        <v>3476.5</v>
      </c>
    </row>
    <row r="219" spans="1:8" x14ac:dyDescent="0.35">
      <c r="A219" s="5">
        <v>3477</v>
      </c>
      <c r="B219" s="6">
        <v>3381640.65</v>
      </c>
      <c r="C219" s="6">
        <v>5276640.6500000004</v>
      </c>
      <c r="D219" s="6">
        <v>45387.899999900001</v>
      </c>
      <c r="E219" s="2">
        <v>215</v>
      </c>
      <c r="G219" s="7">
        <f t="shared" si="6"/>
        <v>5276640.6500000004</v>
      </c>
      <c r="H219" s="8">
        <f t="shared" si="7"/>
        <v>3477</v>
      </c>
    </row>
    <row r="220" spans="1:8" x14ac:dyDescent="0.35">
      <c r="A220" s="5">
        <v>3477.5</v>
      </c>
      <c r="B220" s="6">
        <v>3404371.56</v>
      </c>
      <c r="C220" s="6">
        <v>5299371.5600000005</v>
      </c>
      <c r="D220" s="6">
        <v>45535.749999899999</v>
      </c>
      <c r="E220" s="2">
        <v>216</v>
      </c>
      <c r="G220" s="7">
        <f t="shared" si="6"/>
        <v>5299371.5600000005</v>
      </c>
      <c r="H220" s="8">
        <f t="shared" si="7"/>
        <v>3477.5</v>
      </c>
    </row>
    <row r="221" spans="1:8" x14ac:dyDescent="0.35">
      <c r="A221" s="5">
        <v>3478</v>
      </c>
      <c r="B221" s="6">
        <v>3427176.4</v>
      </c>
      <c r="C221" s="6">
        <v>5322176.4000000004</v>
      </c>
      <c r="D221" s="6">
        <v>45683.599999899998</v>
      </c>
      <c r="E221" s="2">
        <v>217</v>
      </c>
      <c r="G221" s="7">
        <f t="shared" si="6"/>
        <v>5322176.4000000004</v>
      </c>
      <c r="H221" s="8">
        <f t="shared" si="7"/>
        <v>3478</v>
      </c>
    </row>
    <row r="222" spans="1:8" x14ac:dyDescent="0.35">
      <c r="A222" s="5">
        <v>3478.5</v>
      </c>
      <c r="B222" s="6">
        <v>3450055.16</v>
      </c>
      <c r="C222" s="6">
        <v>5345055.16</v>
      </c>
      <c r="D222" s="6">
        <v>45831.449999900004</v>
      </c>
      <c r="E222" s="2">
        <v>218</v>
      </c>
      <c r="G222" s="7">
        <f t="shared" si="6"/>
        <v>5345055.16</v>
      </c>
      <c r="H222" s="8">
        <f t="shared" si="7"/>
        <v>3478.5</v>
      </c>
    </row>
    <row r="223" spans="1:8" x14ac:dyDescent="0.35">
      <c r="A223" s="5">
        <v>3479</v>
      </c>
      <c r="B223" s="6">
        <v>3473007.85</v>
      </c>
      <c r="C223" s="6">
        <v>5368007.8499999996</v>
      </c>
      <c r="D223" s="6">
        <v>45979.299999900002</v>
      </c>
      <c r="E223" s="2">
        <v>219</v>
      </c>
      <c r="G223" s="7">
        <f t="shared" si="6"/>
        <v>5368007.8499999996</v>
      </c>
      <c r="H223" s="8">
        <f t="shared" si="7"/>
        <v>3479</v>
      </c>
    </row>
    <row r="224" spans="1:8" x14ac:dyDescent="0.35">
      <c r="A224" s="5">
        <v>3479.5</v>
      </c>
      <c r="B224" s="6">
        <v>3496034.46</v>
      </c>
      <c r="C224" s="6">
        <v>5391034.46</v>
      </c>
      <c r="D224" s="6">
        <v>46127.150000100002</v>
      </c>
      <c r="E224" s="2">
        <v>220</v>
      </c>
      <c r="G224" s="7">
        <f t="shared" si="6"/>
        <v>5391034.46</v>
      </c>
      <c r="H224" s="8">
        <f t="shared" si="7"/>
        <v>3479.5</v>
      </c>
    </row>
    <row r="225" spans="1:8" x14ac:dyDescent="0.35">
      <c r="A225" s="5">
        <v>3480</v>
      </c>
      <c r="B225" s="6">
        <v>3519135</v>
      </c>
      <c r="C225" s="6">
        <v>5414135</v>
      </c>
      <c r="D225" s="6">
        <v>46275.000000100001</v>
      </c>
      <c r="E225" s="2">
        <v>221</v>
      </c>
      <c r="G225" s="7">
        <f t="shared" si="6"/>
        <v>5414135</v>
      </c>
      <c r="H225" s="8">
        <f t="shared" si="7"/>
        <v>3480</v>
      </c>
    </row>
    <row r="226" spans="1:8" x14ac:dyDescent="0.35">
      <c r="A226" s="5">
        <v>3480.5</v>
      </c>
      <c r="B226" s="6">
        <v>3542310.69</v>
      </c>
      <c r="C226" s="6">
        <v>5437310.6899999995</v>
      </c>
      <c r="D226" s="6">
        <v>46427.769999900003</v>
      </c>
      <c r="E226" s="2">
        <v>222</v>
      </c>
      <c r="G226" s="7">
        <f t="shared" si="6"/>
        <v>5437310.6899999995</v>
      </c>
      <c r="H226" s="8">
        <f t="shared" si="7"/>
        <v>3480.5</v>
      </c>
    </row>
    <row r="227" spans="1:8" x14ac:dyDescent="0.35">
      <c r="A227" s="5">
        <v>3481</v>
      </c>
      <c r="B227" s="6">
        <v>3565562.77</v>
      </c>
      <c r="C227" s="6">
        <v>5460562.7699999996</v>
      </c>
      <c r="D227" s="6">
        <v>46580.549999900002</v>
      </c>
      <c r="E227" s="2">
        <v>223</v>
      </c>
      <c r="G227" s="7">
        <f t="shared" si="6"/>
        <v>5460562.7699999996</v>
      </c>
      <c r="H227" s="8">
        <f t="shared" si="7"/>
        <v>3481</v>
      </c>
    </row>
    <row r="228" spans="1:8" x14ac:dyDescent="0.35">
      <c r="A228" s="5">
        <v>3481.5</v>
      </c>
      <c r="B228" s="6">
        <v>3588891.24</v>
      </c>
      <c r="C228" s="6">
        <v>5483891.2400000002</v>
      </c>
      <c r="D228" s="6">
        <v>46733.32</v>
      </c>
      <c r="E228" s="2">
        <v>224</v>
      </c>
      <c r="G228" s="7">
        <f t="shared" si="6"/>
        <v>5483891.2400000002</v>
      </c>
      <c r="H228" s="8">
        <f t="shared" si="7"/>
        <v>3481.5</v>
      </c>
    </row>
    <row r="229" spans="1:8" x14ac:dyDescent="0.35">
      <c r="A229" s="5">
        <v>3482</v>
      </c>
      <c r="B229" s="6">
        <v>3612296.1</v>
      </c>
      <c r="C229" s="6">
        <v>5507296.0999999996</v>
      </c>
      <c r="D229" s="6">
        <v>46886.099999899998</v>
      </c>
      <c r="E229" s="2">
        <v>225</v>
      </c>
      <c r="G229" s="7">
        <f t="shared" si="6"/>
        <v>5507296.0999999996</v>
      </c>
      <c r="H229" s="8">
        <f t="shared" si="7"/>
        <v>3482</v>
      </c>
    </row>
    <row r="230" spans="1:8" x14ac:dyDescent="0.35">
      <c r="A230" s="5">
        <v>3482.5</v>
      </c>
      <c r="B230" s="6">
        <v>3635777.34</v>
      </c>
      <c r="C230" s="6">
        <v>5530777.3399999999</v>
      </c>
      <c r="D230" s="6">
        <v>47038.87</v>
      </c>
      <c r="E230" s="2">
        <v>226</v>
      </c>
      <c r="G230" s="7">
        <f t="shared" si="6"/>
        <v>5530777.3399999999</v>
      </c>
      <c r="H230" s="8">
        <f t="shared" si="7"/>
        <v>3482.5</v>
      </c>
    </row>
    <row r="231" spans="1:8" x14ac:dyDescent="0.35">
      <c r="A231" s="5">
        <v>3483</v>
      </c>
      <c r="B231" s="6">
        <v>3659334.97</v>
      </c>
      <c r="C231" s="6">
        <v>5554334.9700000007</v>
      </c>
      <c r="D231" s="6">
        <v>47191.65</v>
      </c>
      <c r="E231" s="2">
        <v>227</v>
      </c>
      <c r="G231" s="7">
        <f t="shared" si="6"/>
        <v>5554334.9700000007</v>
      </c>
      <c r="H231" s="8">
        <f t="shared" si="7"/>
        <v>3483</v>
      </c>
    </row>
    <row r="232" spans="1:8" x14ac:dyDescent="0.35">
      <c r="A232" s="5">
        <v>3483.5</v>
      </c>
      <c r="B232" s="6">
        <v>3682968.99</v>
      </c>
      <c r="C232" s="6">
        <v>5577968.9900000002</v>
      </c>
      <c r="D232" s="6">
        <v>47344.42</v>
      </c>
      <c r="E232" s="2">
        <v>228</v>
      </c>
      <c r="G232" s="7">
        <f t="shared" si="6"/>
        <v>5577968.9900000002</v>
      </c>
      <c r="H232" s="8">
        <f t="shared" si="7"/>
        <v>3483.5</v>
      </c>
    </row>
    <row r="233" spans="1:8" x14ac:dyDescent="0.35">
      <c r="A233" s="5">
        <v>3484</v>
      </c>
      <c r="B233" s="6">
        <v>3706679.4</v>
      </c>
      <c r="C233" s="6">
        <v>5601679.4000000004</v>
      </c>
      <c r="D233" s="6">
        <v>47497.2</v>
      </c>
      <c r="E233" s="2">
        <v>229</v>
      </c>
      <c r="G233" s="7">
        <f t="shared" si="6"/>
        <v>5601679.4000000004</v>
      </c>
      <c r="H233" s="8">
        <f t="shared" si="7"/>
        <v>3484</v>
      </c>
    </row>
    <row r="234" spans="1:8" x14ac:dyDescent="0.35">
      <c r="A234" s="5">
        <v>3484.5</v>
      </c>
      <c r="B234" s="6">
        <v>3730466.19</v>
      </c>
      <c r="C234" s="6">
        <v>5625466.1899999995</v>
      </c>
      <c r="D234" s="6">
        <v>47649.970000100002</v>
      </c>
      <c r="E234" s="2">
        <v>230</v>
      </c>
      <c r="G234" s="7">
        <f t="shared" si="6"/>
        <v>5625466.1899999995</v>
      </c>
      <c r="H234" s="8">
        <f t="shared" si="7"/>
        <v>3484.5</v>
      </c>
    </row>
    <row r="235" spans="1:8" x14ac:dyDescent="0.35">
      <c r="A235" s="5">
        <v>3485</v>
      </c>
      <c r="B235" s="6">
        <v>3754329.37</v>
      </c>
      <c r="C235" s="6">
        <v>5649329.3700000001</v>
      </c>
      <c r="D235" s="6">
        <v>47802.75</v>
      </c>
      <c r="E235" s="2">
        <v>231</v>
      </c>
      <c r="G235" s="7">
        <f t="shared" si="6"/>
        <v>5649329.3700000001</v>
      </c>
      <c r="H235" s="8">
        <f t="shared" si="7"/>
        <v>3485</v>
      </c>
    </row>
    <row r="236" spans="1:8" x14ac:dyDescent="0.35">
      <c r="A236" s="5">
        <v>3485.5</v>
      </c>
      <c r="B236" s="6">
        <v>3778268.94</v>
      </c>
      <c r="C236" s="6">
        <v>5673268.9399999995</v>
      </c>
      <c r="D236" s="6">
        <v>47955.520000099998</v>
      </c>
      <c r="E236" s="2">
        <v>232</v>
      </c>
      <c r="G236" s="7">
        <f t="shared" si="6"/>
        <v>5673268.9399999995</v>
      </c>
      <c r="H236" s="8">
        <f t="shared" si="7"/>
        <v>3485.5</v>
      </c>
    </row>
    <row r="237" spans="1:8" x14ac:dyDescent="0.35">
      <c r="A237" s="5">
        <v>3486</v>
      </c>
      <c r="B237" s="6">
        <v>3802284.9</v>
      </c>
      <c r="C237" s="6">
        <v>5697284.9000000004</v>
      </c>
      <c r="D237" s="6">
        <v>48108.300000099996</v>
      </c>
      <c r="E237" s="2">
        <v>233</v>
      </c>
      <c r="G237" s="7">
        <f t="shared" si="6"/>
        <v>5697284.9000000004</v>
      </c>
      <c r="H237" s="8">
        <f t="shared" si="7"/>
        <v>3486</v>
      </c>
    </row>
    <row r="238" spans="1:8" x14ac:dyDescent="0.35">
      <c r="A238" s="5">
        <v>3486.5</v>
      </c>
      <c r="B238" s="6">
        <v>3826377.24</v>
      </c>
      <c r="C238" s="6">
        <v>5721377.2400000002</v>
      </c>
      <c r="D238" s="6">
        <v>48261.069999899999</v>
      </c>
      <c r="E238" s="2">
        <v>234</v>
      </c>
      <c r="G238" s="7">
        <f t="shared" si="6"/>
        <v>5721377.2400000002</v>
      </c>
      <c r="H238" s="8">
        <f t="shared" si="7"/>
        <v>3486.5</v>
      </c>
    </row>
    <row r="239" spans="1:8" x14ac:dyDescent="0.35">
      <c r="A239" s="5">
        <v>3487</v>
      </c>
      <c r="B239" s="6">
        <v>3850545.97</v>
      </c>
      <c r="C239" s="6">
        <v>5745545.9700000007</v>
      </c>
      <c r="D239" s="6">
        <v>48413.850000099999</v>
      </c>
      <c r="E239" s="2">
        <v>235</v>
      </c>
      <c r="G239" s="7">
        <f t="shared" si="6"/>
        <v>5745545.9700000007</v>
      </c>
      <c r="H239" s="8">
        <f t="shared" si="7"/>
        <v>3487</v>
      </c>
    </row>
    <row r="240" spans="1:8" x14ac:dyDescent="0.35">
      <c r="A240" s="5">
        <v>3487.5</v>
      </c>
      <c r="B240" s="6">
        <v>3874791.09</v>
      </c>
      <c r="C240" s="6">
        <v>5769791.0899999999</v>
      </c>
      <c r="D240" s="6">
        <v>48566.619999900002</v>
      </c>
      <c r="E240" s="2">
        <v>236</v>
      </c>
      <c r="G240" s="7">
        <f t="shared" si="6"/>
        <v>5769791.0899999999</v>
      </c>
      <c r="H240" s="8">
        <f t="shared" si="7"/>
        <v>3487.5</v>
      </c>
    </row>
    <row r="241" spans="1:8" x14ac:dyDescent="0.35">
      <c r="A241" s="5">
        <v>3488</v>
      </c>
      <c r="B241" s="6">
        <v>3899112.6</v>
      </c>
      <c r="C241" s="6">
        <v>5794112.5999999996</v>
      </c>
      <c r="D241" s="6">
        <v>48719.399999900001</v>
      </c>
      <c r="E241" s="2">
        <v>237</v>
      </c>
      <c r="G241" s="7">
        <f t="shared" si="6"/>
        <v>5794112.5999999996</v>
      </c>
      <c r="H241" s="8">
        <f t="shared" si="7"/>
        <v>3488</v>
      </c>
    </row>
    <row r="242" spans="1:8" x14ac:dyDescent="0.35">
      <c r="A242" s="5">
        <v>3488.5</v>
      </c>
      <c r="B242" s="6">
        <v>3923510.49</v>
      </c>
      <c r="C242" s="6">
        <v>5818510.4900000002</v>
      </c>
      <c r="D242" s="6">
        <v>48872.17</v>
      </c>
      <c r="E242" s="2">
        <v>238</v>
      </c>
      <c r="G242" s="7">
        <f t="shared" si="6"/>
        <v>5818510.4900000002</v>
      </c>
      <c r="H242" s="8">
        <f t="shared" si="7"/>
        <v>3488.5</v>
      </c>
    </row>
    <row r="243" spans="1:8" x14ac:dyDescent="0.35">
      <c r="A243" s="5">
        <v>3489</v>
      </c>
      <c r="B243" s="6">
        <v>3947984.77</v>
      </c>
      <c r="C243" s="6">
        <v>5842984.7699999996</v>
      </c>
      <c r="D243" s="6">
        <v>49024.949999900004</v>
      </c>
      <c r="E243" s="2">
        <v>239</v>
      </c>
      <c r="G243" s="7">
        <f t="shared" si="6"/>
        <v>5842984.7699999996</v>
      </c>
      <c r="H243" s="8">
        <f t="shared" si="7"/>
        <v>3489</v>
      </c>
    </row>
    <row r="244" spans="1:8" x14ac:dyDescent="0.35">
      <c r="A244" s="5">
        <v>3489.5</v>
      </c>
      <c r="B244" s="6">
        <v>3972535.44</v>
      </c>
      <c r="C244" s="6">
        <v>5867535.4399999995</v>
      </c>
      <c r="D244" s="6">
        <v>49177.72</v>
      </c>
      <c r="E244" s="2">
        <v>240</v>
      </c>
      <c r="G244" s="7">
        <f t="shared" si="6"/>
        <v>5867535.4399999995</v>
      </c>
      <c r="H244" s="8">
        <f t="shared" si="7"/>
        <v>3489.5</v>
      </c>
    </row>
    <row r="245" spans="1:8" x14ac:dyDescent="0.35">
      <c r="A245" s="5">
        <v>3490</v>
      </c>
      <c r="B245" s="6">
        <v>3997162.5</v>
      </c>
      <c r="C245" s="6">
        <v>5892162.5</v>
      </c>
      <c r="D245" s="6">
        <v>49330.499999899999</v>
      </c>
      <c r="E245" s="2">
        <v>241</v>
      </c>
      <c r="G245" s="7">
        <f t="shared" si="6"/>
        <v>5892162.5</v>
      </c>
      <c r="H245" s="8">
        <f t="shared" si="7"/>
        <v>3490</v>
      </c>
    </row>
    <row r="246" spans="1:8" x14ac:dyDescent="0.35">
      <c r="A246" s="5">
        <v>3490.5</v>
      </c>
      <c r="B246" s="6">
        <v>4021865.94</v>
      </c>
      <c r="C246" s="6">
        <v>5916865.9399999995</v>
      </c>
      <c r="D246" s="6">
        <v>49483.27</v>
      </c>
      <c r="E246" s="2">
        <v>242</v>
      </c>
      <c r="G246" s="7">
        <f t="shared" si="6"/>
        <v>5916865.9399999995</v>
      </c>
      <c r="H246" s="8">
        <f t="shared" si="7"/>
        <v>3490.5</v>
      </c>
    </row>
    <row r="247" spans="1:8" x14ac:dyDescent="0.35">
      <c r="A247" s="5">
        <v>3491</v>
      </c>
      <c r="B247" s="6">
        <v>4046645.77</v>
      </c>
      <c r="C247" s="6">
        <v>5941645.7699999996</v>
      </c>
      <c r="D247" s="6">
        <v>49636.05</v>
      </c>
      <c r="E247" s="2">
        <v>243</v>
      </c>
      <c r="G247" s="7">
        <f t="shared" si="6"/>
        <v>5941645.7699999996</v>
      </c>
      <c r="H247" s="8">
        <f t="shared" si="7"/>
        <v>3491</v>
      </c>
    </row>
    <row r="248" spans="1:8" x14ac:dyDescent="0.35">
      <c r="A248" s="5">
        <v>3491.5</v>
      </c>
      <c r="B248" s="6">
        <v>4071501.99</v>
      </c>
      <c r="C248" s="6">
        <v>5966501.9900000002</v>
      </c>
      <c r="D248" s="6">
        <v>49788.8200001</v>
      </c>
      <c r="E248" s="2">
        <v>244</v>
      </c>
      <c r="G248" s="7">
        <f t="shared" si="6"/>
        <v>5966501.9900000002</v>
      </c>
      <c r="H248" s="8">
        <f t="shared" si="7"/>
        <v>3491.5</v>
      </c>
    </row>
    <row r="249" spans="1:8" x14ac:dyDescent="0.35">
      <c r="A249" s="5">
        <v>3492</v>
      </c>
      <c r="B249" s="6">
        <v>4096434.6</v>
      </c>
      <c r="C249" s="6">
        <v>5991434.5999999996</v>
      </c>
      <c r="D249" s="6">
        <v>49941.599999999999</v>
      </c>
      <c r="E249" s="2">
        <v>245</v>
      </c>
      <c r="G249" s="7">
        <f t="shared" si="6"/>
        <v>5991434.5999999996</v>
      </c>
      <c r="H249" s="8">
        <f t="shared" si="7"/>
        <v>3492</v>
      </c>
    </row>
    <row r="250" spans="1:8" x14ac:dyDescent="0.35">
      <c r="A250" s="5">
        <v>3492.5</v>
      </c>
      <c r="B250" s="6">
        <v>4121443.59</v>
      </c>
      <c r="C250" s="6">
        <v>6016443.5899999999</v>
      </c>
      <c r="D250" s="6">
        <v>50094.370000100003</v>
      </c>
      <c r="E250" s="2">
        <v>246</v>
      </c>
      <c r="G250" s="7">
        <f t="shared" si="6"/>
        <v>6016443.5899999999</v>
      </c>
      <c r="H250" s="8">
        <f t="shared" si="7"/>
        <v>3492.5</v>
      </c>
    </row>
    <row r="251" spans="1:8" x14ac:dyDescent="0.35">
      <c r="A251" s="5">
        <v>3493</v>
      </c>
      <c r="B251" s="6">
        <v>4146528.97</v>
      </c>
      <c r="C251" s="6">
        <v>6041528.9700000007</v>
      </c>
      <c r="D251" s="6">
        <v>50247.150000100002</v>
      </c>
      <c r="E251" s="2">
        <v>247</v>
      </c>
      <c r="G251" s="7">
        <f t="shared" si="6"/>
        <v>6041528.9700000007</v>
      </c>
      <c r="H251" s="8">
        <f t="shared" si="7"/>
        <v>3493</v>
      </c>
    </row>
    <row r="252" spans="1:8" x14ac:dyDescent="0.35">
      <c r="A252" s="5">
        <v>3493.5</v>
      </c>
      <c r="B252" s="6">
        <v>4171690.74</v>
      </c>
      <c r="C252" s="6">
        <v>6066690.7400000002</v>
      </c>
      <c r="D252" s="6">
        <v>50399.919999899997</v>
      </c>
      <c r="E252" s="2">
        <v>248</v>
      </c>
      <c r="G252" s="7">
        <f t="shared" si="6"/>
        <v>6066690.7400000002</v>
      </c>
      <c r="H252" s="8">
        <f t="shared" si="7"/>
        <v>3493.5</v>
      </c>
    </row>
    <row r="253" spans="1:8" x14ac:dyDescent="0.35">
      <c r="A253" s="5">
        <v>3494</v>
      </c>
      <c r="B253" s="6">
        <v>4196928.9000000004</v>
      </c>
      <c r="C253" s="6">
        <v>6091928.9000000004</v>
      </c>
      <c r="D253" s="6">
        <v>50552.700000099998</v>
      </c>
      <c r="E253" s="2">
        <v>249</v>
      </c>
      <c r="G253" s="7">
        <f t="shared" si="6"/>
        <v>6091928.9000000004</v>
      </c>
      <c r="H253" s="8">
        <f t="shared" si="7"/>
        <v>3494</v>
      </c>
    </row>
    <row r="254" spans="1:8" x14ac:dyDescent="0.35">
      <c r="A254" s="5">
        <v>3494.5</v>
      </c>
      <c r="B254" s="6">
        <v>4222243.4400000004</v>
      </c>
      <c r="C254" s="6">
        <v>6117243.4400000004</v>
      </c>
      <c r="D254" s="6">
        <v>50705.4699999</v>
      </c>
      <c r="E254" s="2">
        <v>250</v>
      </c>
      <c r="G254" s="7">
        <f t="shared" si="6"/>
        <v>6117243.4400000004</v>
      </c>
      <c r="H254" s="8">
        <f t="shared" si="7"/>
        <v>3494.5</v>
      </c>
    </row>
    <row r="255" spans="1:8" x14ac:dyDescent="0.35">
      <c r="A255" s="5">
        <v>3495</v>
      </c>
      <c r="B255" s="6">
        <v>4247634.37</v>
      </c>
      <c r="C255" s="6">
        <v>6142634.3700000001</v>
      </c>
      <c r="D255" s="6">
        <v>50858.250000100001</v>
      </c>
      <c r="E255" s="2">
        <v>251</v>
      </c>
      <c r="G255" s="7">
        <f t="shared" si="6"/>
        <v>6142634.3700000001</v>
      </c>
      <c r="H255" s="8">
        <f t="shared" si="7"/>
        <v>3495</v>
      </c>
    </row>
    <row r="256" spans="1:8" x14ac:dyDescent="0.35">
      <c r="A256" s="5">
        <v>3495.5</v>
      </c>
      <c r="B256" s="6">
        <v>4273101.6900000004</v>
      </c>
      <c r="C256" s="6">
        <v>6168101.6900000004</v>
      </c>
      <c r="D256" s="6">
        <v>51011.02</v>
      </c>
      <c r="E256" s="2">
        <v>252</v>
      </c>
      <c r="G256" s="7">
        <f t="shared" si="6"/>
        <v>6168101.6900000004</v>
      </c>
      <c r="H256" s="8">
        <f t="shared" si="7"/>
        <v>3495.5</v>
      </c>
    </row>
    <row r="257" spans="1:8" x14ac:dyDescent="0.35">
      <c r="A257" s="5">
        <v>3496</v>
      </c>
      <c r="B257" s="6">
        <v>4298645.4000000004</v>
      </c>
      <c r="C257" s="6">
        <v>6193645.4000000004</v>
      </c>
      <c r="D257" s="6">
        <v>51163.799999900002</v>
      </c>
      <c r="E257" s="2">
        <v>253</v>
      </c>
      <c r="G257" s="7">
        <f t="shared" si="6"/>
        <v>6193645.4000000004</v>
      </c>
      <c r="H257" s="8">
        <f t="shared" si="7"/>
        <v>3496</v>
      </c>
    </row>
    <row r="258" spans="1:8" x14ac:dyDescent="0.35">
      <c r="A258" s="5">
        <v>3496.5</v>
      </c>
      <c r="B258" s="6">
        <v>4324265.49</v>
      </c>
      <c r="C258" s="6">
        <v>6219265.4900000002</v>
      </c>
      <c r="D258" s="6">
        <v>51316.57</v>
      </c>
      <c r="E258" s="2">
        <v>254</v>
      </c>
      <c r="G258" s="7">
        <f t="shared" si="6"/>
        <v>6219265.4900000002</v>
      </c>
      <c r="H258" s="8">
        <f t="shared" si="7"/>
        <v>3496.5</v>
      </c>
    </row>
    <row r="259" spans="1:8" x14ac:dyDescent="0.35">
      <c r="A259" s="5">
        <v>3497</v>
      </c>
      <c r="B259" s="6">
        <v>4349961.97</v>
      </c>
      <c r="C259" s="6">
        <v>6244961.9699999997</v>
      </c>
      <c r="D259" s="6">
        <v>51469.349999899998</v>
      </c>
      <c r="E259" s="2">
        <v>255</v>
      </c>
      <c r="G259" s="7">
        <f t="shared" si="6"/>
        <v>6244961.9699999997</v>
      </c>
      <c r="H259" s="8">
        <f t="shared" si="7"/>
        <v>3497</v>
      </c>
    </row>
    <row r="260" spans="1:8" x14ac:dyDescent="0.35">
      <c r="A260" s="5">
        <v>3497.5</v>
      </c>
      <c r="B260" s="6">
        <v>4375734.84</v>
      </c>
      <c r="C260" s="6">
        <v>6270734.8399999999</v>
      </c>
      <c r="D260" s="6">
        <v>51622.12</v>
      </c>
      <c r="E260" s="2">
        <v>256</v>
      </c>
      <c r="G260" s="7">
        <f t="shared" si="6"/>
        <v>6270734.8399999999</v>
      </c>
      <c r="H260" s="8">
        <f t="shared" si="7"/>
        <v>3497.5</v>
      </c>
    </row>
    <row r="261" spans="1:8" x14ac:dyDescent="0.35">
      <c r="A261" s="5">
        <v>3498</v>
      </c>
      <c r="B261" s="6">
        <v>4401584.0999999996</v>
      </c>
      <c r="C261" s="6">
        <v>6296584.0999999996</v>
      </c>
      <c r="D261" s="6">
        <v>51774.9</v>
      </c>
      <c r="E261" s="2">
        <v>257</v>
      </c>
      <c r="G261" s="7">
        <f t="shared" si="6"/>
        <v>6296584.0999999996</v>
      </c>
      <c r="H261" s="8">
        <f t="shared" si="7"/>
        <v>3498</v>
      </c>
    </row>
    <row r="262" spans="1:8" x14ac:dyDescent="0.35">
      <c r="A262" s="5">
        <v>3498.5</v>
      </c>
      <c r="B262" s="6">
        <v>4427509.74</v>
      </c>
      <c r="C262" s="6">
        <v>6322509.7400000002</v>
      </c>
      <c r="D262" s="6">
        <v>51927.670000099999</v>
      </c>
      <c r="E262" s="2">
        <v>258</v>
      </c>
      <c r="G262" s="7">
        <f t="shared" ref="G262:G325" si="8">C262</f>
        <v>6322509.7400000002</v>
      </c>
      <c r="H262" s="8">
        <f t="shared" ref="H262:H325" si="9">A262</f>
        <v>3498.5</v>
      </c>
    </row>
    <row r="263" spans="1:8" x14ac:dyDescent="0.35">
      <c r="A263" s="5">
        <v>3499</v>
      </c>
      <c r="B263" s="6">
        <v>4453511.7699999996</v>
      </c>
      <c r="C263" s="6">
        <v>6348511.7699999996</v>
      </c>
      <c r="D263" s="6">
        <v>52080.45</v>
      </c>
      <c r="E263" s="2">
        <v>259</v>
      </c>
      <c r="G263" s="7">
        <f t="shared" si="8"/>
        <v>6348511.7699999996</v>
      </c>
      <c r="H263" s="8">
        <f t="shared" si="9"/>
        <v>3499</v>
      </c>
    </row>
    <row r="264" spans="1:8" x14ac:dyDescent="0.35">
      <c r="A264" s="5">
        <v>3499.5</v>
      </c>
      <c r="B264" s="6">
        <v>4479590.1900000004</v>
      </c>
      <c r="C264" s="6">
        <v>6374590.1900000004</v>
      </c>
      <c r="D264" s="6">
        <v>52233.220000100002</v>
      </c>
      <c r="E264" s="2">
        <v>260</v>
      </c>
      <c r="G264" s="7">
        <f t="shared" si="8"/>
        <v>6374590.1900000004</v>
      </c>
      <c r="H264" s="8">
        <f t="shared" si="9"/>
        <v>3499.5</v>
      </c>
    </row>
    <row r="265" spans="1:8" x14ac:dyDescent="0.35">
      <c r="A265" s="5">
        <v>3500</v>
      </c>
      <c r="B265" s="6">
        <v>4505745</v>
      </c>
      <c r="C265" s="6">
        <v>6400745</v>
      </c>
      <c r="D265" s="6">
        <v>52386</v>
      </c>
      <c r="E265" s="2">
        <v>261</v>
      </c>
      <c r="G265" s="7">
        <f t="shared" si="8"/>
        <v>6400745</v>
      </c>
      <c r="H265" s="8">
        <f t="shared" si="9"/>
        <v>3500</v>
      </c>
    </row>
    <row r="266" spans="1:8" x14ac:dyDescent="0.35">
      <c r="A266" s="5">
        <v>3500.5</v>
      </c>
      <c r="B266" s="6">
        <v>4531982.3099999996</v>
      </c>
      <c r="C266" s="6">
        <v>6426982.3099999996</v>
      </c>
      <c r="D266" s="6">
        <v>52563.250000100001</v>
      </c>
      <c r="E266" s="2">
        <v>262</v>
      </c>
      <c r="G266" s="7">
        <f t="shared" si="8"/>
        <v>6426982.3099999996</v>
      </c>
      <c r="H266" s="8">
        <f t="shared" si="9"/>
        <v>3500.5</v>
      </c>
    </row>
    <row r="267" spans="1:8" x14ac:dyDescent="0.35">
      <c r="A267" s="5">
        <v>3501</v>
      </c>
      <c r="B267" s="6">
        <v>4558308.25</v>
      </c>
      <c r="C267" s="6">
        <v>6453308.25</v>
      </c>
      <c r="D267" s="6">
        <v>52740.500000100001</v>
      </c>
      <c r="E267" s="2">
        <v>263</v>
      </c>
      <c r="G267" s="7">
        <f t="shared" si="8"/>
        <v>6453308.25</v>
      </c>
      <c r="H267" s="8">
        <f t="shared" si="9"/>
        <v>3501</v>
      </c>
    </row>
    <row r="268" spans="1:8" x14ac:dyDescent="0.35">
      <c r="A268" s="5">
        <v>3501.5</v>
      </c>
      <c r="B268" s="6">
        <v>4584722.8099999996</v>
      </c>
      <c r="C268" s="6">
        <v>6479722.8099999996</v>
      </c>
      <c r="D268" s="6">
        <v>52917.749999899999</v>
      </c>
      <c r="E268" s="2">
        <v>264</v>
      </c>
      <c r="G268" s="7">
        <f t="shared" si="8"/>
        <v>6479722.8099999996</v>
      </c>
      <c r="H268" s="8">
        <f t="shared" si="9"/>
        <v>3501.5</v>
      </c>
    </row>
    <row r="269" spans="1:8" x14ac:dyDescent="0.35">
      <c r="A269" s="5">
        <v>3502</v>
      </c>
      <c r="B269" s="6">
        <v>4611226</v>
      </c>
      <c r="C269" s="6">
        <v>6506226</v>
      </c>
      <c r="D269" s="6">
        <v>53094.999999899999</v>
      </c>
      <c r="E269" s="2">
        <v>265</v>
      </c>
      <c r="G269" s="7">
        <f t="shared" si="8"/>
        <v>6506226</v>
      </c>
      <c r="H269" s="8">
        <f t="shared" si="9"/>
        <v>3502</v>
      </c>
    </row>
    <row r="270" spans="1:8" x14ac:dyDescent="0.35">
      <c r="A270" s="5">
        <v>3502.5</v>
      </c>
      <c r="B270" s="6">
        <v>4637817.8099999996</v>
      </c>
      <c r="C270" s="6">
        <v>6532817.8099999996</v>
      </c>
      <c r="D270" s="6">
        <v>53272.25</v>
      </c>
      <c r="E270" s="2">
        <v>266</v>
      </c>
      <c r="G270" s="7">
        <f t="shared" si="8"/>
        <v>6532817.8099999996</v>
      </c>
      <c r="H270" s="8">
        <f t="shared" si="9"/>
        <v>3502.5</v>
      </c>
    </row>
    <row r="271" spans="1:8" x14ac:dyDescent="0.35">
      <c r="A271" s="5">
        <v>3503</v>
      </c>
      <c r="B271" s="6">
        <v>4664498.25</v>
      </c>
      <c r="C271" s="6">
        <v>6559498.25</v>
      </c>
      <c r="D271" s="6">
        <v>53449.5</v>
      </c>
      <c r="E271" s="2">
        <v>267</v>
      </c>
      <c r="G271" s="7">
        <f t="shared" si="8"/>
        <v>6559498.25</v>
      </c>
      <c r="H271" s="8">
        <f t="shared" si="9"/>
        <v>3503</v>
      </c>
    </row>
    <row r="272" spans="1:8" x14ac:dyDescent="0.35">
      <c r="A272" s="5">
        <v>3503.5</v>
      </c>
      <c r="B272" s="6">
        <v>4691267.3099999996</v>
      </c>
      <c r="C272" s="6">
        <v>6586267.3099999996</v>
      </c>
      <c r="D272" s="6">
        <v>53626.75</v>
      </c>
      <c r="E272" s="2">
        <v>268</v>
      </c>
      <c r="G272" s="7">
        <f t="shared" si="8"/>
        <v>6586267.3099999996</v>
      </c>
      <c r="H272" s="8">
        <f t="shared" si="9"/>
        <v>3503.5</v>
      </c>
    </row>
    <row r="273" spans="1:8" x14ac:dyDescent="0.35">
      <c r="A273" s="5">
        <v>3504</v>
      </c>
      <c r="B273" s="6">
        <v>4718125</v>
      </c>
      <c r="C273" s="6">
        <v>6613125</v>
      </c>
      <c r="D273" s="6">
        <v>53804</v>
      </c>
      <c r="E273" s="2">
        <v>269</v>
      </c>
      <c r="G273" s="7">
        <f t="shared" si="8"/>
        <v>6613125</v>
      </c>
      <c r="H273" s="8">
        <f t="shared" si="9"/>
        <v>3504</v>
      </c>
    </row>
    <row r="274" spans="1:8" x14ac:dyDescent="0.35">
      <c r="A274" s="5">
        <v>3504.5</v>
      </c>
      <c r="B274" s="6">
        <v>4745071.3099999996</v>
      </c>
      <c r="C274" s="6">
        <v>6640071.3099999996</v>
      </c>
      <c r="D274" s="6">
        <v>53981.250000100001</v>
      </c>
      <c r="E274" s="2">
        <v>270</v>
      </c>
      <c r="G274" s="7">
        <f t="shared" si="8"/>
        <v>6640071.3099999996</v>
      </c>
      <c r="H274" s="8">
        <f t="shared" si="9"/>
        <v>3504.5</v>
      </c>
    </row>
    <row r="275" spans="1:8" x14ac:dyDescent="0.35">
      <c r="A275" s="5">
        <v>3505</v>
      </c>
      <c r="B275" s="6">
        <v>4772106.25</v>
      </c>
      <c r="C275" s="6">
        <v>6667106.25</v>
      </c>
      <c r="D275" s="6">
        <v>54158.500000100001</v>
      </c>
      <c r="E275" s="2">
        <v>271</v>
      </c>
      <c r="G275" s="7">
        <f t="shared" si="8"/>
        <v>6667106.25</v>
      </c>
      <c r="H275" s="8">
        <f t="shared" si="9"/>
        <v>3505</v>
      </c>
    </row>
    <row r="276" spans="1:8" x14ac:dyDescent="0.35">
      <c r="A276" s="5">
        <v>3505.5</v>
      </c>
      <c r="B276" s="6">
        <v>4799229.8099999996</v>
      </c>
      <c r="C276" s="6">
        <v>6694229.8099999996</v>
      </c>
      <c r="D276" s="6">
        <v>54335.749999899999</v>
      </c>
      <c r="E276" s="2">
        <v>272</v>
      </c>
      <c r="G276" s="7">
        <f t="shared" si="8"/>
        <v>6694229.8099999996</v>
      </c>
      <c r="H276" s="8">
        <f t="shared" si="9"/>
        <v>3505.5</v>
      </c>
    </row>
    <row r="277" spans="1:8" x14ac:dyDescent="0.35">
      <c r="A277" s="5">
        <v>3506</v>
      </c>
      <c r="B277" s="6">
        <v>4826442</v>
      </c>
      <c r="C277" s="6">
        <v>6721442</v>
      </c>
      <c r="D277" s="6">
        <v>54512.999999899999</v>
      </c>
      <c r="E277" s="2">
        <v>273</v>
      </c>
      <c r="G277" s="7">
        <f t="shared" si="8"/>
        <v>6721442</v>
      </c>
      <c r="H277" s="8">
        <f t="shared" si="9"/>
        <v>3506</v>
      </c>
    </row>
    <row r="278" spans="1:8" x14ac:dyDescent="0.35">
      <c r="A278" s="5">
        <v>3506.5</v>
      </c>
      <c r="B278" s="6">
        <v>4853742.8099999996</v>
      </c>
      <c r="C278" s="6">
        <v>6748742.8099999996</v>
      </c>
      <c r="D278" s="6">
        <v>54690.25</v>
      </c>
      <c r="E278" s="2">
        <v>274</v>
      </c>
      <c r="G278" s="7">
        <f t="shared" si="8"/>
        <v>6748742.8099999996</v>
      </c>
      <c r="H278" s="8">
        <f t="shared" si="9"/>
        <v>3506.5</v>
      </c>
    </row>
    <row r="279" spans="1:8" x14ac:dyDescent="0.35">
      <c r="A279" s="5">
        <v>3507</v>
      </c>
      <c r="B279" s="6">
        <v>4881132.25</v>
      </c>
      <c r="C279" s="6">
        <v>6776132.25</v>
      </c>
      <c r="D279" s="6">
        <v>54867.5</v>
      </c>
      <c r="E279" s="2">
        <v>275</v>
      </c>
      <c r="G279" s="7">
        <f t="shared" si="8"/>
        <v>6776132.25</v>
      </c>
      <c r="H279" s="8">
        <f t="shared" si="9"/>
        <v>3507</v>
      </c>
    </row>
    <row r="280" spans="1:8" x14ac:dyDescent="0.35">
      <c r="A280" s="5">
        <v>3507.5</v>
      </c>
      <c r="B280" s="6">
        <v>4908610.3099999996</v>
      </c>
      <c r="C280" s="6">
        <v>6803610.3099999996</v>
      </c>
      <c r="D280" s="6">
        <v>55044.75</v>
      </c>
      <c r="E280" s="2">
        <v>276</v>
      </c>
      <c r="G280" s="7">
        <f t="shared" si="8"/>
        <v>6803610.3099999996</v>
      </c>
      <c r="H280" s="8">
        <f t="shared" si="9"/>
        <v>3507.5</v>
      </c>
    </row>
    <row r="281" spans="1:8" x14ac:dyDescent="0.35">
      <c r="A281" s="5">
        <v>3508</v>
      </c>
      <c r="B281" s="6">
        <v>4936177</v>
      </c>
      <c r="C281" s="6">
        <v>6831177</v>
      </c>
      <c r="D281" s="6">
        <v>55222.000000100001</v>
      </c>
      <c r="E281" s="2">
        <v>277</v>
      </c>
      <c r="G281" s="7">
        <f t="shared" si="8"/>
        <v>6831177</v>
      </c>
      <c r="H281" s="8">
        <f t="shared" si="9"/>
        <v>3508</v>
      </c>
    </row>
    <row r="282" spans="1:8" x14ac:dyDescent="0.35">
      <c r="A282" s="5">
        <v>3508.5</v>
      </c>
      <c r="B282" s="6">
        <v>4963832.3099999996</v>
      </c>
      <c r="C282" s="6">
        <v>6858832.3099999996</v>
      </c>
      <c r="D282" s="6">
        <v>55399.250000100001</v>
      </c>
      <c r="E282" s="2">
        <v>278</v>
      </c>
      <c r="G282" s="7">
        <f t="shared" si="8"/>
        <v>6858832.3099999996</v>
      </c>
      <c r="H282" s="8">
        <f t="shared" si="9"/>
        <v>3508.5</v>
      </c>
    </row>
    <row r="283" spans="1:8" x14ac:dyDescent="0.35">
      <c r="A283" s="5">
        <v>3509</v>
      </c>
      <c r="B283" s="6">
        <v>4991576.25</v>
      </c>
      <c r="C283" s="6">
        <v>6886576.25</v>
      </c>
      <c r="D283" s="6">
        <v>55576.500000100001</v>
      </c>
      <c r="E283" s="2">
        <v>279</v>
      </c>
      <c r="G283" s="7">
        <f t="shared" si="8"/>
        <v>6886576.25</v>
      </c>
      <c r="H283" s="8">
        <f t="shared" si="9"/>
        <v>3509</v>
      </c>
    </row>
    <row r="284" spans="1:8" x14ac:dyDescent="0.35">
      <c r="A284" s="5">
        <v>3509.5</v>
      </c>
      <c r="B284" s="6">
        <v>5019408.8099999996</v>
      </c>
      <c r="C284" s="6">
        <v>6914408.8099999996</v>
      </c>
      <c r="D284" s="6">
        <v>55753.749999899999</v>
      </c>
      <c r="E284" s="2">
        <v>280</v>
      </c>
      <c r="G284" s="7">
        <f t="shared" si="8"/>
        <v>6914408.8099999996</v>
      </c>
      <c r="H284" s="8">
        <f t="shared" si="9"/>
        <v>3509.5</v>
      </c>
    </row>
    <row r="285" spans="1:8" x14ac:dyDescent="0.35">
      <c r="A285" s="5">
        <v>3510</v>
      </c>
      <c r="B285" s="6">
        <v>5047330</v>
      </c>
      <c r="C285" s="6">
        <v>6942330</v>
      </c>
      <c r="D285" s="6">
        <v>55930.999999899999</v>
      </c>
      <c r="E285" s="2">
        <v>281</v>
      </c>
      <c r="G285" s="7">
        <f t="shared" si="8"/>
        <v>6942330</v>
      </c>
      <c r="H285" s="8">
        <f t="shared" si="9"/>
        <v>3510</v>
      </c>
    </row>
    <row r="286" spans="1:8" x14ac:dyDescent="0.35">
      <c r="A286" s="5">
        <v>3510.5</v>
      </c>
      <c r="B286" s="6">
        <v>5075339.8099999996</v>
      </c>
      <c r="C286" s="6">
        <v>6970339.8099999996</v>
      </c>
      <c r="D286" s="6">
        <v>56108.25</v>
      </c>
      <c r="E286" s="2">
        <v>282</v>
      </c>
      <c r="G286" s="7">
        <f t="shared" si="8"/>
        <v>6970339.8099999996</v>
      </c>
      <c r="H286" s="8">
        <f t="shared" si="9"/>
        <v>3510.5</v>
      </c>
    </row>
    <row r="287" spans="1:8" x14ac:dyDescent="0.35">
      <c r="A287" s="5">
        <v>3511</v>
      </c>
      <c r="B287" s="6">
        <v>5103438.25</v>
      </c>
      <c r="C287" s="6">
        <v>6998438.25</v>
      </c>
      <c r="D287" s="6">
        <v>56285.5</v>
      </c>
      <c r="E287" s="2">
        <v>283</v>
      </c>
      <c r="G287" s="7">
        <f t="shared" si="8"/>
        <v>6998438.25</v>
      </c>
      <c r="H287" s="8">
        <f t="shared" si="9"/>
        <v>3511</v>
      </c>
    </row>
    <row r="288" spans="1:8" x14ac:dyDescent="0.35">
      <c r="A288" s="5">
        <v>3511.5</v>
      </c>
      <c r="B288" s="6">
        <v>5131625.3099999996</v>
      </c>
      <c r="C288" s="6">
        <v>7026625.3099999996</v>
      </c>
      <c r="D288" s="6">
        <v>56462.75</v>
      </c>
      <c r="E288" s="2">
        <v>284</v>
      </c>
      <c r="G288" s="7">
        <f t="shared" si="8"/>
        <v>7026625.3099999996</v>
      </c>
      <c r="H288" s="8">
        <f t="shared" si="9"/>
        <v>3511.5</v>
      </c>
    </row>
    <row r="289" spans="1:8" x14ac:dyDescent="0.35">
      <c r="A289" s="5">
        <v>3512</v>
      </c>
      <c r="B289" s="6">
        <v>5159901</v>
      </c>
      <c r="C289" s="6">
        <v>7054901</v>
      </c>
      <c r="D289" s="6">
        <v>56640.000000100001</v>
      </c>
      <c r="E289" s="2">
        <v>285</v>
      </c>
      <c r="G289" s="7">
        <f t="shared" si="8"/>
        <v>7054901</v>
      </c>
      <c r="H289" s="8">
        <f t="shared" si="9"/>
        <v>3512</v>
      </c>
    </row>
    <row r="290" spans="1:8" x14ac:dyDescent="0.35">
      <c r="A290" s="5">
        <v>3512.5</v>
      </c>
      <c r="B290" s="6">
        <v>5188265.3099999996</v>
      </c>
      <c r="C290" s="6">
        <v>7083265.3099999996</v>
      </c>
      <c r="D290" s="6">
        <v>56817.250000100001</v>
      </c>
      <c r="E290" s="2">
        <v>286</v>
      </c>
      <c r="G290" s="7">
        <f t="shared" si="8"/>
        <v>7083265.3099999996</v>
      </c>
      <c r="H290" s="8">
        <f t="shared" si="9"/>
        <v>3512.5</v>
      </c>
    </row>
    <row r="291" spans="1:8" x14ac:dyDescent="0.35">
      <c r="A291" s="5">
        <v>3513</v>
      </c>
      <c r="B291" s="6">
        <v>5216718.25</v>
      </c>
      <c r="C291" s="6">
        <v>7111718.25</v>
      </c>
      <c r="D291" s="6">
        <v>56994.499999899999</v>
      </c>
      <c r="E291" s="2">
        <v>287</v>
      </c>
      <c r="G291" s="7">
        <f t="shared" si="8"/>
        <v>7111718.25</v>
      </c>
      <c r="H291" s="8">
        <f t="shared" si="9"/>
        <v>3513</v>
      </c>
    </row>
    <row r="292" spans="1:8" x14ac:dyDescent="0.35">
      <c r="A292" s="5">
        <v>3513.5</v>
      </c>
      <c r="B292" s="6">
        <v>5245259.8099999996</v>
      </c>
      <c r="C292" s="6">
        <v>7140259.8099999996</v>
      </c>
      <c r="D292" s="6">
        <v>57171.749999899999</v>
      </c>
      <c r="E292" s="2">
        <v>288</v>
      </c>
      <c r="G292" s="7">
        <f t="shared" si="8"/>
        <v>7140259.8099999996</v>
      </c>
      <c r="H292" s="8">
        <f t="shared" si="9"/>
        <v>3513.5</v>
      </c>
    </row>
    <row r="293" spans="1:8" x14ac:dyDescent="0.35">
      <c r="A293" s="5">
        <v>3514</v>
      </c>
      <c r="B293" s="6">
        <v>5273890</v>
      </c>
      <c r="C293" s="6">
        <v>7168890</v>
      </c>
      <c r="D293" s="6">
        <v>57348.999999899999</v>
      </c>
      <c r="E293" s="2">
        <v>289</v>
      </c>
      <c r="G293" s="7">
        <f t="shared" si="8"/>
        <v>7168890</v>
      </c>
      <c r="H293" s="8">
        <f t="shared" si="9"/>
        <v>3514</v>
      </c>
    </row>
    <row r="294" spans="1:8" x14ac:dyDescent="0.35">
      <c r="A294" s="5">
        <v>3514.5</v>
      </c>
      <c r="B294" s="6">
        <v>5302608.8099999996</v>
      </c>
      <c r="C294" s="6">
        <v>7197608.8099999996</v>
      </c>
      <c r="D294" s="6">
        <v>57526.25</v>
      </c>
      <c r="E294" s="2">
        <v>290</v>
      </c>
      <c r="G294" s="7">
        <f t="shared" si="8"/>
        <v>7197608.8099999996</v>
      </c>
      <c r="H294" s="8">
        <f t="shared" si="9"/>
        <v>3514.5</v>
      </c>
    </row>
    <row r="295" spans="1:8" x14ac:dyDescent="0.35">
      <c r="A295" s="5">
        <v>3515</v>
      </c>
      <c r="B295" s="6">
        <v>5331416.25</v>
      </c>
      <c r="C295" s="6">
        <v>7226416.25</v>
      </c>
      <c r="D295" s="6">
        <v>57703.5</v>
      </c>
      <c r="E295" s="2">
        <v>291</v>
      </c>
      <c r="G295" s="7">
        <f t="shared" si="8"/>
        <v>7226416.25</v>
      </c>
      <c r="H295" s="8">
        <f t="shared" si="9"/>
        <v>3515</v>
      </c>
    </row>
    <row r="296" spans="1:8" x14ac:dyDescent="0.35">
      <c r="A296" s="5">
        <v>3515.5</v>
      </c>
      <c r="B296" s="6">
        <v>5360312.3099999996</v>
      </c>
      <c r="C296" s="6">
        <v>7255312.3099999996</v>
      </c>
      <c r="D296" s="6">
        <v>57880.75</v>
      </c>
      <c r="E296" s="2">
        <v>292</v>
      </c>
      <c r="G296" s="7">
        <f t="shared" si="8"/>
        <v>7255312.3099999996</v>
      </c>
      <c r="H296" s="8">
        <f t="shared" si="9"/>
        <v>3515.5</v>
      </c>
    </row>
    <row r="297" spans="1:8" x14ac:dyDescent="0.35">
      <c r="A297" s="5">
        <v>3516</v>
      </c>
      <c r="B297" s="6">
        <v>5389297</v>
      </c>
      <c r="C297" s="6">
        <v>7284297</v>
      </c>
      <c r="D297" s="6">
        <v>58058.000000100001</v>
      </c>
      <c r="E297" s="2">
        <v>293</v>
      </c>
      <c r="G297" s="7">
        <f t="shared" si="8"/>
        <v>7284297</v>
      </c>
      <c r="H297" s="8">
        <f t="shared" si="9"/>
        <v>3516</v>
      </c>
    </row>
    <row r="298" spans="1:8" x14ac:dyDescent="0.35">
      <c r="A298" s="5">
        <v>3516.5</v>
      </c>
      <c r="B298" s="6">
        <v>5418370.3099999996</v>
      </c>
      <c r="C298" s="6">
        <v>7313370.3099999996</v>
      </c>
      <c r="D298" s="6">
        <v>58235.250000100001</v>
      </c>
      <c r="E298" s="2">
        <v>294</v>
      </c>
      <c r="G298" s="7">
        <f t="shared" si="8"/>
        <v>7313370.3099999996</v>
      </c>
      <c r="H298" s="8">
        <f t="shared" si="9"/>
        <v>3516.5</v>
      </c>
    </row>
    <row r="299" spans="1:8" x14ac:dyDescent="0.35">
      <c r="A299" s="5">
        <v>3517</v>
      </c>
      <c r="B299" s="6">
        <v>5447532.25</v>
      </c>
      <c r="C299" s="6">
        <v>7342532.25</v>
      </c>
      <c r="D299" s="6">
        <v>58412.499999899999</v>
      </c>
      <c r="E299" s="2">
        <v>295</v>
      </c>
      <c r="G299" s="7">
        <f t="shared" si="8"/>
        <v>7342532.25</v>
      </c>
      <c r="H299" s="8">
        <f t="shared" si="9"/>
        <v>3517</v>
      </c>
    </row>
    <row r="300" spans="1:8" x14ac:dyDescent="0.35">
      <c r="A300" s="5">
        <v>3517.5</v>
      </c>
      <c r="B300" s="6">
        <v>5476782.8099999996</v>
      </c>
      <c r="C300" s="6">
        <v>7371782.8099999996</v>
      </c>
      <c r="D300" s="6">
        <v>58589.749999899999</v>
      </c>
      <c r="E300" s="2">
        <v>296</v>
      </c>
      <c r="G300" s="7">
        <f t="shared" si="8"/>
        <v>7371782.8099999996</v>
      </c>
      <c r="H300" s="8">
        <f t="shared" si="9"/>
        <v>3517.5</v>
      </c>
    </row>
    <row r="301" spans="1:8" x14ac:dyDescent="0.35">
      <c r="A301" s="5">
        <v>3518</v>
      </c>
      <c r="B301" s="6">
        <v>5506122</v>
      </c>
      <c r="C301" s="6">
        <v>7401122</v>
      </c>
      <c r="D301" s="6">
        <v>58767</v>
      </c>
      <c r="E301" s="2">
        <v>297</v>
      </c>
      <c r="G301" s="7">
        <f t="shared" si="8"/>
        <v>7401122</v>
      </c>
      <c r="H301" s="8">
        <f t="shared" si="9"/>
        <v>3518</v>
      </c>
    </row>
    <row r="302" spans="1:8" x14ac:dyDescent="0.35">
      <c r="A302" s="5">
        <v>3518.5</v>
      </c>
      <c r="B302" s="6">
        <v>5535549.8099999996</v>
      </c>
      <c r="C302" s="6">
        <v>7430549.8099999996</v>
      </c>
      <c r="D302" s="6">
        <v>58944.25</v>
      </c>
      <c r="E302" s="2">
        <v>298</v>
      </c>
      <c r="G302" s="7">
        <f t="shared" si="8"/>
        <v>7430549.8099999996</v>
      </c>
      <c r="H302" s="8">
        <f t="shared" si="9"/>
        <v>3518.5</v>
      </c>
    </row>
    <row r="303" spans="1:8" x14ac:dyDescent="0.35">
      <c r="A303" s="5">
        <v>3519</v>
      </c>
      <c r="B303" s="6">
        <v>5565066.25</v>
      </c>
      <c r="C303" s="6">
        <v>7460066.25</v>
      </c>
      <c r="D303" s="6">
        <v>59121.5</v>
      </c>
      <c r="E303" s="2">
        <v>299</v>
      </c>
      <c r="G303" s="7">
        <f t="shared" si="8"/>
        <v>7460066.25</v>
      </c>
      <c r="H303" s="8">
        <f t="shared" si="9"/>
        <v>3519</v>
      </c>
    </row>
    <row r="304" spans="1:8" x14ac:dyDescent="0.35">
      <c r="A304" s="5">
        <v>3519.5</v>
      </c>
      <c r="B304" s="6">
        <v>5594671.3099999996</v>
      </c>
      <c r="C304" s="6">
        <v>7489671.3099999996</v>
      </c>
      <c r="D304" s="6">
        <v>59298.750000100001</v>
      </c>
      <c r="E304" s="2">
        <v>300</v>
      </c>
      <c r="G304" s="7">
        <f t="shared" si="8"/>
        <v>7489671.3099999996</v>
      </c>
      <c r="H304" s="8">
        <f t="shared" si="9"/>
        <v>3519.5</v>
      </c>
    </row>
    <row r="305" spans="1:8" x14ac:dyDescent="0.35">
      <c r="A305" s="5">
        <v>3520</v>
      </c>
      <c r="B305" s="6">
        <v>5624365</v>
      </c>
      <c r="C305" s="6">
        <v>7519365</v>
      </c>
      <c r="D305" s="6">
        <v>59476.000000100001</v>
      </c>
      <c r="E305" s="2">
        <v>301</v>
      </c>
      <c r="G305" s="7">
        <f t="shared" si="8"/>
        <v>7519365</v>
      </c>
      <c r="H305" s="8">
        <f t="shared" si="9"/>
        <v>3520</v>
      </c>
    </row>
    <row r="306" spans="1:8" x14ac:dyDescent="0.35">
      <c r="A306" s="5">
        <v>3520.5</v>
      </c>
      <c r="B306" s="6">
        <v>5654151.3099999996</v>
      </c>
      <c r="C306" s="6">
        <v>7549151.3099999996</v>
      </c>
      <c r="D306" s="6">
        <v>59669.249999899999</v>
      </c>
      <c r="E306" s="2">
        <v>302</v>
      </c>
      <c r="G306" s="7">
        <f t="shared" si="8"/>
        <v>7549151.3099999996</v>
      </c>
      <c r="H306" s="8">
        <f t="shared" si="9"/>
        <v>3520.5</v>
      </c>
    </row>
    <row r="307" spans="1:8" x14ac:dyDescent="0.35">
      <c r="A307" s="5">
        <v>3521</v>
      </c>
      <c r="B307" s="6">
        <v>5684034.25</v>
      </c>
      <c r="C307" s="6">
        <v>7579034.25</v>
      </c>
      <c r="D307" s="6">
        <v>59862.5</v>
      </c>
      <c r="E307" s="2">
        <v>303</v>
      </c>
      <c r="G307" s="7">
        <f t="shared" si="8"/>
        <v>7579034.25</v>
      </c>
      <c r="H307" s="8">
        <f t="shared" si="9"/>
        <v>3521</v>
      </c>
    </row>
    <row r="308" spans="1:8" x14ac:dyDescent="0.35">
      <c r="A308" s="5">
        <v>3521.5</v>
      </c>
      <c r="B308" s="6">
        <v>5714013.8099999996</v>
      </c>
      <c r="C308" s="6">
        <v>7609013.8099999996</v>
      </c>
      <c r="D308" s="6">
        <v>60055.750000100001</v>
      </c>
      <c r="E308" s="2">
        <v>304</v>
      </c>
      <c r="G308" s="7">
        <f t="shared" si="8"/>
        <v>7609013.8099999996</v>
      </c>
      <c r="H308" s="8">
        <f t="shared" si="9"/>
        <v>3521.5</v>
      </c>
    </row>
    <row r="309" spans="1:8" x14ac:dyDescent="0.35">
      <c r="A309" s="5">
        <v>3522</v>
      </c>
      <c r="B309" s="6">
        <v>5744090</v>
      </c>
      <c r="C309" s="6">
        <v>7639090</v>
      </c>
      <c r="D309" s="6">
        <v>60249</v>
      </c>
      <c r="E309" s="2">
        <v>305</v>
      </c>
      <c r="G309" s="7">
        <f t="shared" si="8"/>
        <v>7639090</v>
      </c>
      <c r="H309" s="8">
        <f t="shared" si="9"/>
        <v>3522</v>
      </c>
    </row>
    <row r="310" spans="1:8" x14ac:dyDescent="0.35">
      <c r="A310" s="5">
        <v>3522.5</v>
      </c>
      <c r="B310" s="6">
        <v>5774262.8099999996</v>
      </c>
      <c r="C310" s="6">
        <v>7669262.8099999996</v>
      </c>
      <c r="D310" s="6">
        <v>60442.25</v>
      </c>
      <c r="E310" s="2">
        <v>306</v>
      </c>
      <c r="G310" s="7">
        <f t="shared" si="8"/>
        <v>7669262.8099999996</v>
      </c>
      <c r="H310" s="8">
        <f t="shared" si="9"/>
        <v>3522.5</v>
      </c>
    </row>
    <row r="311" spans="1:8" x14ac:dyDescent="0.35">
      <c r="A311" s="5">
        <v>3523</v>
      </c>
      <c r="B311" s="6">
        <v>5804532.25</v>
      </c>
      <c r="C311" s="6">
        <v>7699532.25</v>
      </c>
      <c r="D311" s="6">
        <v>60635.499999899999</v>
      </c>
      <c r="E311" s="2">
        <v>307</v>
      </c>
      <c r="G311" s="7">
        <f t="shared" si="8"/>
        <v>7699532.25</v>
      </c>
      <c r="H311" s="8">
        <f t="shared" si="9"/>
        <v>3523</v>
      </c>
    </row>
    <row r="312" spans="1:8" x14ac:dyDescent="0.35">
      <c r="A312" s="5">
        <v>3523.5</v>
      </c>
      <c r="B312" s="6">
        <v>5834898.3099999996</v>
      </c>
      <c r="C312" s="6">
        <v>7729898.3099999996</v>
      </c>
      <c r="D312" s="6">
        <v>60828.75</v>
      </c>
      <c r="E312" s="2">
        <v>308</v>
      </c>
      <c r="G312" s="7">
        <f t="shared" si="8"/>
        <v>7729898.3099999996</v>
      </c>
      <c r="H312" s="8">
        <f t="shared" si="9"/>
        <v>3523.5</v>
      </c>
    </row>
    <row r="313" spans="1:8" x14ac:dyDescent="0.35">
      <c r="A313" s="5">
        <v>3524</v>
      </c>
      <c r="B313" s="6">
        <v>5865361</v>
      </c>
      <c r="C313" s="6">
        <v>7760361</v>
      </c>
      <c r="D313" s="6">
        <v>61022.000000100001</v>
      </c>
      <c r="E313" s="2">
        <v>309</v>
      </c>
      <c r="G313" s="7">
        <f t="shared" si="8"/>
        <v>7760361</v>
      </c>
      <c r="H313" s="8">
        <f t="shared" si="9"/>
        <v>3524</v>
      </c>
    </row>
    <row r="314" spans="1:8" x14ac:dyDescent="0.35">
      <c r="A314" s="5">
        <v>3524.5</v>
      </c>
      <c r="B314" s="6">
        <v>5895920.3099999996</v>
      </c>
      <c r="C314" s="6">
        <v>7790920.3099999996</v>
      </c>
      <c r="D314" s="6">
        <v>61215.249999899999</v>
      </c>
      <c r="E314" s="2">
        <v>310</v>
      </c>
      <c r="G314" s="7">
        <f t="shared" si="8"/>
        <v>7790920.3099999996</v>
      </c>
      <c r="H314" s="8">
        <f t="shared" si="9"/>
        <v>3524.5</v>
      </c>
    </row>
    <row r="315" spans="1:8" x14ac:dyDescent="0.35">
      <c r="A315" s="5">
        <v>3525</v>
      </c>
      <c r="B315" s="6">
        <v>5926576.25</v>
      </c>
      <c r="C315" s="6">
        <v>7821576.25</v>
      </c>
      <c r="D315" s="6">
        <v>61408.5</v>
      </c>
      <c r="E315" s="2">
        <v>311</v>
      </c>
      <c r="G315" s="7">
        <f t="shared" si="8"/>
        <v>7821576.25</v>
      </c>
      <c r="H315" s="8">
        <f t="shared" si="9"/>
        <v>3525</v>
      </c>
    </row>
    <row r="316" spans="1:8" x14ac:dyDescent="0.35">
      <c r="A316" s="5">
        <v>3525.5</v>
      </c>
      <c r="B316" s="6">
        <v>5957328.8099999996</v>
      </c>
      <c r="C316" s="6">
        <v>7852328.8099999996</v>
      </c>
      <c r="D316" s="6">
        <v>61601.750000100001</v>
      </c>
      <c r="E316" s="2">
        <v>312</v>
      </c>
      <c r="G316" s="7">
        <f t="shared" si="8"/>
        <v>7852328.8099999996</v>
      </c>
      <c r="H316" s="8">
        <f t="shared" si="9"/>
        <v>3525.5</v>
      </c>
    </row>
    <row r="317" spans="1:8" x14ac:dyDescent="0.35">
      <c r="A317" s="5">
        <v>3526</v>
      </c>
      <c r="B317" s="6">
        <v>5988178</v>
      </c>
      <c r="C317" s="6">
        <v>7883178</v>
      </c>
      <c r="D317" s="6">
        <v>61794.999999899999</v>
      </c>
      <c r="E317" s="2">
        <v>313</v>
      </c>
      <c r="G317" s="7">
        <f t="shared" si="8"/>
        <v>7883178</v>
      </c>
      <c r="H317" s="8">
        <f t="shared" si="9"/>
        <v>3526</v>
      </c>
    </row>
    <row r="318" spans="1:8" x14ac:dyDescent="0.35">
      <c r="A318" s="5">
        <v>3526.5</v>
      </c>
      <c r="B318" s="6">
        <v>6019123.8099999996</v>
      </c>
      <c r="C318" s="6">
        <v>7914123.8099999996</v>
      </c>
      <c r="D318" s="6">
        <v>61988.25</v>
      </c>
      <c r="E318" s="2">
        <v>314</v>
      </c>
      <c r="G318" s="7">
        <f t="shared" si="8"/>
        <v>7914123.8099999996</v>
      </c>
      <c r="H318" s="8">
        <f t="shared" si="9"/>
        <v>3526.5</v>
      </c>
    </row>
    <row r="319" spans="1:8" x14ac:dyDescent="0.35">
      <c r="A319" s="5">
        <v>3527</v>
      </c>
      <c r="B319" s="6">
        <v>6050166.25</v>
      </c>
      <c r="C319" s="6">
        <v>7945166.25</v>
      </c>
      <c r="D319" s="6">
        <v>62181.499999899999</v>
      </c>
      <c r="E319" s="2">
        <v>315</v>
      </c>
      <c r="G319" s="7">
        <f t="shared" si="8"/>
        <v>7945166.25</v>
      </c>
      <c r="H319" s="8">
        <f t="shared" si="9"/>
        <v>3527</v>
      </c>
    </row>
    <row r="320" spans="1:8" x14ac:dyDescent="0.35">
      <c r="A320" s="5">
        <v>3527.5</v>
      </c>
      <c r="B320" s="6">
        <v>6081305.3099999996</v>
      </c>
      <c r="C320" s="6">
        <v>7976305.3099999996</v>
      </c>
      <c r="D320" s="6">
        <v>62374.75</v>
      </c>
      <c r="E320" s="2">
        <v>316</v>
      </c>
      <c r="G320" s="7">
        <f t="shared" si="8"/>
        <v>7976305.3099999996</v>
      </c>
      <c r="H320" s="8">
        <f t="shared" si="9"/>
        <v>3527.5</v>
      </c>
    </row>
    <row r="321" spans="1:8" x14ac:dyDescent="0.35">
      <c r="A321" s="5">
        <v>3528</v>
      </c>
      <c r="B321" s="6">
        <v>6112541</v>
      </c>
      <c r="C321" s="6">
        <v>8007541</v>
      </c>
      <c r="D321" s="6">
        <v>62568.000000100001</v>
      </c>
      <c r="E321" s="2">
        <v>317</v>
      </c>
      <c r="G321" s="7">
        <f t="shared" si="8"/>
        <v>8007541</v>
      </c>
      <c r="H321" s="8">
        <f t="shared" si="9"/>
        <v>3528</v>
      </c>
    </row>
    <row r="322" spans="1:8" x14ac:dyDescent="0.35">
      <c r="A322" s="5">
        <v>3528.5</v>
      </c>
      <c r="B322" s="6">
        <v>6143873.3099999996</v>
      </c>
      <c r="C322" s="6">
        <v>8038873.3099999996</v>
      </c>
      <c r="D322" s="6">
        <v>62761.249999899999</v>
      </c>
      <c r="E322" s="2">
        <v>318</v>
      </c>
      <c r="G322" s="7">
        <f t="shared" si="8"/>
        <v>8038873.3099999996</v>
      </c>
      <c r="H322" s="8">
        <f t="shared" si="9"/>
        <v>3528.5</v>
      </c>
    </row>
    <row r="323" spans="1:8" x14ac:dyDescent="0.35">
      <c r="A323" s="5">
        <v>3529</v>
      </c>
      <c r="B323" s="6">
        <v>6175302.25</v>
      </c>
      <c r="C323" s="6">
        <v>8070302.25</v>
      </c>
      <c r="D323" s="6">
        <v>62954.5</v>
      </c>
      <c r="E323" s="2">
        <v>319</v>
      </c>
      <c r="G323" s="7">
        <f t="shared" si="8"/>
        <v>8070302.25</v>
      </c>
      <c r="H323" s="8">
        <f t="shared" si="9"/>
        <v>3529</v>
      </c>
    </row>
    <row r="324" spans="1:8" x14ac:dyDescent="0.35">
      <c r="A324" s="5">
        <v>3529.5</v>
      </c>
      <c r="B324" s="6">
        <v>6206827.8099999996</v>
      </c>
      <c r="C324" s="6">
        <v>8101827.8099999996</v>
      </c>
      <c r="D324" s="6">
        <v>63147.750000100001</v>
      </c>
      <c r="E324" s="2">
        <v>320</v>
      </c>
      <c r="G324" s="7">
        <f t="shared" si="8"/>
        <v>8101827.8099999996</v>
      </c>
      <c r="H324" s="8">
        <f t="shared" si="9"/>
        <v>3529.5</v>
      </c>
    </row>
    <row r="325" spans="1:8" x14ac:dyDescent="0.35">
      <c r="A325" s="5">
        <v>3530</v>
      </c>
      <c r="B325" s="6">
        <v>6238450</v>
      </c>
      <c r="C325" s="6">
        <v>8133450</v>
      </c>
      <c r="D325" s="6">
        <v>63340.999999899999</v>
      </c>
      <c r="E325" s="2">
        <v>321</v>
      </c>
      <c r="G325" s="7">
        <f t="shared" si="8"/>
        <v>8133450</v>
      </c>
      <c r="H325" s="8">
        <f t="shared" si="9"/>
        <v>3530</v>
      </c>
    </row>
    <row r="326" spans="1:8" x14ac:dyDescent="0.35">
      <c r="A326" s="5">
        <v>3530.5</v>
      </c>
      <c r="B326" s="6">
        <v>6270168.8099999996</v>
      </c>
      <c r="C326" s="6">
        <v>8165168.8099999996</v>
      </c>
      <c r="D326" s="6">
        <v>63534.25</v>
      </c>
      <c r="E326" s="2">
        <v>322</v>
      </c>
      <c r="G326" s="7">
        <f t="shared" ref="G326:G389" si="10">C326</f>
        <v>8165168.8099999996</v>
      </c>
      <c r="H326" s="8">
        <f t="shared" ref="H326:H389" si="11">A326</f>
        <v>3530.5</v>
      </c>
    </row>
    <row r="327" spans="1:8" x14ac:dyDescent="0.35">
      <c r="A327" s="5">
        <v>3531</v>
      </c>
      <c r="B327" s="6">
        <v>6301984.25</v>
      </c>
      <c r="C327" s="6">
        <v>8196984.25</v>
      </c>
      <c r="D327" s="6">
        <v>63727.499999899999</v>
      </c>
      <c r="E327" s="2">
        <v>323</v>
      </c>
      <c r="G327" s="7">
        <f t="shared" si="10"/>
        <v>8196984.25</v>
      </c>
      <c r="H327" s="8">
        <f t="shared" si="11"/>
        <v>3531</v>
      </c>
    </row>
    <row r="328" spans="1:8" x14ac:dyDescent="0.35">
      <c r="A328" s="5">
        <v>3531.5</v>
      </c>
      <c r="B328" s="6">
        <v>6333896.3099999996</v>
      </c>
      <c r="C328" s="6">
        <v>8228896.3099999996</v>
      </c>
      <c r="D328" s="6">
        <v>63920.75</v>
      </c>
      <c r="E328" s="2">
        <v>324</v>
      </c>
      <c r="G328" s="7">
        <f t="shared" si="10"/>
        <v>8228896.3099999996</v>
      </c>
      <c r="H328" s="8">
        <f t="shared" si="11"/>
        <v>3531.5</v>
      </c>
    </row>
    <row r="329" spans="1:8" x14ac:dyDescent="0.35">
      <c r="A329" s="5">
        <v>3532</v>
      </c>
      <c r="B329" s="6">
        <v>6365905</v>
      </c>
      <c r="C329" s="6">
        <v>8260905</v>
      </c>
      <c r="D329" s="6">
        <v>64114.000000100001</v>
      </c>
      <c r="E329" s="2">
        <v>325</v>
      </c>
      <c r="G329" s="7">
        <f t="shared" si="10"/>
        <v>8260905</v>
      </c>
      <c r="H329" s="8">
        <f t="shared" si="11"/>
        <v>3532</v>
      </c>
    </row>
    <row r="330" spans="1:8" x14ac:dyDescent="0.35">
      <c r="A330" s="5">
        <v>3532.5</v>
      </c>
      <c r="B330" s="6">
        <v>6398010.3099999996</v>
      </c>
      <c r="C330" s="6">
        <v>8293010.3099999996</v>
      </c>
      <c r="D330" s="6">
        <v>64307.249999899999</v>
      </c>
      <c r="E330" s="2">
        <v>326</v>
      </c>
      <c r="G330" s="7">
        <f t="shared" si="10"/>
        <v>8293010.3099999996</v>
      </c>
      <c r="H330" s="8">
        <f t="shared" si="11"/>
        <v>3532.5</v>
      </c>
    </row>
    <row r="331" spans="1:8" x14ac:dyDescent="0.35">
      <c r="A331" s="5">
        <v>3533</v>
      </c>
      <c r="B331" s="6">
        <v>6430212.25</v>
      </c>
      <c r="C331" s="6">
        <v>8325212.25</v>
      </c>
      <c r="D331" s="6">
        <v>64500.5</v>
      </c>
      <c r="E331" s="2">
        <v>327</v>
      </c>
      <c r="G331" s="7">
        <f t="shared" si="10"/>
        <v>8325212.25</v>
      </c>
      <c r="H331" s="8">
        <f t="shared" si="11"/>
        <v>3533</v>
      </c>
    </row>
    <row r="332" spans="1:8" x14ac:dyDescent="0.35">
      <c r="A332" s="5">
        <v>3533.5</v>
      </c>
      <c r="B332" s="6">
        <v>6462510.8099999996</v>
      </c>
      <c r="C332" s="6">
        <v>8357510.8099999996</v>
      </c>
      <c r="D332" s="6">
        <v>64693.750000100001</v>
      </c>
      <c r="E332" s="2">
        <v>328</v>
      </c>
      <c r="G332" s="7">
        <f t="shared" si="10"/>
        <v>8357510.8099999996</v>
      </c>
      <c r="H332" s="8">
        <f t="shared" si="11"/>
        <v>3533.5</v>
      </c>
    </row>
    <row r="333" spans="1:8" x14ac:dyDescent="0.35">
      <c r="A333" s="5">
        <v>3534</v>
      </c>
      <c r="B333" s="6">
        <v>6494906</v>
      </c>
      <c r="C333" s="6">
        <v>8389906</v>
      </c>
      <c r="D333" s="6">
        <v>64886.999999899999</v>
      </c>
      <c r="E333" s="2">
        <v>329</v>
      </c>
      <c r="G333" s="7">
        <f t="shared" si="10"/>
        <v>8389906</v>
      </c>
      <c r="H333" s="8">
        <f t="shared" si="11"/>
        <v>3534</v>
      </c>
    </row>
    <row r="334" spans="1:8" x14ac:dyDescent="0.35">
      <c r="A334" s="5">
        <v>3534.5</v>
      </c>
      <c r="B334" s="6">
        <v>6527397.8099999996</v>
      </c>
      <c r="C334" s="6">
        <v>8422397.8099999987</v>
      </c>
      <c r="D334" s="6">
        <v>65080.25</v>
      </c>
      <c r="E334" s="2">
        <v>330</v>
      </c>
      <c r="G334" s="7">
        <f t="shared" si="10"/>
        <v>8422397.8099999987</v>
      </c>
      <c r="H334" s="8">
        <f t="shared" si="11"/>
        <v>3534.5</v>
      </c>
    </row>
    <row r="335" spans="1:8" x14ac:dyDescent="0.35">
      <c r="A335" s="5">
        <v>3535</v>
      </c>
      <c r="B335" s="6">
        <v>6559986.25</v>
      </c>
      <c r="C335" s="6">
        <v>8454986.25</v>
      </c>
      <c r="D335" s="6">
        <v>65273.500000100001</v>
      </c>
      <c r="E335" s="2">
        <v>331</v>
      </c>
      <c r="G335" s="7">
        <f t="shared" si="10"/>
        <v>8454986.25</v>
      </c>
      <c r="H335" s="8">
        <f t="shared" si="11"/>
        <v>3535</v>
      </c>
    </row>
    <row r="336" spans="1:8" x14ac:dyDescent="0.35">
      <c r="A336" s="5">
        <v>3535.5</v>
      </c>
      <c r="B336" s="6">
        <v>6592671.3099999996</v>
      </c>
      <c r="C336" s="6">
        <v>8487671.3099999987</v>
      </c>
      <c r="D336" s="6">
        <v>65466.75</v>
      </c>
      <c r="E336" s="2">
        <v>332</v>
      </c>
      <c r="G336" s="7">
        <f t="shared" si="10"/>
        <v>8487671.3099999987</v>
      </c>
      <c r="H336" s="8">
        <f t="shared" si="11"/>
        <v>3535.5</v>
      </c>
    </row>
    <row r="337" spans="1:8" x14ac:dyDescent="0.35">
      <c r="A337" s="5">
        <v>3536</v>
      </c>
      <c r="B337" s="6">
        <v>6625453</v>
      </c>
      <c r="C337" s="6">
        <v>8520453</v>
      </c>
      <c r="D337" s="6">
        <v>65660.000000100001</v>
      </c>
      <c r="E337" s="2">
        <v>333</v>
      </c>
      <c r="G337" s="7">
        <f t="shared" si="10"/>
        <v>8520453</v>
      </c>
      <c r="H337" s="8">
        <f t="shared" si="11"/>
        <v>3536</v>
      </c>
    </row>
    <row r="338" spans="1:8" x14ac:dyDescent="0.35">
      <c r="A338" s="5">
        <v>3536.5</v>
      </c>
      <c r="B338" s="6">
        <v>6658331.3099999996</v>
      </c>
      <c r="C338" s="6">
        <v>8553331.3099999987</v>
      </c>
      <c r="D338" s="6">
        <v>65853.249999899999</v>
      </c>
      <c r="E338" s="2">
        <v>334</v>
      </c>
      <c r="G338" s="7">
        <f t="shared" si="10"/>
        <v>8553331.3099999987</v>
      </c>
      <c r="H338" s="8">
        <f t="shared" si="11"/>
        <v>3536.5</v>
      </c>
    </row>
    <row r="339" spans="1:8" x14ac:dyDescent="0.35">
      <c r="A339" s="5">
        <v>3537</v>
      </c>
      <c r="B339" s="6">
        <v>6691306.25</v>
      </c>
      <c r="C339" s="6">
        <v>8586306.25</v>
      </c>
      <c r="D339" s="6">
        <v>66046.5</v>
      </c>
      <c r="E339" s="2">
        <v>335</v>
      </c>
      <c r="G339" s="7">
        <f t="shared" si="10"/>
        <v>8586306.25</v>
      </c>
      <c r="H339" s="8">
        <f t="shared" si="11"/>
        <v>3537</v>
      </c>
    </row>
    <row r="340" spans="1:8" x14ac:dyDescent="0.35">
      <c r="A340" s="5">
        <v>3537.5</v>
      </c>
      <c r="B340" s="6">
        <v>6724377.8099999996</v>
      </c>
      <c r="C340" s="6">
        <v>8619377.8099999987</v>
      </c>
      <c r="D340" s="6">
        <v>66239.750000100001</v>
      </c>
      <c r="E340" s="2">
        <v>336</v>
      </c>
      <c r="G340" s="7">
        <f t="shared" si="10"/>
        <v>8619377.8099999987</v>
      </c>
      <c r="H340" s="8">
        <f t="shared" si="11"/>
        <v>3537.5</v>
      </c>
    </row>
    <row r="341" spans="1:8" x14ac:dyDescent="0.35">
      <c r="A341" s="5">
        <v>3538</v>
      </c>
      <c r="B341" s="6">
        <v>6757546</v>
      </c>
      <c r="C341" s="6">
        <v>8652546</v>
      </c>
      <c r="D341" s="6">
        <v>66432.999999899999</v>
      </c>
      <c r="E341" s="2">
        <v>337</v>
      </c>
      <c r="G341" s="7">
        <f t="shared" si="10"/>
        <v>8652546</v>
      </c>
      <c r="H341" s="8">
        <f t="shared" si="11"/>
        <v>3538</v>
      </c>
    </row>
    <row r="342" spans="1:8" x14ac:dyDescent="0.35">
      <c r="A342" s="5">
        <v>3538.5</v>
      </c>
      <c r="B342" s="6">
        <v>6790810.8099999996</v>
      </c>
      <c r="C342" s="6">
        <v>8685810.8099999987</v>
      </c>
      <c r="D342" s="6">
        <v>66626.25</v>
      </c>
      <c r="E342" s="2">
        <v>338</v>
      </c>
      <c r="G342" s="7">
        <f t="shared" si="10"/>
        <v>8685810.8099999987</v>
      </c>
      <c r="H342" s="8">
        <f t="shared" si="11"/>
        <v>3538.5</v>
      </c>
    </row>
    <row r="343" spans="1:8" x14ac:dyDescent="0.35">
      <c r="A343" s="5">
        <v>3539</v>
      </c>
      <c r="B343" s="6">
        <v>6824172.25</v>
      </c>
      <c r="C343" s="6">
        <v>8719172.25</v>
      </c>
      <c r="D343" s="6">
        <v>66819.500000100001</v>
      </c>
      <c r="E343" s="2">
        <v>339</v>
      </c>
      <c r="G343" s="7">
        <f t="shared" si="10"/>
        <v>8719172.25</v>
      </c>
      <c r="H343" s="8">
        <f t="shared" si="11"/>
        <v>3539</v>
      </c>
    </row>
    <row r="344" spans="1:8" x14ac:dyDescent="0.35">
      <c r="A344" s="5">
        <v>3539.5</v>
      </c>
      <c r="B344" s="6">
        <v>6857630.3099999996</v>
      </c>
      <c r="C344" s="6">
        <v>8752630.3099999987</v>
      </c>
      <c r="D344" s="6">
        <v>67012.75</v>
      </c>
      <c r="E344" s="2">
        <v>340</v>
      </c>
      <c r="G344" s="7">
        <f t="shared" si="10"/>
        <v>8752630.3099999987</v>
      </c>
      <c r="H344" s="8">
        <f t="shared" si="11"/>
        <v>3539.5</v>
      </c>
    </row>
    <row r="345" spans="1:8" x14ac:dyDescent="0.35">
      <c r="A345" s="5">
        <v>3540</v>
      </c>
      <c r="B345" s="6">
        <v>6891185</v>
      </c>
      <c r="C345" s="6">
        <v>8786185</v>
      </c>
      <c r="D345" s="6">
        <v>67206</v>
      </c>
      <c r="E345" s="2">
        <v>341</v>
      </c>
      <c r="G345" s="7">
        <f t="shared" si="10"/>
        <v>8786185</v>
      </c>
      <c r="H345" s="8">
        <f t="shared" si="11"/>
        <v>3540</v>
      </c>
    </row>
    <row r="346" spans="1:8" x14ac:dyDescent="0.35">
      <c r="A346" s="5">
        <v>3540.5</v>
      </c>
      <c r="B346" s="6">
        <v>6924842.8399999999</v>
      </c>
      <c r="C346" s="6">
        <v>8819842.8399999999</v>
      </c>
      <c r="D346" s="6">
        <v>67425.37</v>
      </c>
      <c r="E346" s="2">
        <v>342</v>
      </c>
      <c r="G346" s="7">
        <f t="shared" si="10"/>
        <v>8819842.8399999999</v>
      </c>
      <c r="H346" s="8">
        <f t="shared" si="11"/>
        <v>3540.5</v>
      </c>
    </row>
    <row r="347" spans="1:8" x14ac:dyDescent="0.35">
      <c r="A347" s="5">
        <v>3541</v>
      </c>
      <c r="B347" s="6">
        <v>6958610.3700000001</v>
      </c>
      <c r="C347" s="6">
        <v>8853610.370000001</v>
      </c>
      <c r="D347" s="6">
        <v>67644.75</v>
      </c>
      <c r="E347" s="2">
        <v>343</v>
      </c>
      <c r="G347" s="7">
        <f t="shared" si="10"/>
        <v>8853610.370000001</v>
      </c>
      <c r="H347" s="8">
        <f t="shared" si="11"/>
        <v>3541</v>
      </c>
    </row>
    <row r="348" spans="1:8" x14ac:dyDescent="0.35">
      <c r="A348" s="5">
        <v>3541.5</v>
      </c>
      <c r="B348" s="6">
        <v>6992487.5899999999</v>
      </c>
      <c r="C348" s="6">
        <v>8887487.5899999999</v>
      </c>
      <c r="D348" s="6">
        <v>67864.120000099996</v>
      </c>
      <c r="E348" s="2">
        <v>344</v>
      </c>
      <c r="G348" s="7">
        <f t="shared" si="10"/>
        <v>8887487.5899999999</v>
      </c>
      <c r="H348" s="8">
        <f t="shared" si="11"/>
        <v>3541.5</v>
      </c>
    </row>
    <row r="349" spans="1:8" x14ac:dyDescent="0.35">
      <c r="A349" s="5">
        <v>3542</v>
      </c>
      <c r="B349" s="6">
        <v>7026474.5</v>
      </c>
      <c r="C349" s="6">
        <v>8921474.5</v>
      </c>
      <c r="D349" s="6">
        <v>68083.499999899999</v>
      </c>
      <c r="E349" s="2">
        <v>345</v>
      </c>
      <c r="G349" s="7">
        <f t="shared" si="10"/>
        <v>8921474.5</v>
      </c>
      <c r="H349" s="8">
        <f t="shared" si="11"/>
        <v>3542</v>
      </c>
    </row>
    <row r="350" spans="1:8" x14ac:dyDescent="0.35">
      <c r="A350" s="5">
        <v>3542.5</v>
      </c>
      <c r="B350" s="6">
        <v>7060571.0899999999</v>
      </c>
      <c r="C350" s="6">
        <v>8955571.0899999999</v>
      </c>
      <c r="D350" s="6">
        <v>68302.87</v>
      </c>
      <c r="E350" s="2">
        <v>346</v>
      </c>
      <c r="G350" s="7">
        <f t="shared" si="10"/>
        <v>8955571.0899999999</v>
      </c>
      <c r="H350" s="8">
        <f t="shared" si="11"/>
        <v>3542.5</v>
      </c>
    </row>
    <row r="351" spans="1:8" x14ac:dyDescent="0.35">
      <c r="A351" s="5">
        <v>3543</v>
      </c>
      <c r="B351" s="6">
        <v>7094777.3700000001</v>
      </c>
      <c r="C351" s="6">
        <v>8989777.370000001</v>
      </c>
      <c r="D351" s="6">
        <v>68522.25</v>
      </c>
      <c r="E351" s="2">
        <v>347</v>
      </c>
      <c r="G351" s="7">
        <f t="shared" si="10"/>
        <v>8989777.370000001</v>
      </c>
      <c r="H351" s="8">
        <f t="shared" si="11"/>
        <v>3543</v>
      </c>
    </row>
    <row r="352" spans="1:8" x14ac:dyDescent="0.35">
      <c r="A352" s="5">
        <v>3543.5</v>
      </c>
      <c r="B352" s="6">
        <v>7129093.3399999999</v>
      </c>
      <c r="C352" s="6">
        <v>9024093.3399999999</v>
      </c>
      <c r="D352" s="6">
        <v>68741.62</v>
      </c>
      <c r="E352" s="2">
        <v>348</v>
      </c>
      <c r="G352" s="7">
        <f t="shared" si="10"/>
        <v>9024093.3399999999</v>
      </c>
      <c r="H352" s="8">
        <f t="shared" si="11"/>
        <v>3543.5</v>
      </c>
    </row>
    <row r="353" spans="1:8" x14ac:dyDescent="0.35">
      <c r="A353" s="5">
        <v>3544</v>
      </c>
      <c r="B353" s="6">
        <v>7163519</v>
      </c>
      <c r="C353" s="6">
        <v>9058519</v>
      </c>
      <c r="D353" s="6">
        <v>68961</v>
      </c>
      <c r="E353" s="2">
        <v>349</v>
      </c>
      <c r="G353" s="7">
        <f t="shared" si="10"/>
        <v>9058519</v>
      </c>
      <c r="H353" s="8">
        <f t="shared" si="11"/>
        <v>3544</v>
      </c>
    </row>
    <row r="354" spans="1:8" x14ac:dyDescent="0.35">
      <c r="A354" s="5">
        <v>3544.5</v>
      </c>
      <c r="B354" s="6">
        <v>7198054.3399999999</v>
      </c>
      <c r="C354" s="6">
        <v>9093054.3399999999</v>
      </c>
      <c r="D354" s="6">
        <v>69180.370000099996</v>
      </c>
      <c r="E354" s="2">
        <v>350</v>
      </c>
      <c r="G354" s="7">
        <f t="shared" si="10"/>
        <v>9093054.3399999999</v>
      </c>
      <c r="H354" s="8">
        <f t="shared" si="11"/>
        <v>3544.5</v>
      </c>
    </row>
    <row r="355" spans="1:8" x14ac:dyDescent="0.35">
      <c r="A355" s="5">
        <v>3545</v>
      </c>
      <c r="B355" s="6">
        <v>7232699.3700000001</v>
      </c>
      <c r="C355" s="6">
        <v>9127699.370000001</v>
      </c>
      <c r="D355" s="6">
        <v>69399.749999899999</v>
      </c>
      <c r="E355" s="2">
        <v>351</v>
      </c>
      <c r="G355" s="7">
        <f t="shared" si="10"/>
        <v>9127699.370000001</v>
      </c>
      <c r="H355" s="8">
        <f t="shared" si="11"/>
        <v>3545</v>
      </c>
    </row>
    <row r="356" spans="1:8" x14ac:dyDescent="0.35">
      <c r="A356" s="5">
        <v>3545.5</v>
      </c>
      <c r="B356" s="6">
        <v>7267454.0899999999</v>
      </c>
      <c r="C356" s="6">
        <v>9162454.0899999999</v>
      </c>
      <c r="D356" s="6">
        <v>69619.12</v>
      </c>
      <c r="E356" s="2">
        <v>352</v>
      </c>
      <c r="G356" s="7">
        <f t="shared" si="10"/>
        <v>9162454.0899999999</v>
      </c>
      <c r="H356" s="8">
        <f t="shared" si="11"/>
        <v>3545.5</v>
      </c>
    </row>
    <row r="357" spans="1:8" x14ac:dyDescent="0.35">
      <c r="A357" s="5">
        <v>3546</v>
      </c>
      <c r="B357" s="6">
        <v>7302318.5</v>
      </c>
      <c r="C357" s="6">
        <v>9197318.5</v>
      </c>
      <c r="D357" s="6">
        <v>69838.500000100001</v>
      </c>
      <c r="E357" s="2">
        <v>353</v>
      </c>
      <c r="G357" s="7">
        <f t="shared" si="10"/>
        <v>9197318.5</v>
      </c>
      <c r="H357" s="8">
        <f t="shared" si="11"/>
        <v>3546</v>
      </c>
    </row>
    <row r="358" spans="1:8" x14ac:dyDescent="0.35">
      <c r="A358" s="5">
        <v>3546.5</v>
      </c>
      <c r="B358" s="6">
        <v>7337292.5899999999</v>
      </c>
      <c r="C358" s="6">
        <v>9232292.5899999999</v>
      </c>
      <c r="D358" s="6">
        <v>70057.87</v>
      </c>
      <c r="E358" s="2">
        <v>354</v>
      </c>
      <c r="G358" s="7">
        <f t="shared" si="10"/>
        <v>9232292.5899999999</v>
      </c>
      <c r="H358" s="8">
        <f t="shared" si="11"/>
        <v>3546.5</v>
      </c>
    </row>
    <row r="359" spans="1:8" x14ac:dyDescent="0.35">
      <c r="A359" s="5">
        <v>3547</v>
      </c>
      <c r="B359" s="6">
        <v>7372376.3700000001</v>
      </c>
      <c r="C359" s="6">
        <v>9267376.370000001</v>
      </c>
      <c r="D359" s="6">
        <v>70277.25</v>
      </c>
      <c r="E359" s="2">
        <v>355</v>
      </c>
      <c r="G359" s="7">
        <f t="shared" si="10"/>
        <v>9267376.370000001</v>
      </c>
      <c r="H359" s="8">
        <f t="shared" si="11"/>
        <v>3547</v>
      </c>
    </row>
    <row r="360" spans="1:8" x14ac:dyDescent="0.35">
      <c r="A360" s="5">
        <v>3547.5</v>
      </c>
      <c r="B360" s="6">
        <v>7407569.8399999999</v>
      </c>
      <c r="C360" s="6">
        <v>9302569.8399999999</v>
      </c>
      <c r="D360" s="6">
        <v>70496.619999899995</v>
      </c>
      <c r="E360" s="2">
        <v>356</v>
      </c>
      <c r="G360" s="7">
        <f t="shared" si="10"/>
        <v>9302569.8399999999</v>
      </c>
      <c r="H360" s="8">
        <f t="shared" si="11"/>
        <v>3547.5</v>
      </c>
    </row>
    <row r="361" spans="1:8" x14ac:dyDescent="0.35">
      <c r="A361" s="5">
        <v>3548</v>
      </c>
      <c r="B361" s="6">
        <v>7442873</v>
      </c>
      <c r="C361" s="6">
        <v>9337873</v>
      </c>
      <c r="D361" s="6">
        <v>70715.999999899999</v>
      </c>
      <c r="E361" s="2">
        <v>357</v>
      </c>
      <c r="G361" s="7">
        <f t="shared" si="10"/>
        <v>9337873</v>
      </c>
      <c r="H361" s="8">
        <f t="shared" si="11"/>
        <v>3548</v>
      </c>
    </row>
    <row r="362" spans="1:8" x14ac:dyDescent="0.35">
      <c r="A362" s="5">
        <v>3548.5</v>
      </c>
      <c r="B362" s="6">
        <v>7478285.8399999999</v>
      </c>
      <c r="C362" s="6">
        <v>9373285.8399999999</v>
      </c>
      <c r="D362" s="6">
        <v>70935.37</v>
      </c>
      <c r="E362" s="2">
        <v>358</v>
      </c>
      <c r="G362" s="7">
        <f t="shared" si="10"/>
        <v>9373285.8399999999</v>
      </c>
      <c r="H362" s="8">
        <f t="shared" si="11"/>
        <v>3548.5</v>
      </c>
    </row>
    <row r="363" spans="1:8" x14ac:dyDescent="0.35">
      <c r="A363" s="5">
        <v>3549</v>
      </c>
      <c r="B363" s="6">
        <v>7513808.3700000001</v>
      </c>
      <c r="C363" s="6">
        <v>9408808.370000001</v>
      </c>
      <c r="D363" s="6">
        <v>71154.750000100001</v>
      </c>
      <c r="E363" s="2">
        <v>359</v>
      </c>
      <c r="G363" s="7">
        <f t="shared" si="10"/>
        <v>9408808.370000001</v>
      </c>
      <c r="H363" s="8">
        <f t="shared" si="11"/>
        <v>3549</v>
      </c>
    </row>
    <row r="364" spans="1:8" x14ac:dyDescent="0.35">
      <c r="A364" s="5">
        <v>3549.5</v>
      </c>
      <c r="B364" s="6">
        <v>7549440.5899999999</v>
      </c>
      <c r="C364" s="6">
        <v>9444440.5899999999</v>
      </c>
      <c r="D364" s="6">
        <v>71374.12</v>
      </c>
      <c r="E364" s="2">
        <v>360</v>
      </c>
      <c r="G364" s="7">
        <f t="shared" si="10"/>
        <v>9444440.5899999999</v>
      </c>
      <c r="H364" s="8">
        <f t="shared" si="11"/>
        <v>3549.5</v>
      </c>
    </row>
    <row r="365" spans="1:8" x14ac:dyDescent="0.35">
      <c r="A365" s="5">
        <v>3550</v>
      </c>
      <c r="B365" s="6">
        <v>7585182.5</v>
      </c>
      <c r="C365" s="6">
        <v>9480182.5</v>
      </c>
      <c r="D365" s="6">
        <v>71593.5</v>
      </c>
      <c r="E365" s="2">
        <v>361</v>
      </c>
      <c r="G365" s="7">
        <f t="shared" si="10"/>
        <v>9480182.5</v>
      </c>
      <c r="H365" s="8">
        <f t="shared" si="11"/>
        <v>3550</v>
      </c>
    </row>
    <row r="366" spans="1:8" x14ac:dyDescent="0.35">
      <c r="A366" s="5">
        <v>3550.5</v>
      </c>
      <c r="B366" s="6">
        <v>7621034.0899999999</v>
      </c>
      <c r="C366" s="6">
        <v>9516034.0899999999</v>
      </c>
      <c r="D366" s="6">
        <v>71812.869999899995</v>
      </c>
      <c r="E366" s="2">
        <v>362</v>
      </c>
      <c r="G366" s="7">
        <f t="shared" si="10"/>
        <v>9516034.0899999999</v>
      </c>
      <c r="H366" s="8">
        <f t="shared" si="11"/>
        <v>3550.5</v>
      </c>
    </row>
    <row r="367" spans="1:8" x14ac:dyDescent="0.35">
      <c r="A367" s="5">
        <v>3551</v>
      </c>
      <c r="B367" s="6">
        <v>7656995.3700000001</v>
      </c>
      <c r="C367" s="6">
        <v>9551995.370000001</v>
      </c>
      <c r="D367" s="6">
        <v>72032.249999899999</v>
      </c>
      <c r="E367" s="2">
        <v>363</v>
      </c>
      <c r="G367" s="7">
        <f t="shared" si="10"/>
        <v>9551995.370000001</v>
      </c>
      <c r="H367" s="8">
        <f t="shared" si="11"/>
        <v>3551</v>
      </c>
    </row>
    <row r="368" spans="1:8" x14ac:dyDescent="0.35">
      <c r="A368" s="5">
        <v>3551.5</v>
      </c>
      <c r="B368" s="6">
        <v>7693066.3399999999</v>
      </c>
      <c r="C368" s="6">
        <v>9588066.3399999999</v>
      </c>
      <c r="D368" s="6">
        <v>72251.62</v>
      </c>
      <c r="E368" s="2">
        <v>364</v>
      </c>
      <c r="G368" s="7">
        <f t="shared" si="10"/>
        <v>9588066.3399999999</v>
      </c>
      <c r="H368" s="8">
        <f t="shared" si="11"/>
        <v>3551.5</v>
      </c>
    </row>
    <row r="369" spans="1:8" x14ac:dyDescent="0.35">
      <c r="A369" s="5">
        <v>3552</v>
      </c>
      <c r="B369" s="6">
        <v>7729247</v>
      </c>
      <c r="C369" s="6">
        <v>9624247</v>
      </c>
      <c r="D369" s="6">
        <v>72471.000000100001</v>
      </c>
      <c r="E369" s="2">
        <v>365</v>
      </c>
      <c r="G369" s="7">
        <f t="shared" si="10"/>
        <v>9624247</v>
      </c>
      <c r="H369" s="8">
        <f t="shared" si="11"/>
        <v>3552</v>
      </c>
    </row>
    <row r="370" spans="1:8" x14ac:dyDescent="0.35">
      <c r="A370" s="5">
        <v>3552.5</v>
      </c>
      <c r="B370" s="6">
        <v>7765537.3399999999</v>
      </c>
      <c r="C370" s="6">
        <v>9660537.3399999999</v>
      </c>
      <c r="D370" s="6">
        <v>72690.37</v>
      </c>
      <c r="E370" s="2">
        <v>366</v>
      </c>
      <c r="G370" s="7">
        <f t="shared" si="10"/>
        <v>9660537.3399999999</v>
      </c>
      <c r="H370" s="8">
        <f t="shared" si="11"/>
        <v>3552.5</v>
      </c>
    </row>
    <row r="371" spans="1:8" x14ac:dyDescent="0.35">
      <c r="A371" s="5">
        <v>3553</v>
      </c>
      <c r="B371" s="6">
        <v>7801937.3700000001</v>
      </c>
      <c r="C371" s="6">
        <v>9696937.370000001</v>
      </c>
      <c r="D371" s="6">
        <v>72909.75</v>
      </c>
      <c r="E371" s="2">
        <v>367</v>
      </c>
      <c r="G371" s="7">
        <f t="shared" si="10"/>
        <v>9696937.370000001</v>
      </c>
      <c r="H371" s="8">
        <f t="shared" si="11"/>
        <v>3553</v>
      </c>
    </row>
    <row r="372" spans="1:8" x14ac:dyDescent="0.35">
      <c r="A372" s="5">
        <v>3553.5</v>
      </c>
      <c r="B372" s="6">
        <v>7838447.0899999999</v>
      </c>
      <c r="C372" s="6">
        <v>9733447.0899999999</v>
      </c>
      <c r="D372" s="6">
        <v>73129.119999899995</v>
      </c>
      <c r="E372" s="2">
        <v>368</v>
      </c>
      <c r="G372" s="7">
        <f t="shared" si="10"/>
        <v>9733447.0899999999</v>
      </c>
      <c r="H372" s="8">
        <f t="shared" si="11"/>
        <v>3553.5</v>
      </c>
    </row>
    <row r="373" spans="1:8" x14ac:dyDescent="0.35">
      <c r="A373" s="5">
        <v>3554</v>
      </c>
      <c r="B373" s="6">
        <v>7875066.5</v>
      </c>
      <c r="C373" s="6">
        <v>9770066.5</v>
      </c>
      <c r="D373" s="6">
        <v>73348.499999899999</v>
      </c>
      <c r="E373" s="2">
        <v>369</v>
      </c>
      <c r="G373" s="7">
        <f t="shared" si="10"/>
        <v>9770066.5</v>
      </c>
      <c r="H373" s="8">
        <f t="shared" si="11"/>
        <v>3554</v>
      </c>
    </row>
    <row r="374" spans="1:8" x14ac:dyDescent="0.35">
      <c r="A374" s="5">
        <v>3554.5</v>
      </c>
      <c r="B374" s="6">
        <v>7911795.5899999999</v>
      </c>
      <c r="C374" s="6">
        <v>9806795.5899999999</v>
      </c>
      <c r="D374" s="6">
        <v>73567.870000099996</v>
      </c>
      <c r="E374" s="2">
        <v>370</v>
      </c>
      <c r="G374" s="7">
        <f t="shared" si="10"/>
        <v>9806795.5899999999</v>
      </c>
      <c r="H374" s="8">
        <f t="shared" si="11"/>
        <v>3554.5</v>
      </c>
    </row>
    <row r="375" spans="1:8" x14ac:dyDescent="0.35">
      <c r="A375" s="5">
        <v>3555</v>
      </c>
      <c r="B375" s="6">
        <v>7948634.3700000001</v>
      </c>
      <c r="C375" s="6">
        <v>9843634.370000001</v>
      </c>
      <c r="D375" s="6">
        <v>73787.250000100001</v>
      </c>
      <c r="E375" s="2">
        <v>371</v>
      </c>
      <c r="G375" s="7">
        <f t="shared" si="10"/>
        <v>9843634.370000001</v>
      </c>
      <c r="H375" s="8">
        <f t="shared" si="11"/>
        <v>3555</v>
      </c>
    </row>
    <row r="376" spans="1:8" x14ac:dyDescent="0.35">
      <c r="A376" s="5">
        <v>3555.5</v>
      </c>
      <c r="B376" s="6">
        <v>7985582.8399999999</v>
      </c>
      <c r="C376" s="6">
        <v>9880582.8399999999</v>
      </c>
      <c r="D376" s="6">
        <v>74006.62</v>
      </c>
      <c r="E376" s="2">
        <v>372</v>
      </c>
      <c r="G376" s="7">
        <f t="shared" si="10"/>
        <v>9880582.8399999999</v>
      </c>
      <c r="H376" s="8">
        <f t="shared" si="11"/>
        <v>3555.5</v>
      </c>
    </row>
    <row r="377" spans="1:8" x14ac:dyDescent="0.35">
      <c r="A377" s="5">
        <v>3556</v>
      </c>
      <c r="B377" s="6">
        <v>8022641</v>
      </c>
      <c r="C377" s="6">
        <v>9917641</v>
      </c>
      <c r="D377" s="6">
        <v>74226</v>
      </c>
      <c r="E377" s="2">
        <v>373</v>
      </c>
      <c r="G377" s="7">
        <f t="shared" si="10"/>
        <v>9917641</v>
      </c>
      <c r="H377" s="8">
        <f t="shared" si="11"/>
        <v>3556</v>
      </c>
    </row>
    <row r="378" spans="1:8" x14ac:dyDescent="0.35">
      <c r="A378" s="5">
        <v>3556.5</v>
      </c>
      <c r="B378" s="6">
        <v>8059808.8399999999</v>
      </c>
      <c r="C378" s="6">
        <v>9954808.8399999999</v>
      </c>
      <c r="D378" s="6">
        <v>74445.369999899995</v>
      </c>
      <c r="E378" s="2">
        <v>374</v>
      </c>
      <c r="G378" s="7">
        <f t="shared" si="10"/>
        <v>9954808.8399999999</v>
      </c>
      <c r="H378" s="8">
        <f t="shared" si="11"/>
        <v>3556.5</v>
      </c>
    </row>
    <row r="379" spans="1:8" x14ac:dyDescent="0.35">
      <c r="A379" s="5">
        <v>3557</v>
      </c>
      <c r="B379" s="6">
        <v>8097086.3700000001</v>
      </c>
      <c r="C379" s="6">
        <v>9992086.370000001</v>
      </c>
      <c r="D379" s="6">
        <v>74664.749999899999</v>
      </c>
      <c r="E379" s="2">
        <v>375</v>
      </c>
      <c r="G379" s="7">
        <f t="shared" si="10"/>
        <v>9992086.370000001</v>
      </c>
      <c r="H379" s="8">
        <f t="shared" si="11"/>
        <v>3557</v>
      </c>
    </row>
    <row r="380" spans="1:8" x14ac:dyDescent="0.35">
      <c r="A380" s="5">
        <v>3557.5</v>
      </c>
      <c r="B380" s="6">
        <v>8134473.59002</v>
      </c>
      <c r="C380" s="6">
        <v>10029473.590020001</v>
      </c>
      <c r="D380" s="6">
        <v>74884.120000099996</v>
      </c>
      <c r="E380" s="2">
        <v>376</v>
      </c>
      <c r="G380" s="7">
        <f t="shared" si="10"/>
        <v>10029473.590020001</v>
      </c>
      <c r="H380" s="8">
        <f t="shared" si="11"/>
        <v>3557.5</v>
      </c>
    </row>
    <row r="381" spans="1:8" x14ac:dyDescent="0.35">
      <c r="A381" s="5">
        <v>3558</v>
      </c>
      <c r="B381" s="6">
        <v>8171970.4999799998</v>
      </c>
      <c r="C381" s="6">
        <v>10066970.499979999</v>
      </c>
      <c r="D381" s="6">
        <v>75103.500000100001</v>
      </c>
      <c r="E381" s="2">
        <v>377</v>
      </c>
      <c r="G381" s="7">
        <f t="shared" si="10"/>
        <v>10066970.499979999</v>
      </c>
      <c r="H381" s="8">
        <f t="shared" si="11"/>
        <v>3558</v>
      </c>
    </row>
    <row r="382" spans="1:8" x14ac:dyDescent="0.35">
      <c r="A382" s="5">
        <v>3558.5</v>
      </c>
      <c r="B382" s="6">
        <v>8209577.0900299996</v>
      </c>
      <c r="C382" s="6">
        <v>10104577.09003</v>
      </c>
      <c r="D382" s="6">
        <v>75322.87</v>
      </c>
      <c r="E382" s="2">
        <v>378</v>
      </c>
      <c r="G382" s="7">
        <f t="shared" si="10"/>
        <v>10104577.09003</v>
      </c>
      <c r="H382" s="8">
        <f t="shared" si="11"/>
        <v>3558.5</v>
      </c>
    </row>
    <row r="383" spans="1:8" x14ac:dyDescent="0.35">
      <c r="A383" s="5">
        <v>3559</v>
      </c>
      <c r="B383" s="6">
        <v>8247293.36998</v>
      </c>
      <c r="C383" s="6">
        <v>10142293.36998</v>
      </c>
      <c r="D383" s="6">
        <v>75542.25</v>
      </c>
      <c r="E383" s="2">
        <v>379</v>
      </c>
      <c r="G383" s="7">
        <f t="shared" si="10"/>
        <v>10142293.36998</v>
      </c>
      <c r="H383" s="8">
        <f t="shared" si="11"/>
        <v>3559</v>
      </c>
    </row>
    <row r="384" spans="1:8" x14ac:dyDescent="0.35">
      <c r="A384" s="5">
        <v>3559.5</v>
      </c>
      <c r="B384" s="6">
        <v>8285119.3399999999</v>
      </c>
      <c r="C384" s="6">
        <v>10180119.34</v>
      </c>
      <c r="D384" s="6">
        <v>75761.619999899995</v>
      </c>
      <c r="E384" s="2">
        <v>380</v>
      </c>
      <c r="G384" s="7">
        <f t="shared" si="10"/>
        <v>10180119.34</v>
      </c>
      <c r="H384" s="8">
        <f t="shared" si="11"/>
        <v>3559.5</v>
      </c>
    </row>
    <row r="385" spans="1:8" x14ac:dyDescent="0.35">
      <c r="A385" s="5">
        <v>3560</v>
      </c>
      <c r="B385" s="6">
        <v>8323054.9999900004</v>
      </c>
      <c r="C385" s="6">
        <v>10218054.999990001</v>
      </c>
      <c r="D385" s="6">
        <v>75980.999999899999</v>
      </c>
      <c r="E385" s="2">
        <v>381</v>
      </c>
      <c r="G385" s="7">
        <f t="shared" si="10"/>
        <v>10218054.999990001</v>
      </c>
      <c r="H385" s="8">
        <f t="shared" si="11"/>
        <v>3560</v>
      </c>
    </row>
    <row r="386" spans="1:8" x14ac:dyDescent="0.35">
      <c r="A386" s="5">
        <v>3560.5</v>
      </c>
      <c r="B386" s="6">
        <v>8361106.0399599997</v>
      </c>
      <c r="C386" s="6">
        <v>10256106.039960001</v>
      </c>
      <c r="D386" s="6">
        <v>76223.149999999994</v>
      </c>
      <c r="E386" s="2">
        <v>382</v>
      </c>
      <c r="G386" s="7">
        <f t="shared" si="10"/>
        <v>10256106.039960001</v>
      </c>
      <c r="H386" s="8">
        <f t="shared" si="11"/>
        <v>3560.5</v>
      </c>
    </row>
    <row r="387" spans="1:8" x14ac:dyDescent="0.35">
      <c r="A387" s="5">
        <v>3561</v>
      </c>
      <c r="B387" s="6">
        <v>8399278.1499700006</v>
      </c>
      <c r="C387" s="6">
        <v>10294278.149970001</v>
      </c>
      <c r="D387" s="6">
        <v>76465.300000100004</v>
      </c>
      <c r="E387" s="2">
        <v>383</v>
      </c>
      <c r="G387" s="7">
        <f t="shared" si="10"/>
        <v>10294278.149970001</v>
      </c>
      <c r="H387" s="8">
        <f t="shared" si="11"/>
        <v>3561</v>
      </c>
    </row>
    <row r="388" spans="1:8" x14ac:dyDescent="0.35">
      <c r="A388" s="5">
        <v>3561.5</v>
      </c>
      <c r="B388" s="6">
        <v>8437571.3399999999</v>
      </c>
      <c r="C388" s="6">
        <v>10332571.34</v>
      </c>
      <c r="D388" s="6">
        <v>76707.449999899996</v>
      </c>
      <c r="E388" s="2">
        <v>384</v>
      </c>
      <c r="G388" s="7">
        <f t="shared" si="10"/>
        <v>10332571.34</v>
      </c>
      <c r="H388" s="8">
        <f t="shared" si="11"/>
        <v>3561.5</v>
      </c>
    </row>
    <row r="389" spans="1:8" x14ac:dyDescent="0.35">
      <c r="A389" s="5">
        <v>3562</v>
      </c>
      <c r="B389" s="6">
        <v>8475985.5999899991</v>
      </c>
      <c r="C389" s="6">
        <v>10370985.599989999</v>
      </c>
      <c r="D389" s="6">
        <v>76949.600000000006</v>
      </c>
      <c r="E389" s="2">
        <v>385</v>
      </c>
      <c r="G389" s="7">
        <f t="shared" si="10"/>
        <v>10370985.599989999</v>
      </c>
      <c r="H389" s="8">
        <f t="shared" si="11"/>
        <v>3562</v>
      </c>
    </row>
    <row r="390" spans="1:8" x14ac:dyDescent="0.35">
      <c r="A390" s="5">
        <v>3562.5</v>
      </c>
      <c r="B390" s="6">
        <v>8514520.9399900008</v>
      </c>
      <c r="C390" s="6">
        <v>10409520.939990001</v>
      </c>
      <c r="D390" s="6">
        <v>77191.750000100001</v>
      </c>
      <c r="E390" s="2">
        <v>386</v>
      </c>
      <c r="G390" s="7">
        <f t="shared" ref="G390:G453" si="12">C390</f>
        <v>10409520.939990001</v>
      </c>
      <c r="H390" s="8">
        <f t="shared" ref="H390:H453" si="13">A390</f>
        <v>3562.5</v>
      </c>
    </row>
    <row r="391" spans="1:8" x14ac:dyDescent="0.35">
      <c r="A391" s="5">
        <v>3563</v>
      </c>
      <c r="B391" s="6">
        <v>8553177.3499599993</v>
      </c>
      <c r="C391" s="6">
        <v>10448177.349959999</v>
      </c>
      <c r="D391" s="6">
        <v>77433.899999899993</v>
      </c>
      <c r="E391" s="2">
        <v>387</v>
      </c>
      <c r="G391" s="7">
        <f t="shared" si="12"/>
        <v>10448177.349959999</v>
      </c>
      <c r="H391" s="8">
        <f t="shared" si="13"/>
        <v>3563</v>
      </c>
    </row>
    <row r="392" spans="1:8" x14ac:dyDescent="0.35">
      <c r="A392" s="5">
        <v>3563.5</v>
      </c>
      <c r="B392" s="6">
        <v>8591954.8400299996</v>
      </c>
      <c r="C392" s="6">
        <v>10486954.84003</v>
      </c>
      <c r="D392" s="6">
        <v>77676.05</v>
      </c>
      <c r="E392" s="2">
        <v>388</v>
      </c>
      <c r="G392" s="7">
        <f t="shared" si="12"/>
        <v>10486954.84003</v>
      </c>
      <c r="H392" s="8">
        <f t="shared" si="13"/>
        <v>3563.5</v>
      </c>
    </row>
    <row r="393" spans="1:8" x14ac:dyDescent="0.35">
      <c r="A393" s="5">
        <v>3564</v>
      </c>
      <c r="B393" s="6">
        <v>8630853.3999700006</v>
      </c>
      <c r="C393" s="6">
        <v>10525853.399970001</v>
      </c>
      <c r="D393" s="6">
        <v>77918.2</v>
      </c>
      <c r="E393" s="2">
        <v>389</v>
      </c>
      <c r="G393" s="7">
        <f t="shared" si="12"/>
        <v>10525853.399970001</v>
      </c>
      <c r="H393" s="8">
        <f t="shared" si="13"/>
        <v>3564</v>
      </c>
    </row>
    <row r="394" spans="1:8" x14ac:dyDescent="0.35">
      <c r="A394" s="5">
        <v>3564.5</v>
      </c>
      <c r="B394" s="6">
        <v>8669873.0400099996</v>
      </c>
      <c r="C394" s="6">
        <v>10564873.04001</v>
      </c>
      <c r="D394" s="6">
        <v>78160.350000100007</v>
      </c>
      <c r="E394" s="2">
        <v>390</v>
      </c>
      <c r="G394" s="7">
        <f t="shared" si="12"/>
        <v>10564873.04001</v>
      </c>
      <c r="H394" s="8">
        <f t="shared" si="13"/>
        <v>3564.5</v>
      </c>
    </row>
    <row r="395" spans="1:8" x14ac:dyDescent="0.35">
      <c r="A395" s="5">
        <v>3565</v>
      </c>
      <c r="B395" s="6">
        <v>8709013.7500199992</v>
      </c>
      <c r="C395" s="6">
        <v>10604013.750019999</v>
      </c>
      <c r="D395" s="6">
        <v>78402.499999899999</v>
      </c>
      <c r="E395" s="2">
        <v>391</v>
      </c>
      <c r="G395" s="7">
        <f t="shared" si="12"/>
        <v>10604013.750019999</v>
      </c>
      <c r="H395" s="8">
        <f t="shared" si="13"/>
        <v>3565</v>
      </c>
    </row>
    <row r="396" spans="1:8" x14ac:dyDescent="0.35">
      <c r="A396" s="5">
        <v>3565.5</v>
      </c>
      <c r="B396" s="6">
        <v>8748275.5400399994</v>
      </c>
      <c r="C396" s="6">
        <v>10643275.540039999</v>
      </c>
      <c r="D396" s="6">
        <v>78644.649999999994</v>
      </c>
      <c r="E396" s="2">
        <v>392</v>
      </c>
      <c r="G396" s="7">
        <f t="shared" si="12"/>
        <v>10643275.540039999</v>
      </c>
      <c r="H396" s="8">
        <f t="shared" si="13"/>
        <v>3565.5</v>
      </c>
    </row>
    <row r="397" spans="1:8" x14ac:dyDescent="0.35">
      <c r="A397" s="5">
        <v>3566</v>
      </c>
      <c r="B397" s="6">
        <v>8787658.4000199996</v>
      </c>
      <c r="C397" s="6">
        <v>10682658.40002</v>
      </c>
      <c r="D397" s="6">
        <v>78886.800000100004</v>
      </c>
      <c r="E397" s="2">
        <v>393</v>
      </c>
      <c r="G397" s="7">
        <f t="shared" si="12"/>
        <v>10682658.40002</v>
      </c>
      <c r="H397" s="8">
        <f t="shared" si="13"/>
        <v>3566</v>
      </c>
    </row>
    <row r="398" spans="1:8" x14ac:dyDescent="0.35">
      <c r="A398" s="5">
        <v>3566.5</v>
      </c>
      <c r="B398" s="6">
        <v>8827162.3400199991</v>
      </c>
      <c r="C398" s="6">
        <v>10722162.340019999</v>
      </c>
      <c r="D398" s="6">
        <v>79128.949999899996</v>
      </c>
      <c r="E398" s="2">
        <v>394</v>
      </c>
      <c r="G398" s="7">
        <f t="shared" si="12"/>
        <v>10722162.340019999</v>
      </c>
      <c r="H398" s="8">
        <f t="shared" si="13"/>
        <v>3566.5</v>
      </c>
    </row>
    <row r="399" spans="1:8" x14ac:dyDescent="0.35">
      <c r="A399" s="5">
        <v>3567</v>
      </c>
      <c r="B399" s="6">
        <v>8866787.3499800004</v>
      </c>
      <c r="C399" s="6">
        <v>10761787.34998</v>
      </c>
      <c r="D399" s="6">
        <v>79371.100000000006</v>
      </c>
      <c r="E399" s="2">
        <v>395</v>
      </c>
      <c r="G399" s="7">
        <f t="shared" si="12"/>
        <v>10761787.34998</v>
      </c>
      <c r="H399" s="8">
        <f t="shared" si="13"/>
        <v>3567</v>
      </c>
    </row>
    <row r="400" spans="1:8" x14ac:dyDescent="0.35">
      <c r="A400" s="5">
        <v>3567.5</v>
      </c>
      <c r="B400" s="6">
        <v>8906533.4399599992</v>
      </c>
      <c r="C400" s="6">
        <v>10801533.439959999</v>
      </c>
      <c r="D400" s="6">
        <v>79613.250000100001</v>
      </c>
      <c r="E400" s="2">
        <v>396</v>
      </c>
      <c r="G400" s="7">
        <f t="shared" si="12"/>
        <v>10801533.439959999</v>
      </c>
      <c r="H400" s="8">
        <f t="shared" si="13"/>
        <v>3567.5</v>
      </c>
    </row>
    <row r="401" spans="1:8" x14ac:dyDescent="0.35">
      <c r="A401" s="5">
        <v>3568</v>
      </c>
      <c r="B401" s="6">
        <v>8946400.5999800004</v>
      </c>
      <c r="C401" s="6">
        <v>10841400.59998</v>
      </c>
      <c r="D401" s="6">
        <v>79855.399999899993</v>
      </c>
      <c r="E401" s="2">
        <v>397</v>
      </c>
      <c r="G401" s="7">
        <f t="shared" si="12"/>
        <v>10841400.59998</v>
      </c>
      <c r="H401" s="8">
        <f t="shared" si="13"/>
        <v>3568</v>
      </c>
    </row>
    <row r="402" spans="1:8" x14ac:dyDescent="0.35">
      <c r="A402" s="5">
        <v>3568.5</v>
      </c>
      <c r="B402" s="6">
        <v>8986388.8400199991</v>
      </c>
      <c r="C402" s="6">
        <v>10881388.840019999</v>
      </c>
      <c r="D402" s="6">
        <v>80097.55</v>
      </c>
      <c r="E402" s="2">
        <v>398</v>
      </c>
      <c r="G402" s="7">
        <f t="shared" si="12"/>
        <v>10881388.840019999</v>
      </c>
      <c r="H402" s="8">
        <f t="shared" si="13"/>
        <v>3568.5</v>
      </c>
    </row>
    <row r="403" spans="1:8" x14ac:dyDescent="0.35">
      <c r="A403" s="5">
        <v>3569</v>
      </c>
      <c r="B403" s="6">
        <v>9026498.1500199996</v>
      </c>
      <c r="C403" s="6">
        <v>10921498.15002</v>
      </c>
      <c r="D403" s="6">
        <v>80339.700000099998</v>
      </c>
      <c r="E403" s="2">
        <v>399</v>
      </c>
      <c r="G403" s="7">
        <f t="shared" si="12"/>
        <v>10921498.15002</v>
      </c>
      <c r="H403" s="8">
        <f t="shared" si="13"/>
        <v>3569</v>
      </c>
    </row>
    <row r="404" spans="1:8" x14ac:dyDescent="0.35">
      <c r="A404" s="5">
        <v>3569.5</v>
      </c>
      <c r="B404" s="6">
        <v>9066728.5400300007</v>
      </c>
      <c r="C404" s="6">
        <v>10961728.540030001</v>
      </c>
      <c r="D404" s="6">
        <v>80581.849999900005</v>
      </c>
      <c r="E404" s="2">
        <v>400</v>
      </c>
      <c r="G404" s="7">
        <f t="shared" si="12"/>
        <v>10961728.540030001</v>
      </c>
      <c r="H404" s="8">
        <f t="shared" si="13"/>
        <v>3569.5</v>
      </c>
    </row>
    <row r="405" spans="1:8" x14ac:dyDescent="0.35">
      <c r="A405" s="5">
        <v>3570</v>
      </c>
      <c r="B405" s="6">
        <v>9107080.0000100005</v>
      </c>
      <c r="C405" s="6">
        <v>11002080.000010001</v>
      </c>
      <c r="D405" s="6">
        <v>80824</v>
      </c>
      <c r="E405" s="2">
        <v>401</v>
      </c>
      <c r="G405" s="7">
        <f t="shared" si="12"/>
        <v>11002080.000010001</v>
      </c>
      <c r="H405" s="8">
        <f t="shared" si="13"/>
        <v>3570</v>
      </c>
    </row>
    <row r="406" spans="1:8" x14ac:dyDescent="0.35">
      <c r="A406" s="5">
        <v>3570.5</v>
      </c>
      <c r="B406" s="6">
        <v>9147552.5399999991</v>
      </c>
      <c r="C406" s="6">
        <v>11042552.539999999</v>
      </c>
      <c r="D406" s="6">
        <v>81066.150000099995</v>
      </c>
      <c r="E406" s="2">
        <v>402</v>
      </c>
      <c r="G406" s="7">
        <f t="shared" si="12"/>
        <v>11042552.539999999</v>
      </c>
      <c r="H406" s="8">
        <f t="shared" si="13"/>
        <v>3570.5</v>
      </c>
    </row>
    <row r="407" spans="1:8" x14ac:dyDescent="0.35">
      <c r="A407" s="5">
        <v>3571</v>
      </c>
      <c r="B407" s="6">
        <v>9188146.1500300001</v>
      </c>
      <c r="C407" s="6">
        <v>11083146.15003</v>
      </c>
      <c r="D407" s="6">
        <v>81308.299999900002</v>
      </c>
      <c r="E407" s="2">
        <v>403</v>
      </c>
      <c r="G407" s="7">
        <f t="shared" si="12"/>
        <v>11083146.15003</v>
      </c>
      <c r="H407" s="8">
        <f t="shared" si="13"/>
        <v>3571</v>
      </c>
    </row>
    <row r="408" spans="1:8" x14ac:dyDescent="0.35">
      <c r="A408" s="5">
        <v>3571.5</v>
      </c>
      <c r="B408" s="6">
        <v>9228860.8400100004</v>
      </c>
      <c r="C408" s="6">
        <v>11123860.84001</v>
      </c>
      <c r="D408" s="6">
        <v>81550.45</v>
      </c>
      <c r="E408" s="2">
        <v>404</v>
      </c>
      <c r="G408" s="7">
        <f t="shared" si="12"/>
        <v>11123860.84001</v>
      </c>
      <c r="H408" s="8">
        <f t="shared" si="13"/>
        <v>3571.5</v>
      </c>
    </row>
    <row r="409" spans="1:8" x14ac:dyDescent="0.35">
      <c r="A409" s="5">
        <v>3572</v>
      </c>
      <c r="B409" s="6">
        <v>9269696.6000200007</v>
      </c>
      <c r="C409" s="6">
        <v>11164696.600020001</v>
      </c>
      <c r="D409" s="6">
        <v>81792.600000100007</v>
      </c>
      <c r="E409" s="2">
        <v>405</v>
      </c>
      <c r="G409" s="7">
        <f t="shared" si="12"/>
        <v>11164696.600020001</v>
      </c>
      <c r="H409" s="8">
        <f t="shared" si="13"/>
        <v>3572</v>
      </c>
    </row>
    <row r="410" spans="1:8" x14ac:dyDescent="0.35">
      <c r="A410" s="5">
        <v>3572.5</v>
      </c>
      <c r="B410" s="6">
        <v>9310653.4399699997</v>
      </c>
      <c r="C410" s="6">
        <v>11205653.43997</v>
      </c>
      <c r="D410" s="6">
        <v>82034.749999899999</v>
      </c>
      <c r="E410" s="2">
        <v>406</v>
      </c>
      <c r="G410" s="7">
        <f t="shared" si="12"/>
        <v>11205653.43997</v>
      </c>
      <c r="H410" s="8">
        <f t="shared" si="13"/>
        <v>3572.5</v>
      </c>
    </row>
    <row r="411" spans="1:8" x14ac:dyDescent="0.35">
      <c r="A411" s="5">
        <v>3573</v>
      </c>
      <c r="B411" s="6">
        <v>9351731.3499599993</v>
      </c>
      <c r="C411" s="6">
        <v>11246731.349959999</v>
      </c>
      <c r="D411" s="6">
        <v>82276.899999999994</v>
      </c>
      <c r="E411" s="2">
        <v>407</v>
      </c>
      <c r="G411" s="7">
        <f t="shared" si="12"/>
        <v>11246731.349959999</v>
      </c>
      <c r="H411" s="8">
        <f t="shared" si="13"/>
        <v>3573</v>
      </c>
    </row>
    <row r="412" spans="1:8" x14ac:dyDescent="0.35">
      <c r="A412" s="5">
        <v>3573.5</v>
      </c>
      <c r="B412" s="6">
        <v>9392930.3399700001</v>
      </c>
      <c r="C412" s="6">
        <v>11287930.33997</v>
      </c>
      <c r="D412" s="6">
        <v>82519.05</v>
      </c>
      <c r="E412" s="2">
        <v>408</v>
      </c>
      <c r="G412" s="7">
        <f t="shared" si="12"/>
        <v>11287930.33997</v>
      </c>
      <c r="H412" s="8">
        <f t="shared" si="13"/>
        <v>3573.5</v>
      </c>
    </row>
    <row r="413" spans="1:8" x14ac:dyDescent="0.35">
      <c r="A413" s="5">
        <v>3574</v>
      </c>
      <c r="B413" s="6">
        <v>9434250.4000199996</v>
      </c>
      <c r="C413" s="6">
        <v>11329250.40002</v>
      </c>
      <c r="D413" s="6">
        <v>82761.200000099998</v>
      </c>
      <c r="E413" s="2">
        <v>409</v>
      </c>
      <c r="G413" s="7">
        <f t="shared" si="12"/>
        <v>11329250.40002</v>
      </c>
      <c r="H413" s="8">
        <f t="shared" si="13"/>
        <v>3574</v>
      </c>
    </row>
    <row r="414" spans="1:8" x14ac:dyDescent="0.35">
      <c r="A414" s="5">
        <v>3574.5</v>
      </c>
      <c r="B414" s="6">
        <v>9475691.5400099996</v>
      </c>
      <c r="C414" s="6">
        <v>11370691.54001</v>
      </c>
      <c r="D414" s="6">
        <v>83003.349999900005</v>
      </c>
      <c r="E414" s="2">
        <v>410</v>
      </c>
      <c r="G414" s="7">
        <f t="shared" si="12"/>
        <v>11370691.54001</v>
      </c>
      <c r="H414" s="8">
        <f t="shared" si="13"/>
        <v>3574.5</v>
      </c>
    </row>
    <row r="415" spans="1:8" x14ac:dyDescent="0.35">
      <c r="A415" s="5">
        <v>3575</v>
      </c>
      <c r="B415" s="6">
        <v>9517253.7500400003</v>
      </c>
      <c r="C415" s="6">
        <v>11412253.75004</v>
      </c>
      <c r="D415" s="6">
        <v>83245.5</v>
      </c>
      <c r="E415" s="2">
        <v>411</v>
      </c>
      <c r="G415" s="7">
        <f t="shared" si="12"/>
        <v>11412253.75004</v>
      </c>
      <c r="H415" s="8">
        <f t="shared" si="13"/>
        <v>3575</v>
      </c>
    </row>
    <row r="416" spans="1:8" x14ac:dyDescent="0.35">
      <c r="A416" s="5">
        <v>3575.5</v>
      </c>
      <c r="B416" s="6">
        <v>9558937.0399999991</v>
      </c>
      <c r="C416" s="6">
        <v>11453937.039999999</v>
      </c>
      <c r="D416" s="6">
        <v>83487.650000099995</v>
      </c>
      <c r="E416" s="2">
        <v>412</v>
      </c>
      <c r="G416" s="7">
        <f t="shared" si="12"/>
        <v>11453937.039999999</v>
      </c>
      <c r="H416" s="8">
        <f t="shared" si="13"/>
        <v>3575.5</v>
      </c>
    </row>
    <row r="417" spans="1:8" x14ac:dyDescent="0.35">
      <c r="A417" s="5">
        <v>3576</v>
      </c>
      <c r="B417" s="6">
        <v>9600741.4000100009</v>
      </c>
      <c r="C417" s="6">
        <v>11495741.400010001</v>
      </c>
      <c r="D417" s="6">
        <v>83729.799999900002</v>
      </c>
      <c r="E417" s="2">
        <v>413</v>
      </c>
      <c r="G417" s="7">
        <f t="shared" si="12"/>
        <v>11495741.400010001</v>
      </c>
      <c r="H417" s="8">
        <f t="shared" si="13"/>
        <v>3576</v>
      </c>
    </row>
    <row r="418" spans="1:8" x14ac:dyDescent="0.35">
      <c r="A418" s="5">
        <v>3576.5</v>
      </c>
      <c r="B418" s="6">
        <v>9642666.8400299996</v>
      </c>
      <c r="C418" s="6">
        <v>11537666.84003</v>
      </c>
      <c r="D418" s="6">
        <v>83971.95</v>
      </c>
      <c r="E418" s="2">
        <v>414</v>
      </c>
      <c r="G418" s="7">
        <f t="shared" si="12"/>
        <v>11537666.84003</v>
      </c>
      <c r="H418" s="8">
        <f t="shared" si="13"/>
        <v>3576.5</v>
      </c>
    </row>
    <row r="419" spans="1:8" x14ac:dyDescent="0.35">
      <c r="A419" s="5">
        <v>3577</v>
      </c>
      <c r="B419" s="6">
        <v>9684713.3500200007</v>
      </c>
      <c r="C419" s="6">
        <v>11579713.350020001</v>
      </c>
      <c r="D419" s="6">
        <v>84214.100000100007</v>
      </c>
      <c r="E419" s="2">
        <v>415</v>
      </c>
      <c r="G419" s="7">
        <f t="shared" si="12"/>
        <v>11579713.350020001</v>
      </c>
      <c r="H419" s="8">
        <f t="shared" si="13"/>
        <v>3577</v>
      </c>
    </row>
    <row r="420" spans="1:8" x14ac:dyDescent="0.35">
      <c r="A420" s="5">
        <v>3577.5</v>
      </c>
      <c r="B420" s="6">
        <v>9726880.9400200006</v>
      </c>
      <c r="C420" s="6">
        <v>11621880.940020001</v>
      </c>
      <c r="D420" s="6">
        <v>84456.249999899999</v>
      </c>
      <c r="E420" s="2">
        <v>416</v>
      </c>
      <c r="G420" s="7">
        <f t="shared" si="12"/>
        <v>11621880.940020001</v>
      </c>
      <c r="H420" s="8">
        <f t="shared" si="13"/>
        <v>3577.5</v>
      </c>
    </row>
    <row r="421" spans="1:8" x14ac:dyDescent="0.35">
      <c r="A421" s="5">
        <v>3578</v>
      </c>
      <c r="B421" s="6">
        <v>9769169.5999800004</v>
      </c>
      <c r="C421" s="6">
        <v>11664169.59998</v>
      </c>
      <c r="D421" s="6">
        <v>84698.4</v>
      </c>
      <c r="E421" s="2">
        <v>417</v>
      </c>
      <c r="G421" s="7">
        <f t="shared" si="12"/>
        <v>11664169.59998</v>
      </c>
      <c r="H421" s="8">
        <f t="shared" si="13"/>
        <v>3578</v>
      </c>
    </row>
    <row r="422" spans="1:8" x14ac:dyDescent="0.35">
      <c r="A422" s="5">
        <v>3578.5</v>
      </c>
      <c r="B422" s="6">
        <v>9811579.3399599995</v>
      </c>
      <c r="C422" s="6">
        <v>11706579.33996</v>
      </c>
      <c r="D422" s="6">
        <v>84940.550000100004</v>
      </c>
      <c r="E422" s="2">
        <v>418</v>
      </c>
      <c r="G422" s="7">
        <f t="shared" si="12"/>
        <v>11706579.33996</v>
      </c>
      <c r="H422" s="8">
        <f t="shared" si="13"/>
        <v>3578.5</v>
      </c>
    </row>
    <row r="423" spans="1:8" x14ac:dyDescent="0.35">
      <c r="A423" s="5">
        <v>3579</v>
      </c>
      <c r="B423" s="6">
        <v>9854110.1499899998</v>
      </c>
      <c r="C423" s="6">
        <v>11749110.14999</v>
      </c>
      <c r="D423" s="6">
        <v>85182.699999899996</v>
      </c>
      <c r="E423" s="2">
        <v>419</v>
      </c>
      <c r="G423" s="7">
        <f t="shared" si="12"/>
        <v>11749110.14999</v>
      </c>
      <c r="H423" s="8">
        <f t="shared" si="13"/>
        <v>3579</v>
      </c>
    </row>
    <row r="424" spans="1:8" x14ac:dyDescent="0.35">
      <c r="A424" s="5">
        <v>3579.5</v>
      </c>
      <c r="B424" s="6">
        <v>9896762.0400200002</v>
      </c>
      <c r="C424" s="6">
        <v>11791762.04002</v>
      </c>
      <c r="D424" s="6">
        <v>85424.85</v>
      </c>
      <c r="E424" s="2">
        <v>420</v>
      </c>
      <c r="G424" s="7">
        <f t="shared" si="12"/>
        <v>11791762.04002</v>
      </c>
      <c r="H424" s="8">
        <f t="shared" si="13"/>
        <v>3579.5</v>
      </c>
    </row>
    <row r="425" spans="1:8" x14ac:dyDescent="0.35">
      <c r="A425" s="5">
        <v>3580</v>
      </c>
      <c r="B425" s="6">
        <v>9939535.0000299998</v>
      </c>
      <c r="C425" s="6">
        <v>11834535.00003</v>
      </c>
      <c r="D425" s="6">
        <v>85667.000000100001</v>
      </c>
      <c r="E425" s="2">
        <v>421</v>
      </c>
      <c r="G425" s="7">
        <f t="shared" si="12"/>
        <v>11834535.00003</v>
      </c>
      <c r="H425" s="8">
        <f t="shared" si="13"/>
        <v>3580</v>
      </c>
    </row>
    <row r="426" spans="1:8" x14ac:dyDescent="0.35">
      <c r="A426" s="5">
        <v>3580.5</v>
      </c>
      <c r="B426" s="6">
        <v>9982429.2500199992</v>
      </c>
      <c r="C426" s="6">
        <v>11877429.250019999</v>
      </c>
      <c r="D426" s="6">
        <v>85909.999999899999</v>
      </c>
      <c r="E426" s="2">
        <v>422</v>
      </c>
      <c r="G426" s="7">
        <f t="shared" si="12"/>
        <v>11877429.250019999</v>
      </c>
      <c r="H426" s="8">
        <f t="shared" si="13"/>
        <v>3580.5</v>
      </c>
    </row>
    <row r="427" spans="1:8" x14ac:dyDescent="0.35">
      <c r="A427" s="5">
        <v>3581</v>
      </c>
      <c r="B427" s="6">
        <v>10025445</v>
      </c>
      <c r="C427" s="6">
        <v>11920445</v>
      </c>
      <c r="D427" s="6">
        <v>86153</v>
      </c>
      <c r="E427" s="2">
        <v>423</v>
      </c>
      <c r="G427" s="7">
        <f t="shared" si="12"/>
        <v>11920445</v>
      </c>
      <c r="H427" s="8">
        <f t="shared" si="13"/>
        <v>3581</v>
      </c>
    </row>
    <row r="428" spans="1:8" x14ac:dyDescent="0.35">
      <c r="A428" s="5">
        <v>3581.5</v>
      </c>
      <c r="B428" s="6">
        <v>10068582.25</v>
      </c>
      <c r="C428" s="6">
        <v>11963582.25</v>
      </c>
      <c r="D428" s="6">
        <v>86396.000000100001</v>
      </c>
      <c r="E428" s="2">
        <v>424</v>
      </c>
      <c r="G428" s="7">
        <f t="shared" si="12"/>
        <v>11963582.25</v>
      </c>
      <c r="H428" s="8">
        <f t="shared" si="13"/>
        <v>3581.5</v>
      </c>
    </row>
    <row r="429" spans="1:8" x14ac:dyDescent="0.35">
      <c r="A429" s="5">
        <v>3582</v>
      </c>
      <c r="B429" s="6">
        <v>10111841</v>
      </c>
      <c r="C429" s="6">
        <v>12006841</v>
      </c>
      <c r="D429" s="6">
        <v>86638.999999899999</v>
      </c>
      <c r="E429" s="2">
        <v>425</v>
      </c>
      <c r="G429" s="7">
        <f t="shared" si="12"/>
        <v>12006841</v>
      </c>
      <c r="H429" s="8">
        <f t="shared" si="13"/>
        <v>3582</v>
      </c>
    </row>
    <row r="430" spans="1:8" x14ac:dyDescent="0.35">
      <c r="A430" s="5">
        <v>3582.5</v>
      </c>
      <c r="B430" s="6">
        <v>10155221.25</v>
      </c>
      <c r="C430" s="6">
        <v>12050221.25</v>
      </c>
      <c r="D430" s="6">
        <v>86882</v>
      </c>
      <c r="E430" s="2">
        <v>426</v>
      </c>
      <c r="G430" s="7">
        <f t="shared" si="12"/>
        <v>12050221.25</v>
      </c>
      <c r="H430" s="8">
        <f t="shared" si="13"/>
        <v>3582.5</v>
      </c>
    </row>
    <row r="431" spans="1:8" x14ac:dyDescent="0.35">
      <c r="A431" s="5">
        <v>3583</v>
      </c>
      <c r="B431" s="6">
        <v>10198723</v>
      </c>
      <c r="C431" s="6">
        <v>12093723</v>
      </c>
      <c r="D431" s="6">
        <v>87125.000000100001</v>
      </c>
      <c r="E431" s="2">
        <v>427</v>
      </c>
      <c r="G431" s="7">
        <f t="shared" si="12"/>
        <v>12093723</v>
      </c>
      <c r="H431" s="8">
        <f t="shared" si="13"/>
        <v>3583</v>
      </c>
    </row>
    <row r="432" spans="1:8" x14ac:dyDescent="0.35">
      <c r="A432" s="5">
        <v>3583.5</v>
      </c>
      <c r="B432" s="6">
        <v>10242346.25</v>
      </c>
      <c r="C432" s="6">
        <v>12137346.25</v>
      </c>
      <c r="D432" s="6">
        <v>87367.999999899999</v>
      </c>
      <c r="E432" s="2">
        <v>428</v>
      </c>
      <c r="G432" s="7">
        <f t="shared" si="12"/>
        <v>12137346.25</v>
      </c>
      <c r="H432" s="8">
        <f t="shared" si="13"/>
        <v>3583.5</v>
      </c>
    </row>
    <row r="433" spans="1:8" x14ac:dyDescent="0.35">
      <c r="A433" s="5">
        <v>3584</v>
      </c>
      <c r="B433" s="6">
        <v>10286091</v>
      </c>
      <c r="C433" s="6">
        <v>12181091</v>
      </c>
      <c r="D433" s="6">
        <v>87611</v>
      </c>
      <c r="E433" s="2">
        <v>429</v>
      </c>
      <c r="G433" s="7">
        <f t="shared" si="12"/>
        <v>12181091</v>
      </c>
      <c r="H433" s="8">
        <f t="shared" si="13"/>
        <v>3584</v>
      </c>
    </row>
    <row r="434" spans="1:8" x14ac:dyDescent="0.35">
      <c r="A434" s="5">
        <v>3584.5</v>
      </c>
      <c r="B434" s="6">
        <v>10329957.25</v>
      </c>
      <c r="C434" s="6">
        <v>12224957.25</v>
      </c>
      <c r="D434" s="6">
        <v>87854.000000100001</v>
      </c>
      <c r="E434" s="2">
        <v>430</v>
      </c>
      <c r="G434" s="7">
        <f t="shared" si="12"/>
        <v>12224957.25</v>
      </c>
      <c r="H434" s="8">
        <f t="shared" si="13"/>
        <v>3584.5</v>
      </c>
    </row>
    <row r="435" spans="1:8" x14ac:dyDescent="0.35">
      <c r="A435" s="5">
        <v>3585</v>
      </c>
      <c r="B435" s="6">
        <v>10373945</v>
      </c>
      <c r="C435" s="6">
        <v>12268945</v>
      </c>
      <c r="D435" s="6">
        <v>88097</v>
      </c>
      <c r="E435" s="2">
        <v>431</v>
      </c>
      <c r="G435" s="7">
        <f t="shared" si="12"/>
        <v>12268945</v>
      </c>
      <c r="H435" s="8">
        <f t="shared" si="13"/>
        <v>3585</v>
      </c>
    </row>
    <row r="436" spans="1:8" x14ac:dyDescent="0.35">
      <c r="A436" s="5">
        <v>3585.5</v>
      </c>
      <c r="B436" s="6">
        <v>10418054.25</v>
      </c>
      <c r="C436" s="6">
        <v>12313054.25</v>
      </c>
      <c r="D436" s="6">
        <v>88340</v>
      </c>
      <c r="E436" s="2">
        <v>432</v>
      </c>
      <c r="G436" s="7">
        <f t="shared" si="12"/>
        <v>12313054.25</v>
      </c>
      <c r="H436" s="8">
        <f t="shared" si="13"/>
        <v>3585.5</v>
      </c>
    </row>
    <row r="437" spans="1:8" x14ac:dyDescent="0.35">
      <c r="A437" s="5">
        <v>3586</v>
      </c>
      <c r="B437" s="6">
        <v>10462285</v>
      </c>
      <c r="C437" s="6">
        <v>12357285</v>
      </c>
      <c r="D437" s="6">
        <v>88582.999999899999</v>
      </c>
      <c r="E437" s="2">
        <v>433</v>
      </c>
      <c r="G437" s="7">
        <f t="shared" si="12"/>
        <v>12357285</v>
      </c>
      <c r="H437" s="8">
        <f t="shared" si="13"/>
        <v>3586</v>
      </c>
    </row>
    <row r="438" spans="1:8" x14ac:dyDescent="0.35">
      <c r="A438" s="5">
        <v>3586.5</v>
      </c>
      <c r="B438" s="6">
        <v>10506637.25</v>
      </c>
      <c r="C438" s="6">
        <v>12401637.25</v>
      </c>
      <c r="D438" s="6">
        <v>88826</v>
      </c>
      <c r="E438" s="2">
        <v>434</v>
      </c>
      <c r="G438" s="7">
        <f t="shared" si="12"/>
        <v>12401637.25</v>
      </c>
      <c r="H438" s="8">
        <f t="shared" si="13"/>
        <v>3586.5</v>
      </c>
    </row>
    <row r="439" spans="1:8" x14ac:dyDescent="0.35">
      <c r="A439" s="5">
        <v>3587</v>
      </c>
      <c r="B439" s="6">
        <v>10551111</v>
      </c>
      <c r="C439" s="6">
        <v>12446111</v>
      </c>
      <c r="D439" s="6">
        <v>89069.000000100001</v>
      </c>
      <c r="E439" s="2">
        <v>435</v>
      </c>
      <c r="G439" s="7">
        <f t="shared" si="12"/>
        <v>12446111</v>
      </c>
      <c r="H439" s="8">
        <f t="shared" si="13"/>
        <v>3587</v>
      </c>
    </row>
    <row r="440" spans="1:8" x14ac:dyDescent="0.35">
      <c r="A440" s="5">
        <v>3587.5</v>
      </c>
      <c r="B440" s="6">
        <v>10595706.25</v>
      </c>
      <c r="C440" s="6">
        <v>12490706.25</v>
      </c>
      <c r="D440" s="6">
        <v>89311.999999899999</v>
      </c>
      <c r="E440" s="2">
        <v>436</v>
      </c>
      <c r="G440" s="7">
        <f t="shared" si="12"/>
        <v>12490706.25</v>
      </c>
      <c r="H440" s="8">
        <f t="shared" si="13"/>
        <v>3587.5</v>
      </c>
    </row>
    <row r="441" spans="1:8" x14ac:dyDescent="0.35">
      <c r="A441" s="5">
        <v>3588</v>
      </c>
      <c r="B441" s="6">
        <v>10640423</v>
      </c>
      <c r="C441" s="6">
        <v>12535423</v>
      </c>
      <c r="D441" s="6">
        <v>89555</v>
      </c>
      <c r="E441" s="2">
        <v>437</v>
      </c>
      <c r="G441" s="7">
        <f t="shared" si="12"/>
        <v>12535423</v>
      </c>
      <c r="H441" s="8">
        <f t="shared" si="13"/>
        <v>3588</v>
      </c>
    </row>
    <row r="442" spans="1:8" x14ac:dyDescent="0.35">
      <c r="A442" s="5">
        <v>3588.5</v>
      </c>
      <c r="B442" s="6">
        <v>10685261.25</v>
      </c>
      <c r="C442" s="6">
        <v>12580261.25</v>
      </c>
      <c r="D442" s="6">
        <v>89798.000000100001</v>
      </c>
      <c r="E442" s="2">
        <v>438</v>
      </c>
      <c r="G442" s="7">
        <f t="shared" si="12"/>
        <v>12580261.25</v>
      </c>
      <c r="H442" s="8">
        <f t="shared" si="13"/>
        <v>3588.5</v>
      </c>
    </row>
    <row r="443" spans="1:8" x14ac:dyDescent="0.35">
      <c r="A443" s="5">
        <v>3589</v>
      </c>
      <c r="B443" s="6">
        <v>10730221</v>
      </c>
      <c r="C443" s="6">
        <v>12625221</v>
      </c>
      <c r="D443" s="6">
        <v>90040.999999899999</v>
      </c>
      <c r="E443" s="2">
        <v>439</v>
      </c>
      <c r="G443" s="7">
        <f t="shared" si="12"/>
        <v>12625221</v>
      </c>
      <c r="H443" s="8">
        <f t="shared" si="13"/>
        <v>3589</v>
      </c>
    </row>
    <row r="444" spans="1:8" x14ac:dyDescent="0.35">
      <c r="A444" s="5">
        <v>3589.5</v>
      </c>
      <c r="B444" s="6">
        <v>10775302.25</v>
      </c>
      <c r="C444" s="6">
        <v>12670302.25</v>
      </c>
      <c r="D444" s="6">
        <v>90284</v>
      </c>
      <c r="E444" s="2">
        <v>440</v>
      </c>
      <c r="G444" s="7">
        <f t="shared" si="12"/>
        <v>12670302.25</v>
      </c>
      <c r="H444" s="8">
        <f t="shared" si="13"/>
        <v>3589.5</v>
      </c>
    </row>
    <row r="445" spans="1:8" x14ac:dyDescent="0.35">
      <c r="A445" s="5">
        <v>3590</v>
      </c>
      <c r="B445" s="6">
        <v>10820505</v>
      </c>
      <c r="C445" s="6">
        <v>12715505</v>
      </c>
      <c r="D445" s="6">
        <v>90527.000000100001</v>
      </c>
      <c r="E445" s="2">
        <v>441</v>
      </c>
      <c r="G445" s="7">
        <f t="shared" si="12"/>
        <v>12715505</v>
      </c>
      <c r="H445" s="8">
        <f t="shared" si="13"/>
        <v>3590</v>
      </c>
    </row>
    <row r="446" spans="1:8" x14ac:dyDescent="0.35">
      <c r="A446" s="5">
        <v>3590.5</v>
      </c>
      <c r="B446" s="6">
        <v>10865829.25</v>
      </c>
      <c r="C446" s="6">
        <v>12760829.25</v>
      </c>
      <c r="D446" s="6">
        <v>90769.999999899999</v>
      </c>
      <c r="E446" s="2">
        <v>442</v>
      </c>
      <c r="G446" s="7">
        <f t="shared" si="12"/>
        <v>12760829.25</v>
      </c>
      <c r="H446" s="8">
        <f t="shared" si="13"/>
        <v>3590.5</v>
      </c>
    </row>
    <row r="447" spans="1:8" x14ac:dyDescent="0.35">
      <c r="A447" s="5">
        <v>3591</v>
      </c>
      <c r="B447" s="6">
        <v>10911275</v>
      </c>
      <c r="C447" s="6">
        <v>12806275</v>
      </c>
      <c r="D447" s="6">
        <v>91013</v>
      </c>
      <c r="E447" s="2">
        <v>443</v>
      </c>
      <c r="G447" s="7">
        <f t="shared" si="12"/>
        <v>12806275</v>
      </c>
      <c r="H447" s="8">
        <f t="shared" si="13"/>
        <v>3591</v>
      </c>
    </row>
    <row r="448" spans="1:8" x14ac:dyDescent="0.35">
      <c r="A448" s="5">
        <v>3591.5</v>
      </c>
      <c r="B448" s="6">
        <v>10956842.25</v>
      </c>
      <c r="C448" s="6">
        <v>12851842.25</v>
      </c>
      <c r="D448" s="6">
        <v>91256.000000100001</v>
      </c>
      <c r="E448" s="2">
        <v>444</v>
      </c>
      <c r="G448" s="7">
        <f t="shared" si="12"/>
        <v>12851842.25</v>
      </c>
      <c r="H448" s="8">
        <f t="shared" si="13"/>
        <v>3591.5</v>
      </c>
    </row>
    <row r="449" spans="1:8" x14ac:dyDescent="0.35">
      <c r="A449" s="5">
        <v>3592</v>
      </c>
      <c r="B449" s="6">
        <v>11002531</v>
      </c>
      <c r="C449" s="6">
        <v>12897531</v>
      </c>
      <c r="D449" s="6">
        <v>91499</v>
      </c>
      <c r="E449" s="2">
        <v>445</v>
      </c>
      <c r="G449" s="7">
        <f t="shared" si="12"/>
        <v>12897531</v>
      </c>
      <c r="H449" s="8">
        <f t="shared" si="13"/>
        <v>3592</v>
      </c>
    </row>
    <row r="450" spans="1:8" x14ac:dyDescent="0.35">
      <c r="A450" s="5">
        <v>3592.5</v>
      </c>
      <c r="B450" s="6">
        <v>11048341.25</v>
      </c>
      <c r="C450" s="6">
        <v>12943341.25</v>
      </c>
      <c r="D450" s="6">
        <v>91742</v>
      </c>
      <c r="E450" s="2">
        <v>446</v>
      </c>
      <c r="G450" s="7">
        <f t="shared" si="12"/>
        <v>12943341.25</v>
      </c>
      <c r="H450" s="8">
        <f t="shared" si="13"/>
        <v>3592.5</v>
      </c>
    </row>
    <row r="451" spans="1:8" x14ac:dyDescent="0.35">
      <c r="A451" s="5">
        <v>3593</v>
      </c>
      <c r="B451" s="6">
        <v>11094273</v>
      </c>
      <c r="C451" s="6">
        <v>12989273</v>
      </c>
      <c r="D451" s="6">
        <v>91984.999999899999</v>
      </c>
      <c r="E451" s="2">
        <v>447</v>
      </c>
      <c r="G451" s="7">
        <f t="shared" si="12"/>
        <v>12989273</v>
      </c>
      <c r="H451" s="8">
        <f t="shared" si="13"/>
        <v>3593</v>
      </c>
    </row>
    <row r="452" spans="1:8" x14ac:dyDescent="0.35">
      <c r="A452" s="5">
        <v>3593.5</v>
      </c>
      <c r="B452" s="6">
        <v>11140326.25</v>
      </c>
      <c r="C452" s="6">
        <v>13035326.25</v>
      </c>
      <c r="D452" s="6">
        <v>92228</v>
      </c>
      <c r="E452" s="2">
        <v>448</v>
      </c>
      <c r="G452" s="7">
        <f t="shared" si="12"/>
        <v>13035326.25</v>
      </c>
      <c r="H452" s="8">
        <f t="shared" si="13"/>
        <v>3593.5</v>
      </c>
    </row>
    <row r="453" spans="1:8" x14ac:dyDescent="0.35">
      <c r="A453" s="5">
        <v>3594</v>
      </c>
      <c r="B453" s="6">
        <v>11186501</v>
      </c>
      <c r="C453" s="6">
        <v>13081501</v>
      </c>
      <c r="D453" s="6">
        <v>92471.000000100001</v>
      </c>
      <c r="E453" s="2">
        <v>449</v>
      </c>
      <c r="G453" s="7">
        <f t="shared" si="12"/>
        <v>13081501</v>
      </c>
      <c r="H453" s="8">
        <f t="shared" si="13"/>
        <v>3594</v>
      </c>
    </row>
    <row r="454" spans="1:8" x14ac:dyDescent="0.35">
      <c r="A454" s="5">
        <v>3594.5</v>
      </c>
      <c r="B454" s="6">
        <v>11232797.25</v>
      </c>
      <c r="C454" s="6">
        <v>13127797.25</v>
      </c>
      <c r="D454" s="6">
        <v>92713.999999899999</v>
      </c>
      <c r="E454" s="2">
        <v>450</v>
      </c>
      <c r="G454" s="7">
        <f t="shared" ref="G454:G517" si="14">C454</f>
        <v>13127797.25</v>
      </c>
      <c r="H454" s="8">
        <f t="shared" ref="H454:H517" si="15">A454</f>
        <v>3594.5</v>
      </c>
    </row>
    <row r="455" spans="1:8" x14ac:dyDescent="0.35">
      <c r="A455" s="5">
        <v>3595</v>
      </c>
      <c r="B455" s="6">
        <v>11279215</v>
      </c>
      <c r="C455" s="6">
        <v>13174215</v>
      </c>
      <c r="D455" s="6">
        <v>92957</v>
      </c>
      <c r="E455" s="2">
        <v>451</v>
      </c>
      <c r="G455" s="7">
        <f t="shared" si="14"/>
        <v>13174215</v>
      </c>
      <c r="H455" s="8">
        <f t="shared" si="15"/>
        <v>3595</v>
      </c>
    </row>
    <row r="456" spans="1:8" x14ac:dyDescent="0.35">
      <c r="A456" s="5">
        <v>3595.5</v>
      </c>
      <c r="B456" s="6">
        <v>11325754.25</v>
      </c>
      <c r="C456" s="6">
        <v>13220754.25</v>
      </c>
      <c r="D456" s="6">
        <v>93200.000000100001</v>
      </c>
      <c r="E456" s="2">
        <v>452</v>
      </c>
      <c r="G456" s="7">
        <f t="shared" si="14"/>
        <v>13220754.25</v>
      </c>
      <c r="H456" s="8">
        <f t="shared" si="15"/>
        <v>3595.5</v>
      </c>
    </row>
    <row r="457" spans="1:8" x14ac:dyDescent="0.35">
      <c r="A457" s="5">
        <v>3596</v>
      </c>
      <c r="B457" s="6">
        <v>11372415</v>
      </c>
      <c r="C457" s="6">
        <v>13267415</v>
      </c>
      <c r="D457" s="6">
        <v>93442.999999899999</v>
      </c>
      <c r="E457" s="2">
        <v>453</v>
      </c>
      <c r="G457" s="7">
        <f t="shared" si="14"/>
        <v>13267415</v>
      </c>
      <c r="H457" s="8">
        <f t="shared" si="15"/>
        <v>3596</v>
      </c>
    </row>
    <row r="458" spans="1:8" x14ac:dyDescent="0.35">
      <c r="A458" s="5">
        <v>3596.5</v>
      </c>
      <c r="B458" s="6">
        <v>11419197.25</v>
      </c>
      <c r="C458" s="6">
        <v>13314197.25</v>
      </c>
      <c r="D458" s="6">
        <v>93686</v>
      </c>
      <c r="E458" s="2">
        <v>454</v>
      </c>
      <c r="G458" s="7">
        <f t="shared" si="14"/>
        <v>13314197.25</v>
      </c>
      <c r="H458" s="8">
        <f t="shared" si="15"/>
        <v>3596.5</v>
      </c>
    </row>
    <row r="459" spans="1:8" x14ac:dyDescent="0.35">
      <c r="A459" s="5">
        <v>3597</v>
      </c>
      <c r="B459" s="6">
        <v>11466101</v>
      </c>
      <c r="C459" s="6">
        <v>13361101</v>
      </c>
      <c r="D459" s="6">
        <v>93929.000000100001</v>
      </c>
      <c r="E459" s="2">
        <v>455</v>
      </c>
      <c r="G459" s="7">
        <f t="shared" si="14"/>
        <v>13361101</v>
      </c>
      <c r="H459" s="8">
        <f t="shared" si="15"/>
        <v>3597</v>
      </c>
    </row>
    <row r="460" spans="1:8" x14ac:dyDescent="0.35">
      <c r="A460" s="5">
        <v>3597.5</v>
      </c>
      <c r="B460" s="6">
        <v>11513126.25</v>
      </c>
      <c r="C460" s="6">
        <v>13408126.25</v>
      </c>
      <c r="D460" s="6">
        <v>94171.999999899999</v>
      </c>
      <c r="E460" s="2">
        <v>456</v>
      </c>
      <c r="G460" s="7">
        <f t="shared" si="14"/>
        <v>13408126.25</v>
      </c>
      <c r="H460" s="8">
        <f t="shared" si="15"/>
        <v>3597.5</v>
      </c>
    </row>
    <row r="461" spans="1:8" x14ac:dyDescent="0.35">
      <c r="A461" s="5">
        <v>3598</v>
      </c>
      <c r="B461" s="6">
        <v>11560273</v>
      </c>
      <c r="C461" s="6">
        <v>13455273</v>
      </c>
      <c r="D461" s="6">
        <v>94415</v>
      </c>
      <c r="E461" s="2">
        <v>457</v>
      </c>
      <c r="G461" s="7">
        <f t="shared" si="14"/>
        <v>13455273</v>
      </c>
      <c r="H461" s="8">
        <f t="shared" si="15"/>
        <v>3598</v>
      </c>
    </row>
    <row r="462" spans="1:8" x14ac:dyDescent="0.35">
      <c r="A462" s="5">
        <v>3598.5</v>
      </c>
      <c r="B462" s="6">
        <v>11607541.25</v>
      </c>
      <c r="C462" s="6">
        <v>13502541.25</v>
      </c>
      <c r="D462" s="6">
        <v>94658.000000100001</v>
      </c>
      <c r="E462" s="2">
        <v>458</v>
      </c>
      <c r="G462" s="7">
        <f t="shared" si="14"/>
        <v>13502541.25</v>
      </c>
      <c r="H462" s="8">
        <f t="shared" si="15"/>
        <v>3598.5</v>
      </c>
    </row>
    <row r="463" spans="1:8" x14ac:dyDescent="0.35">
      <c r="A463" s="5">
        <v>3599</v>
      </c>
      <c r="B463" s="6">
        <v>11654931</v>
      </c>
      <c r="C463" s="6">
        <v>13549931</v>
      </c>
      <c r="D463" s="6">
        <v>94901</v>
      </c>
      <c r="E463" s="2">
        <v>459</v>
      </c>
      <c r="G463" s="7">
        <f t="shared" si="14"/>
        <v>13549931</v>
      </c>
      <c r="H463" s="8">
        <f t="shared" si="15"/>
        <v>3599</v>
      </c>
    </row>
    <row r="464" spans="1:8" x14ac:dyDescent="0.35">
      <c r="A464" s="5">
        <v>3599.5</v>
      </c>
      <c r="B464" s="6">
        <v>11702442.25</v>
      </c>
      <c r="C464" s="6">
        <v>13597442.25</v>
      </c>
      <c r="D464" s="6">
        <v>95144</v>
      </c>
      <c r="E464" s="2">
        <v>460</v>
      </c>
      <c r="G464" s="7">
        <f t="shared" si="14"/>
        <v>13597442.25</v>
      </c>
      <c r="H464" s="8">
        <f t="shared" si="15"/>
        <v>3599.5</v>
      </c>
    </row>
    <row r="465" spans="1:8" x14ac:dyDescent="0.35">
      <c r="A465" s="5">
        <v>3600</v>
      </c>
      <c r="B465" s="6">
        <v>11750075</v>
      </c>
      <c r="C465" s="6">
        <v>13645075</v>
      </c>
      <c r="D465" s="6">
        <v>95386.999999899999</v>
      </c>
      <c r="E465" s="2">
        <v>461</v>
      </c>
      <c r="G465" s="7">
        <f t="shared" si="14"/>
        <v>13645075</v>
      </c>
      <c r="H465" s="8">
        <f t="shared" si="15"/>
        <v>3600</v>
      </c>
    </row>
    <row r="466" spans="1:8" x14ac:dyDescent="0.35">
      <c r="A466" s="5">
        <v>3600.5</v>
      </c>
      <c r="B466" s="6">
        <v>11797834.390000001</v>
      </c>
      <c r="C466" s="6">
        <v>13692834.390000001</v>
      </c>
      <c r="D466" s="6">
        <v>95650.550000100004</v>
      </c>
      <c r="E466" s="2">
        <v>462</v>
      </c>
      <c r="G466" s="7">
        <f t="shared" si="14"/>
        <v>13692834.390000001</v>
      </c>
      <c r="H466" s="8">
        <f t="shared" si="15"/>
        <v>3600.5</v>
      </c>
    </row>
    <row r="467" spans="1:8" x14ac:dyDescent="0.35">
      <c r="A467" s="5">
        <v>3601</v>
      </c>
      <c r="B467" s="6">
        <v>11845725.550000001</v>
      </c>
      <c r="C467" s="6">
        <v>13740725.550000001</v>
      </c>
      <c r="D467" s="6">
        <v>95914.100000100007</v>
      </c>
      <c r="E467" s="2">
        <v>463</v>
      </c>
      <c r="G467" s="7">
        <f t="shared" si="14"/>
        <v>13740725.550000001</v>
      </c>
      <c r="H467" s="8">
        <f t="shared" si="15"/>
        <v>3601</v>
      </c>
    </row>
    <row r="468" spans="1:8" x14ac:dyDescent="0.35">
      <c r="A468" s="5">
        <v>3601.5</v>
      </c>
      <c r="B468" s="6">
        <v>11893748.49</v>
      </c>
      <c r="C468" s="6">
        <v>13788748.49</v>
      </c>
      <c r="D468" s="6">
        <v>96177.65</v>
      </c>
      <c r="E468" s="2">
        <v>464</v>
      </c>
      <c r="G468" s="7">
        <f t="shared" si="14"/>
        <v>13788748.49</v>
      </c>
      <c r="H468" s="8">
        <f t="shared" si="15"/>
        <v>3601.5</v>
      </c>
    </row>
    <row r="469" spans="1:8" x14ac:dyDescent="0.35">
      <c r="A469" s="5">
        <v>3602</v>
      </c>
      <c r="B469" s="6">
        <v>11941903.199999999</v>
      </c>
      <c r="C469" s="6">
        <v>13836903.199999999</v>
      </c>
      <c r="D469" s="6">
        <v>96441.2</v>
      </c>
      <c r="E469" s="2">
        <v>465</v>
      </c>
      <c r="G469" s="7">
        <f t="shared" si="14"/>
        <v>13836903.199999999</v>
      </c>
      <c r="H469" s="8">
        <f t="shared" si="15"/>
        <v>3602</v>
      </c>
    </row>
    <row r="470" spans="1:8" x14ac:dyDescent="0.35">
      <c r="A470" s="5">
        <v>3602.5</v>
      </c>
      <c r="B470" s="6">
        <v>11990189.689999999</v>
      </c>
      <c r="C470" s="6">
        <v>13885189.689999999</v>
      </c>
      <c r="D470" s="6">
        <v>96704.75</v>
      </c>
      <c r="E470" s="2">
        <v>466</v>
      </c>
      <c r="G470" s="7">
        <f t="shared" si="14"/>
        <v>13885189.689999999</v>
      </c>
      <c r="H470" s="8">
        <f t="shared" si="15"/>
        <v>3602.5</v>
      </c>
    </row>
    <row r="471" spans="1:8" x14ac:dyDescent="0.35">
      <c r="A471" s="5">
        <v>3603</v>
      </c>
      <c r="B471" s="6">
        <v>12038607.949999999</v>
      </c>
      <c r="C471" s="6">
        <v>13933607.949999999</v>
      </c>
      <c r="D471" s="6">
        <v>96968.299999900002</v>
      </c>
      <c r="E471" s="2">
        <v>467</v>
      </c>
      <c r="G471" s="7">
        <f t="shared" si="14"/>
        <v>13933607.949999999</v>
      </c>
      <c r="H471" s="8">
        <f t="shared" si="15"/>
        <v>3603</v>
      </c>
    </row>
    <row r="472" spans="1:8" x14ac:dyDescent="0.35">
      <c r="A472" s="5">
        <v>3603.5</v>
      </c>
      <c r="B472" s="6">
        <v>12087157.99</v>
      </c>
      <c r="C472" s="6">
        <v>13982157.99</v>
      </c>
      <c r="D472" s="6">
        <v>97231.849999900005</v>
      </c>
      <c r="E472" s="2">
        <v>468</v>
      </c>
      <c r="G472" s="7">
        <f t="shared" si="14"/>
        <v>13982157.99</v>
      </c>
      <c r="H472" s="8">
        <f t="shared" si="15"/>
        <v>3603.5</v>
      </c>
    </row>
    <row r="473" spans="1:8" x14ac:dyDescent="0.35">
      <c r="A473" s="5">
        <v>3604</v>
      </c>
      <c r="B473" s="6">
        <v>12135839.800000001</v>
      </c>
      <c r="C473" s="6">
        <v>14030839.800000001</v>
      </c>
      <c r="D473" s="6">
        <v>97495.399999899993</v>
      </c>
      <c r="E473" s="2">
        <v>469</v>
      </c>
      <c r="G473" s="7">
        <f t="shared" si="14"/>
        <v>14030839.800000001</v>
      </c>
      <c r="H473" s="8">
        <f t="shared" si="15"/>
        <v>3604</v>
      </c>
    </row>
    <row r="474" spans="1:8" x14ac:dyDescent="0.35">
      <c r="A474" s="5">
        <v>3604.5</v>
      </c>
      <c r="B474" s="6">
        <v>12184653.390000001</v>
      </c>
      <c r="C474" s="6">
        <v>14079653.390000001</v>
      </c>
      <c r="D474" s="6">
        <v>97758.950000099998</v>
      </c>
      <c r="E474" s="2">
        <v>470</v>
      </c>
      <c r="G474" s="7">
        <f t="shared" si="14"/>
        <v>14079653.390000001</v>
      </c>
      <c r="H474" s="8">
        <f t="shared" si="15"/>
        <v>3604.5</v>
      </c>
    </row>
    <row r="475" spans="1:8" x14ac:dyDescent="0.35">
      <c r="A475" s="5">
        <v>3605</v>
      </c>
      <c r="B475" s="6">
        <v>12233598.75</v>
      </c>
      <c r="C475" s="6">
        <v>14128598.75</v>
      </c>
      <c r="D475" s="6">
        <v>98022.500000100001</v>
      </c>
      <c r="E475" s="2">
        <v>471</v>
      </c>
      <c r="G475" s="7">
        <f t="shared" si="14"/>
        <v>14128598.75</v>
      </c>
      <c r="H475" s="8">
        <f t="shared" si="15"/>
        <v>3605</v>
      </c>
    </row>
    <row r="476" spans="1:8" x14ac:dyDescent="0.35">
      <c r="A476" s="5">
        <v>3605.5</v>
      </c>
      <c r="B476" s="6">
        <v>12282675.890000001</v>
      </c>
      <c r="C476" s="6">
        <v>14177675.890000001</v>
      </c>
      <c r="D476" s="6">
        <v>98286.05</v>
      </c>
      <c r="E476" s="2">
        <v>472</v>
      </c>
      <c r="G476" s="7">
        <f t="shared" si="14"/>
        <v>14177675.890000001</v>
      </c>
      <c r="H476" s="8">
        <f t="shared" si="15"/>
        <v>3605.5</v>
      </c>
    </row>
    <row r="477" spans="1:8" x14ac:dyDescent="0.35">
      <c r="A477" s="5">
        <v>3606</v>
      </c>
      <c r="B477" s="6">
        <v>12331884.800000001</v>
      </c>
      <c r="C477" s="6">
        <v>14226884.800000001</v>
      </c>
      <c r="D477" s="6">
        <v>98549.6</v>
      </c>
      <c r="E477" s="2">
        <v>473</v>
      </c>
      <c r="G477" s="7">
        <f t="shared" si="14"/>
        <v>14226884.800000001</v>
      </c>
      <c r="H477" s="8">
        <f t="shared" si="15"/>
        <v>3606</v>
      </c>
    </row>
    <row r="478" spans="1:8" x14ac:dyDescent="0.35">
      <c r="A478" s="5">
        <v>3606.5</v>
      </c>
      <c r="B478" s="6">
        <v>12381225.49</v>
      </c>
      <c r="C478" s="6">
        <v>14276225.49</v>
      </c>
      <c r="D478" s="6">
        <v>98813.15</v>
      </c>
      <c r="E478" s="2">
        <v>474</v>
      </c>
      <c r="G478" s="7">
        <f t="shared" si="14"/>
        <v>14276225.49</v>
      </c>
      <c r="H478" s="8">
        <f t="shared" si="15"/>
        <v>3606.5</v>
      </c>
    </row>
    <row r="479" spans="1:8" x14ac:dyDescent="0.35">
      <c r="A479" s="5">
        <v>3607</v>
      </c>
      <c r="B479" s="6">
        <v>12430697.949999999</v>
      </c>
      <c r="C479" s="6">
        <v>14325697.949999999</v>
      </c>
      <c r="D479" s="6">
        <v>99076.7</v>
      </c>
      <c r="E479" s="2">
        <v>475</v>
      </c>
      <c r="G479" s="7">
        <f t="shared" si="14"/>
        <v>14325697.949999999</v>
      </c>
      <c r="H479" s="8">
        <f t="shared" si="15"/>
        <v>3607</v>
      </c>
    </row>
    <row r="480" spans="1:8" x14ac:dyDescent="0.35">
      <c r="A480" s="5">
        <v>3607.5</v>
      </c>
      <c r="B480" s="6">
        <v>12480302.189999999</v>
      </c>
      <c r="C480" s="6">
        <v>14375302.189999999</v>
      </c>
      <c r="D480" s="6">
        <v>99340.249999899999</v>
      </c>
      <c r="E480" s="2">
        <v>476</v>
      </c>
      <c r="G480" s="7">
        <f t="shared" si="14"/>
        <v>14375302.189999999</v>
      </c>
      <c r="H480" s="8">
        <f t="shared" si="15"/>
        <v>3607.5</v>
      </c>
    </row>
    <row r="481" spans="1:8" x14ac:dyDescent="0.35">
      <c r="A481" s="5">
        <v>3608</v>
      </c>
      <c r="B481" s="6">
        <v>12530038.199999999</v>
      </c>
      <c r="C481" s="6">
        <v>14425038.199999999</v>
      </c>
      <c r="D481" s="6">
        <v>99603.799999900002</v>
      </c>
      <c r="E481" s="2">
        <v>477</v>
      </c>
      <c r="G481" s="7">
        <f t="shared" si="14"/>
        <v>14425038.199999999</v>
      </c>
      <c r="H481" s="8">
        <f t="shared" si="15"/>
        <v>3608</v>
      </c>
    </row>
    <row r="482" spans="1:8" x14ac:dyDescent="0.35">
      <c r="A482" s="5">
        <v>3608.5</v>
      </c>
      <c r="B482" s="6">
        <v>12579905.99</v>
      </c>
      <c r="C482" s="6">
        <v>14474905.99</v>
      </c>
      <c r="D482" s="6">
        <v>99867.350000100007</v>
      </c>
      <c r="E482" s="2">
        <v>478</v>
      </c>
      <c r="G482" s="7">
        <f t="shared" si="14"/>
        <v>14474905.99</v>
      </c>
      <c r="H482" s="8">
        <f t="shared" si="15"/>
        <v>3608.5</v>
      </c>
    </row>
    <row r="483" spans="1:8" x14ac:dyDescent="0.35">
      <c r="A483" s="5">
        <v>3609</v>
      </c>
      <c r="B483" s="6">
        <v>12629905.550000001</v>
      </c>
      <c r="C483" s="6">
        <v>14524905.550000001</v>
      </c>
      <c r="D483" s="6">
        <v>100130.9</v>
      </c>
      <c r="E483" s="2">
        <v>479</v>
      </c>
      <c r="G483" s="7">
        <f t="shared" si="14"/>
        <v>14524905.550000001</v>
      </c>
      <c r="H483" s="8">
        <f t="shared" si="15"/>
        <v>3609</v>
      </c>
    </row>
    <row r="484" spans="1:8" x14ac:dyDescent="0.35">
      <c r="A484" s="5">
        <v>3609.5</v>
      </c>
      <c r="B484" s="6">
        <v>12680036.890000001</v>
      </c>
      <c r="C484" s="6">
        <v>14575036.890000001</v>
      </c>
      <c r="D484" s="6">
        <v>100394.45</v>
      </c>
      <c r="E484" s="2">
        <v>480</v>
      </c>
      <c r="G484" s="7">
        <f t="shared" si="14"/>
        <v>14575036.890000001</v>
      </c>
      <c r="H484" s="8">
        <f t="shared" si="15"/>
        <v>3609.5</v>
      </c>
    </row>
    <row r="485" spans="1:8" x14ac:dyDescent="0.35">
      <c r="A485" s="5">
        <v>3610</v>
      </c>
      <c r="B485" s="6">
        <v>12730300</v>
      </c>
      <c r="C485" s="6">
        <v>14625300</v>
      </c>
      <c r="D485" s="6">
        <v>100658</v>
      </c>
      <c r="E485" s="2">
        <v>481</v>
      </c>
      <c r="G485" s="7">
        <f t="shared" si="14"/>
        <v>14625300</v>
      </c>
      <c r="H485" s="8">
        <f t="shared" si="15"/>
        <v>3610</v>
      </c>
    </row>
    <row r="486" spans="1:8" x14ac:dyDescent="0.35">
      <c r="A486" s="5">
        <v>3610.5</v>
      </c>
      <c r="B486" s="6">
        <v>12780694.890000001</v>
      </c>
      <c r="C486" s="6">
        <v>14675694.890000001</v>
      </c>
      <c r="D486" s="6">
        <v>100921.55</v>
      </c>
      <c r="E486" s="2">
        <v>482</v>
      </c>
      <c r="G486" s="7">
        <f t="shared" si="14"/>
        <v>14675694.890000001</v>
      </c>
      <c r="H486" s="8">
        <f t="shared" si="15"/>
        <v>3610.5</v>
      </c>
    </row>
    <row r="487" spans="1:8" x14ac:dyDescent="0.35">
      <c r="A487" s="5">
        <v>3611</v>
      </c>
      <c r="B487" s="6">
        <v>12831221.550000001</v>
      </c>
      <c r="C487" s="6">
        <v>14726221.550000001</v>
      </c>
      <c r="D487" s="6">
        <v>101185.1</v>
      </c>
      <c r="E487" s="2">
        <v>483</v>
      </c>
      <c r="G487" s="7">
        <f t="shared" si="14"/>
        <v>14726221.550000001</v>
      </c>
      <c r="H487" s="8">
        <f t="shared" si="15"/>
        <v>3611</v>
      </c>
    </row>
    <row r="488" spans="1:8" x14ac:dyDescent="0.35">
      <c r="A488" s="5">
        <v>3611.5</v>
      </c>
      <c r="B488" s="6">
        <v>12881879.99</v>
      </c>
      <c r="C488" s="6">
        <v>14776879.99</v>
      </c>
      <c r="D488" s="6">
        <v>101448.65</v>
      </c>
      <c r="E488" s="2">
        <v>484</v>
      </c>
      <c r="G488" s="7">
        <f t="shared" si="14"/>
        <v>14776879.99</v>
      </c>
      <c r="H488" s="8">
        <f t="shared" si="15"/>
        <v>3611.5</v>
      </c>
    </row>
    <row r="489" spans="1:8" x14ac:dyDescent="0.35">
      <c r="A489" s="5">
        <v>3612</v>
      </c>
      <c r="B489" s="6">
        <v>12932670.199999999</v>
      </c>
      <c r="C489" s="6">
        <v>14827670.199999999</v>
      </c>
      <c r="D489" s="6">
        <v>101712.2</v>
      </c>
      <c r="E489" s="2">
        <v>485</v>
      </c>
      <c r="G489" s="7">
        <f t="shared" si="14"/>
        <v>14827670.199999999</v>
      </c>
      <c r="H489" s="8">
        <f t="shared" si="15"/>
        <v>3612</v>
      </c>
    </row>
    <row r="490" spans="1:8" x14ac:dyDescent="0.35">
      <c r="A490" s="5">
        <v>3612.5</v>
      </c>
      <c r="B490" s="6">
        <v>12983592.189999999</v>
      </c>
      <c r="C490" s="6">
        <v>14878592.189999999</v>
      </c>
      <c r="D490" s="6">
        <v>101975.75</v>
      </c>
      <c r="E490" s="2">
        <v>486</v>
      </c>
      <c r="G490" s="7">
        <f t="shared" si="14"/>
        <v>14878592.189999999</v>
      </c>
      <c r="H490" s="8">
        <f t="shared" si="15"/>
        <v>3612.5</v>
      </c>
    </row>
    <row r="491" spans="1:8" x14ac:dyDescent="0.35">
      <c r="A491" s="5">
        <v>3613</v>
      </c>
      <c r="B491" s="6">
        <v>13034645.949999999</v>
      </c>
      <c r="C491" s="6">
        <v>14929645.949999999</v>
      </c>
      <c r="D491" s="6">
        <v>102239.3</v>
      </c>
      <c r="E491" s="2">
        <v>487</v>
      </c>
      <c r="G491" s="7">
        <f t="shared" si="14"/>
        <v>14929645.949999999</v>
      </c>
      <c r="H491" s="8">
        <f t="shared" si="15"/>
        <v>3613</v>
      </c>
    </row>
    <row r="492" spans="1:8" x14ac:dyDescent="0.35">
      <c r="A492" s="5">
        <v>3613.5</v>
      </c>
      <c r="B492" s="6">
        <v>13085831.49</v>
      </c>
      <c r="C492" s="6">
        <v>14980831.49</v>
      </c>
      <c r="D492" s="6">
        <v>102502.85</v>
      </c>
      <c r="E492" s="2">
        <v>488</v>
      </c>
      <c r="G492" s="7">
        <f t="shared" si="14"/>
        <v>14980831.49</v>
      </c>
      <c r="H492" s="8">
        <f t="shared" si="15"/>
        <v>3613.5</v>
      </c>
    </row>
    <row r="493" spans="1:8" x14ac:dyDescent="0.35">
      <c r="A493" s="5">
        <v>3614</v>
      </c>
      <c r="B493" s="6">
        <v>13137148.800000001</v>
      </c>
      <c r="C493" s="6">
        <v>15032148.800000001</v>
      </c>
      <c r="D493" s="6">
        <v>102766.39999999999</v>
      </c>
      <c r="E493" s="2">
        <v>489</v>
      </c>
      <c r="G493" s="7">
        <f t="shared" si="14"/>
        <v>15032148.800000001</v>
      </c>
      <c r="H493" s="8">
        <f t="shared" si="15"/>
        <v>3614</v>
      </c>
    </row>
    <row r="494" spans="1:8" x14ac:dyDescent="0.35">
      <c r="A494" s="5">
        <v>3614.5</v>
      </c>
      <c r="B494" s="6">
        <v>13188597.890000001</v>
      </c>
      <c r="C494" s="6">
        <v>15083597.890000001</v>
      </c>
      <c r="D494" s="6">
        <v>103029.95</v>
      </c>
      <c r="E494" s="2">
        <v>490</v>
      </c>
      <c r="G494" s="7">
        <f t="shared" si="14"/>
        <v>15083597.890000001</v>
      </c>
      <c r="H494" s="8">
        <f t="shared" si="15"/>
        <v>3614.5</v>
      </c>
    </row>
    <row r="495" spans="1:8" x14ac:dyDescent="0.35">
      <c r="A495" s="5">
        <v>3615</v>
      </c>
      <c r="B495" s="6">
        <v>13240178.75</v>
      </c>
      <c r="C495" s="6">
        <v>15135178.75</v>
      </c>
      <c r="D495" s="6">
        <v>103293.5</v>
      </c>
      <c r="E495" s="2">
        <v>491</v>
      </c>
      <c r="G495" s="7">
        <f t="shared" si="14"/>
        <v>15135178.75</v>
      </c>
      <c r="H495" s="8">
        <f t="shared" si="15"/>
        <v>3615</v>
      </c>
    </row>
    <row r="496" spans="1:8" x14ac:dyDescent="0.35">
      <c r="A496" s="5">
        <v>3615.5</v>
      </c>
      <c r="B496" s="6">
        <v>13291891.390000001</v>
      </c>
      <c r="C496" s="6">
        <v>15186891.390000001</v>
      </c>
      <c r="D496" s="6">
        <v>103557.05</v>
      </c>
      <c r="E496" s="2">
        <v>492</v>
      </c>
      <c r="G496" s="7">
        <f t="shared" si="14"/>
        <v>15186891.390000001</v>
      </c>
      <c r="H496" s="8">
        <f t="shared" si="15"/>
        <v>3615.5</v>
      </c>
    </row>
    <row r="497" spans="1:8" x14ac:dyDescent="0.35">
      <c r="A497" s="5">
        <v>3616</v>
      </c>
      <c r="B497" s="6">
        <v>13343735.800000001</v>
      </c>
      <c r="C497" s="6">
        <v>15238735.800000001</v>
      </c>
      <c r="D497" s="6">
        <v>103820.6</v>
      </c>
      <c r="E497" s="2">
        <v>493</v>
      </c>
      <c r="G497" s="7">
        <f t="shared" si="14"/>
        <v>15238735.800000001</v>
      </c>
      <c r="H497" s="8">
        <f t="shared" si="15"/>
        <v>3616</v>
      </c>
    </row>
    <row r="498" spans="1:8" x14ac:dyDescent="0.35">
      <c r="A498" s="5">
        <v>3616.5</v>
      </c>
      <c r="B498" s="6">
        <v>13395711.99</v>
      </c>
      <c r="C498" s="6">
        <v>15290711.99</v>
      </c>
      <c r="D498" s="6">
        <v>104084.15</v>
      </c>
      <c r="E498" s="2">
        <v>494</v>
      </c>
      <c r="G498" s="7">
        <f t="shared" si="14"/>
        <v>15290711.99</v>
      </c>
      <c r="H498" s="8">
        <f t="shared" si="15"/>
        <v>3616.5</v>
      </c>
    </row>
    <row r="499" spans="1:8" x14ac:dyDescent="0.35">
      <c r="A499" s="5">
        <v>3617</v>
      </c>
      <c r="B499" s="6">
        <v>13447819.949999999</v>
      </c>
      <c r="C499" s="6">
        <v>15342819.949999999</v>
      </c>
      <c r="D499" s="6">
        <v>104347.7</v>
      </c>
      <c r="E499" s="2">
        <v>495</v>
      </c>
      <c r="G499" s="7">
        <f t="shared" si="14"/>
        <v>15342819.949999999</v>
      </c>
      <c r="H499" s="8">
        <f t="shared" si="15"/>
        <v>3617</v>
      </c>
    </row>
    <row r="500" spans="1:8" x14ac:dyDescent="0.35">
      <c r="A500" s="5">
        <v>3617.5</v>
      </c>
      <c r="B500" s="6">
        <v>13500059.689999999</v>
      </c>
      <c r="C500" s="6">
        <v>15395059.689999999</v>
      </c>
      <c r="D500" s="6">
        <v>104611.25</v>
      </c>
      <c r="E500" s="2">
        <v>496</v>
      </c>
      <c r="G500" s="7">
        <f t="shared" si="14"/>
        <v>15395059.689999999</v>
      </c>
      <c r="H500" s="8">
        <f t="shared" si="15"/>
        <v>3617.5</v>
      </c>
    </row>
    <row r="501" spans="1:8" x14ac:dyDescent="0.35">
      <c r="A501" s="5">
        <v>3618</v>
      </c>
      <c r="B501" s="6">
        <v>13552431.199999999</v>
      </c>
      <c r="C501" s="6">
        <v>15447431.199999999</v>
      </c>
      <c r="D501" s="6">
        <v>104874.8</v>
      </c>
      <c r="E501" s="2">
        <v>497</v>
      </c>
      <c r="G501" s="7">
        <f t="shared" si="14"/>
        <v>15447431.199999999</v>
      </c>
      <c r="H501" s="8">
        <f t="shared" si="15"/>
        <v>3618</v>
      </c>
    </row>
    <row r="502" spans="1:8" x14ac:dyDescent="0.35">
      <c r="A502" s="5">
        <v>3618.5</v>
      </c>
      <c r="B502" s="6">
        <v>13604934.49</v>
      </c>
      <c r="C502" s="6">
        <v>15499934.49</v>
      </c>
      <c r="D502" s="6">
        <v>105138.35</v>
      </c>
      <c r="E502" s="2">
        <v>498</v>
      </c>
      <c r="G502" s="7">
        <f t="shared" si="14"/>
        <v>15499934.49</v>
      </c>
      <c r="H502" s="8">
        <f t="shared" si="15"/>
        <v>3618.5</v>
      </c>
    </row>
    <row r="503" spans="1:8" x14ac:dyDescent="0.35">
      <c r="A503" s="5">
        <v>3619</v>
      </c>
      <c r="B503" s="6">
        <v>13657569.550000001</v>
      </c>
      <c r="C503" s="6">
        <v>15552569.550000001</v>
      </c>
      <c r="D503" s="6">
        <v>105401.9</v>
      </c>
      <c r="E503" s="2">
        <v>499</v>
      </c>
      <c r="G503" s="7">
        <f t="shared" si="14"/>
        <v>15552569.550000001</v>
      </c>
      <c r="H503" s="8">
        <f t="shared" si="15"/>
        <v>3619</v>
      </c>
    </row>
    <row r="504" spans="1:8" x14ac:dyDescent="0.35">
      <c r="A504" s="5">
        <v>3619.5</v>
      </c>
      <c r="B504" s="6">
        <v>13710336.390000001</v>
      </c>
      <c r="C504" s="6">
        <v>15605336.390000001</v>
      </c>
      <c r="D504" s="6">
        <v>105665.45</v>
      </c>
      <c r="E504" s="2">
        <v>500</v>
      </c>
      <c r="G504" s="7">
        <f t="shared" si="14"/>
        <v>15605336.390000001</v>
      </c>
      <c r="H504" s="8">
        <f t="shared" si="15"/>
        <v>3619.5</v>
      </c>
    </row>
    <row r="505" spans="1:8" x14ac:dyDescent="0.35">
      <c r="A505" s="5">
        <v>3620</v>
      </c>
      <c r="B505" s="6">
        <v>13763235</v>
      </c>
      <c r="C505" s="6">
        <v>15658235</v>
      </c>
      <c r="D505" s="6">
        <v>105929</v>
      </c>
      <c r="E505" s="2">
        <v>501</v>
      </c>
      <c r="G505" s="7">
        <f t="shared" si="14"/>
        <v>15658235</v>
      </c>
      <c r="H505" s="8">
        <f t="shared" si="15"/>
        <v>3620</v>
      </c>
    </row>
    <row r="506" spans="1:8" x14ac:dyDescent="0.35">
      <c r="A506" s="5">
        <v>3620.5</v>
      </c>
      <c r="B506" s="6">
        <v>13816275.279999999</v>
      </c>
      <c r="C506" s="6">
        <v>15711275.279999999</v>
      </c>
      <c r="D506" s="6">
        <v>106232.12</v>
      </c>
      <c r="E506" s="2">
        <v>502</v>
      </c>
      <c r="G506" s="7">
        <f t="shared" si="14"/>
        <v>15711275.279999999</v>
      </c>
      <c r="H506" s="8">
        <f t="shared" si="15"/>
        <v>3620.5</v>
      </c>
    </row>
    <row r="507" spans="1:8" x14ac:dyDescent="0.35">
      <c r="A507" s="5">
        <v>3621</v>
      </c>
      <c r="B507" s="6">
        <v>13869467.119999999</v>
      </c>
      <c r="C507" s="6">
        <v>15764467.119999999</v>
      </c>
      <c r="D507" s="6">
        <v>106535.25</v>
      </c>
      <c r="E507" s="2">
        <v>503</v>
      </c>
      <c r="G507" s="7">
        <f t="shared" si="14"/>
        <v>15764467.119999999</v>
      </c>
      <c r="H507" s="8">
        <f t="shared" si="15"/>
        <v>3621</v>
      </c>
    </row>
    <row r="508" spans="1:8" x14ac:dyDescent="0.35">
      <c r="A508" s="5">
        <v>3621.5</v>
      </c>
      <c r="B508" s="6">
        <v>13922810.529999999</v>
      </c>
      <c r="C508" s="6">
        <v>15817810.529999999</v>
      </c>
      <c r="D508" s="6">
        <v>106838.37</v>
      </c>
      <c r="E508" s="2">
        <v>504</v>
      </c>
      <c r="G508" s="7">
        <f t="shared" si="14"/>
        <v>15817810.529999999</v>
      </c>
      <c r="H508" s="8">
        <f t="shared" si="15"/>
        <v>3621.5</v>
      </c>
    </row>
    <row r="509" spans="1:8" x14ac:dyDescent="0.35">
      <c r="A509" s="5">
        <v>3622</v>
      </c>
      <c r="B509" s="6">
        <v>13976305.5</v>
      </c>
      <c r="C509" s="6">
        <v>15871305.5</v>
      </c>
      <c r="D509" s="6">
        <v>107141.5</v>
      </c>
      <c r="E509" s="2">
        <v>505</v>
      </c>
      <c r="G509" s="7">
        <f t="shared" si="14"/>
        <v>15871305.5</v>
      </c>
      <c r="H509" s="8">
        <f t="shared" si="15"/>
        <v>3622</v>
      </c>
    </row>
    <row r="510" spans="1:8" x14ac:dyDescent="0.35">
      <c r="A510" s="5">
        <v>3622.5</v>
      </c>
      <c r="B510" s="6">
        <v>14029952.029999999</v>
      </c>
      <c r="C510" s="6">
        <v>15924952.029999999</v>
      </c>
      <c r="D510" s="6">
        <v>107444.62</v>
      </c>
      <c r="E510" s="2">
        <v>506</v>
      </c>
      <c r="G510" s="7">
        <f t="shared" si="14"/>
        <v>15924952.029999999</v>
      </c>
      <c r="H510" s="8">
        <f t="shared" si="15"/>
        <v>3622.5</v>
      </c>
    </row>
    <row r="511" spans="1:8" x14ac:dyDescent="0.35">
      <c r="A511" s="5">
        <v>3623</v>
      </c>
      <c r="B511" s="6">
        <v>14083750.119999999</v>
      </c>
      <c r="C511" s="6">
        <v>15978750.119999999</v>
      </c>
      <c r="D511" s="6">
        <v>107747.75</v>
      </c>
      <c r="E511" s="2">
        <v>507</v>
      </c>
      <c r="G511" s="7">
        <f t="shared" si="14"/>
        <v>15978750.119999999</v>
      </c>
      <c r="H511" s="8">
        <f t="shared" si="15"/>
        <v>3623</v>
      </c>
    </row>
    <row r="512" spans="1:8" x14ac:dyDescent="0.35">
      <c r="A512" s="5">
        <v>3623.5</v>
      </c>
      <c r="B512" s="6">
        <v>14137699.779999999</v>
      </c>
      <c r="C512" s="6">
        <v>16032699.779999999</v>
      </c>
      <c r="D512" s="6">
        <v>108050.87</v>
      </c>
      <c r="E512" s="2">
        <v>508</v>
      </c>
      <c r="G512" s="7">
        <f t="shared" si="14"/>
        <v>16032699.779999999</v>
      </c>
      <c r="H512" s="8">
        <f t="shared" si="15"/>
        <v>3623.5</v>
      </c>
    </row>
    <row r="513" spans="1:8" x14ac:dyDescent="0.35">
      <c r="A513" s="5">
        <v>3624</v>
      </c>
      <c r="B513" s="6">
        <v>14191801</v>
      </c>
      <c r="C513" s="6">
        <v>16086801</v>
      </c>
      <c r="D513" s="6">
        <v>108354</v>
      </c>
      <c r="E513" s="2">
        <v>509</v>
      </c>
      <c r="G513" s="7">
        <f t="shared" si="14"/>
        <v>16086801</v>
      </c>
      <c r="H513" s="8">
        <f t="shared" si="15"/>
        <v>3624</v>
      </c>
    </row>
    <row r="514" spans="1:8" x14ac:dyDescent="0.35">
      <c r="A514" s="5">
        <v>3624.5</v>
      </c>
      <c r="B514" s="6">
        <v>14246053.779999999</v>
      </c>
      <c r="C514" s="6">
        <v>16141053.779999999</v>
      </c>
      <c r="D514" s="6">
        <v>108657.12</v>
      </c>
      <c r="E514" s="2">
        <v>510</v>
      </c>
      <c r="G514" s="7">
        <f t="shared" si="14"/>
        <v>16141053.779999999</v>
      </c>
      <c r="H514" s="8">
        <f t="shared" si="15"/>
        <v>3624.5</v>
      </c>
    </row>
    <row r="515" spans="1:8" x14ac:dyDescent="0.35">
      <c r="A515" s="5">
        <v>3625</v>
      </c>
      <c r="B515" s="6">
        <v>14300458.119999999</v>
      </c>
      <c r="C515" s="6">
        <v>16195458.119999999</v>
      </c>
      <c r="D515" s="6">
        <v>108960.25</v>
      </c>
      <c r="E515" s="2">
        <v>511</v>
      </c>
      <c r="G515" s="7">
        <f t="shared" si="14"/>
        <v>16195458.119999999</v>
      </c>
      <c r="H515" s="8">
        <f t="shared" si="15"/>
        <v>3625</v>
      </c>
    </row>
    <row r="516" spans="1:8" x14ac:dyDescent="0.35">
      <c r="A516" s="5">
        <v>3625.5</v>
      </c>
      <c r="B516" s="6">
        <v>14355014.029999999</v>
      </c>
      <c r="C516" s="6">
        <v>16250014.029999999</v>
      </c>
      <c r="D516" s="6">
        <v>109263.37</v>
      </c>
      <c r="E516" s="2">
        <v>512</v>
      </c>
      <c r="G516" s="7">
        <f t="shared" si="14"/>
        <v>16250014.029999999</v>
      </c>
      <c r="H516" s="8">
        <f t="shared" si="15"/>
        <v>3625.5</v>
      </c>
    </row>
    <row r="517" spans="1:8" x14ac:dyDescent="0.35">
      <c r="A517" s="5">
        <v>3626</v>
      </c>
      <c r="B517" s="6">
        <v>14409721.5</v>
      </c>
      <c r="C517" s="6">
        <v>16304721.5</v>
      </c>
      <c r="D517" s="6">
        <v>109566.5</v>
      </c>
      <c r="E517" s="2">
        <v>513</v>
      </c>
      <c r="G517" s="7">
        <f t="shared" si="14"/>
        <v>16304721.5</v>
      </c>
      <c r="H517" s="8">
        <f t="shared" si="15"/>
        <v>3626</v>
      </c>
    </row>
    <row r="518" spans="1:8" x14ac:dyDescent="0.35">
      <c r="A518" s="5">
        <v>3626.5</v>
      </c>
      <c r="B518" s="6">
        <v>14464580.529999999</v>
      </c>
      <c r="C518" s="6">
        <v>16359580.529999999</v>
      </c>
      <c r="D518" s="6">
        <v>109869.62</v>
      </c>
      <c r="E518" s="2">
        <v>514</v>
      </c>
      <c r="G518" s="7">
        <f t="shared" ref="G518:G581" si="16">C518</f>
        <v>16359580.529999999</v>
      </c>
      <c r="H518" s="8">
        <f t="shared" ref="H518:H581" si="17">A518</f>
        <v>3626.5</v>
      </c>
    </row>
    <row r="519" spans="1:8" x14ac:dyDescent="0.35">
      <c r="A519" s="5">
        <v>3627</v>
      </c>
      <c r="B519" s="6">
        <v>14519591.119999999</v>
      </c>
      <c r="C519" s="6">
        <v>16414591.119999999</v>
      </c>
      <c r="D519" s="6">
        <v>110172.75</v>
      </c>
      <c r="E519" s="2">
        <v>515</v>
      </c>
      <c r="G519" s="7">
        <f t="shared" si="16"/>
        <v>16414591.119999999</v>
      </c>
      <c r="H519" s="8">
        <f t="shared" si="17"/>
        <v>3627</v>
      </c>
    </row>
    <row r="520" spans="1:8" x14ac:dyDescent="0.35">
      <c r="A520" s="5">
        <v>3627.5</v>
      </c>
      <c r="B520" s="6">
        <v>14574753.279999999</v>
      </c>
      <c r="C520" s="6">
        <v>16469753.279999999</v>
      </c>
      <c r="D520" s="6">
        <v>110475.87</v>
      </c>
      <c r="E520" s="2">
        <v>516</v>
      </c>
      <c r="G520" s="7">
        <f t="shared" si="16"/>
        <v>16469753.279999999</v>
      </c>
      <c r="H520" s="8">
        <f t="shared" si="17"/>
        <v>3627.5</v>
      </c>
    </row>
    <row r="521" spans="1:8" x14ac:dyDescent="0.35">
      <c r="A521" s="5">
        <v>3628</v>
      </c>
      <c r="B521" s="6">
        <v>14630067</v>
      </c>
      <c r="C521" s="6">
        <v>16525067</v>
      </c>
      <c r="D521" s="6">
        <v>110779</v>
      </c>
      <c r="E521" s="2">
        <v>517</v>
      </c>
      <c r="G521" s="7">
        <f t="shared" si="16"/>
        <v>16525067</v>
      </c>
      <c r="H521" s="8">
        <f t="shared" si="17"/>
        <v>3628</v>
      </c>
    </row>
    <row r="522" spans="1:8" x14ac:dyDescent="0.35">
      <c r="A522" s="5">
        <v>3628.5</v>
      </c>
      <c r="B522" s="6">
        <v>14685532.279999999</v>
      </c>
      <c r="C522" s="6">
        <v>16580532.279999999</v>
      </c>
      <c r="D522" s="6">
        <v>111082.12</v>
      </c>
      <c r="E522" s="2">
        <v>518</v>
      </c>
      <c r="G522" s="7">
        <f t="shared" si="16"/>
        <v>16580532.279999999</v>
      </c>
      <c r="H522" s="8">
        <f t="shared" si="17"/>
        <v>3628.5</v>
      </c>
    </row>
    <row r="523" spans="1:8" x14ac:dyDescent="0.35">
      <c r="A523" s="5">
        <v>3629</v>
      </c>
      <c r="B523" s="6">
        <v>14741149.119999999</v>
      </c>
      <c r="C523" s="6">
        <v>16636149.119999999</v>
      </c>
      <c r="D523" s="6">
        <v>111385.25</v>
      </c>
      <c r="E523" s="2">
        <v>519</v>
      </c>
      <c r="G523" s="7">
        <f t="shared" si="16"/>
        <v>16636149.119999999</v>
      </c>
      <c r="H523" s="8">
        <f t="shared" si="17"/>
        <v>3629</v>
      </c>
    </row>
    <row r="524" spans="1:8" x14ac:dyDescent="0.35">
      <c r="A524" s="5">
        <v>3629.5</v>
      </c>
      <c r="B524" s="6">
        <v>14796917.529999999</v>
      </c>
      <c r="C524" s="6">
        <v>16691917.529999999</v>
      </c>
      <c r="D524" s="6">
        <v>111688.37</v>
      </c>
      <c r="E524" s="2">
        <v>520</v>
      </c>
      <c r="G524" s="7">
        <f t="shared" si="16"/>
        <v>16691917.529999999</v>
      </c>
      <c r="H524" s="8">
        <f t="shared" si="17"/>
        <v>3629.5</v>
      </c>
    </row>
    <row r="525" spans="1:8" x14ac:dyDescent="0.35">
      <c r="A525" s="5">
        <v>3630</v>
      </c>
      <c r="B525" s="6">
        <v>14852837.5</v>
      </c>
      <c r="C525" s="6">
        <v>16747837.5</v>
      </c>
      <c r="D525" s="6">
        <v>111991.5</v>
      </c>
      <c r="E525" s="2">
        <v>521</v>
      </c>
      <c r="G525" s="7">
        <f t="shared" si="16"/>
        <v>16747837.5</v>
      </c>
      <c r="H525" s="8">
        <f t="shared" si="17"/>
        <v>3630</v>
      </c>
    </row>
    <row r="526" spans="1:8" x14ac:dyDescent="0.35">
      <c r="A526" s="5">
        <v>3630.5</v>
      </c>
      <c r="B526" s="6">
        <v>14908909.029999999</v>
      </c>
      <c r="C526" s="6">
        <v>16803909.030000001</v>
      </c>
      <c r="D526" s="6">
        <v>112294.62</v>
      </c>
      <c r="E526" s="2">
        <v>522</v>
      </c>
      <c r="G526" s="7">
        <f t="shared" si="16"/>
        <v>16803909.030000001</v>
      </c>
      <c r="H526" s="8">
        <f t="shared" si="17"/>
        <v>3630.5</v>
      </c>
    </row>
    <row r="527" spans="1:8" x14ac:dyDescent="0.35">
      <c r="A527" s="5">
        <v>3631</v>
      </c>
      <c r="B527" s="6">
        <v>14965132.119999999</v>
      </c>
      <c r="C527" s="6">
        <v>16860132.119999997</v>
      </c>
      <c r="D527" s="6">
        <v>112597.75</v>
      </c>
      <c r="E527" s="2">
        <v>523</v>
      </c>
      <c r="G527" s="7">
        <f t="shared" si="16"/>
        <v>16860132.119999997</v>
      </c>
      <c r="H527" s="8">
        <f t="shared" si="17"/>
        <v>3631</v>
      </c>
    </row>
    <row r="528" spans="1:8" x14ac:dyDescent="0.35">
      <c r="A528" s="5">
        <v>3631.5</v>
      </c>
      <c r="B528" s="6">
        <v>15021506.779999999</v>
      </c>
      <c r="C528" s="6">
        <v>16916506.780000001</v>
      </c>
      <c r="D528" s="6">
        <v>112900.87</v>
      </c>
      <c r="E528" s="2">
        <v>524</v>
      </c>
      <c r="G528" s="7">
        <f t="shared" si="16"/>
        <v>16916506.780000001</v>
      </c>
      <c r="H528" s="8">
        <f t="shared" si="17"/>
        <v>3631.5</v>
      </c>
    </row>
    <row r="529" spans="1:8" x14ac:dyDescent="0.35">
      <c r="A529" s="5">
        <v>3632</v>
      </c>
      <c r="B529" s="6">
        <v>15078033</v>
      </c>
      <c r="C529" s="6">
        <v>16973033</v>
      </c>
      <c r="D529" s="6">
        <v>113204</v>
      </c>
      <c r="E529" s="2">
        <v>525</v>
      </c>
      <c r="G529" s="7">
        <f t="shared" si="16"/>
        <v>16973033</v>
      </c>
      <c r="H529" s="8">
        <f t="shared" si="17"/>
        <v>3632</v>
      </c>
    </row>
    <row r="530" spans="1:8" x14ac:dyDescent="0.35">
      <c r="A530" s="5">
        <v>3632.5</v>
      </c>
      <c r="B530" s="6">
        <v>15134710.779999999</v>
      </c>
      <c r="C530" s="6">
        <v>17029710.780000001</v>
      </c>
      <c r="D530" s="6">
        <v>113507.12</v>
      </c>
      <c r="E530" s="2">
        <v>526</v>
      </c>
      <c r="G530" s="7">
        <f t="shared" si="16"/>
        <v>17029710.780000001</v>
      </c>
      <c r="H530" s="8">
        <f t="shared" si="17"/>
        <v>3632.5</v>
      </c>
    </row>
    <row r="531" spans="1:8" x14ac:dyDescent="0.35">
      <c r="A531" s="5">
        <v>3633</v>
      </c>
      <c r="B531" s="6">
        <v>15191540.119999999</v>
      </c>
      <c r="C531" s="6">
        <v>17086540.119999997</v>
      </c>
      <c r="D531" s="6">
        <v>113810.25</v>
      </c>
      <c r="E531" s="2">
        <v>527</v>
      </c>
      <c r="G531" s="7">
        <f t="shared" si="16"/>
        <v>17086540.119999997</v>
      </c>
      <c r="H531" s="8">
        <f t="shared" si="17"/>
        <v>3633</v>
      </c>
    </row>
    <row r="532" spans="1:8" x14ac:dyDescent="0.35">
      <c r="A532" s="5">
        <v>3633.5</v>
      </c>
      <c r="B532" s="6">
        <v>15248521.029999999</v>
      </c>
      <c r="C532" s="6">
        <v>17143521.030000001</v>
      </c>
      <c r="D532" s="6">
        <v>114113.37</v>
      </c>
      <c r="E532" s="2">
        <v>528</v>
      </c>
      <c r="G532" s="7">
        <f t="shared" si="16"/>
        <v>17143521.030000001</v>
      </c>
      <c r="H532" s="8">
        <f t="shared" si="17"/>
        <v>3633.5</v>
      </c>
    </row>
    <row r="533" spans="1:8" x14ac:dyDescent="0.35">
      <c r="A533" s="5">
        <v>3634</v>
      </c>
      <c r="B533" s="6">
        <v>15305653.5</v>
      </c>
      <c r="C533" s="6">
        <v>17200653.5</v>
      </c>
      <c r="D533" s="6">
        <v>114416.5</v>
      </c>
      <c r="E533" s="2">
        <v>529</v>
      </c>
      <c r="G533" s="7">
        <f t="shared" si="16"/>
        <v>17200653.5</v>
      </c>
      <c r="H533" s="8">
        <f t="shared" si="17"/>
        <v>3634</v>
      </c>
    </row>
    <row r="534" spans="1:8" x14ac:dyDescent="0.35">
      <c r="A534" s="5">
        <v>3634.5</v>
      </c>
      <c r="B534" s="6">
        <v>15362937.529999999</v>
      </c>
      <c r="C534" s="6">
        <v>17257937.530000001</v>
      </c>
      <c r="D534" s="6">
        <v>114719.62</v>
      </c>
      <c r="E534" s="2">
        <v>530</v>
      </c>
      <c r="G534" s="7">
        <f t="shared" si="16"/>
        <v>17257937.530000001</v>
      </c>
      <c r="H534" s="8">
        <f t="shared" si="17"/>
        <v>3634.5</v>
      </c>
    </row>
    <row r="535" spans="1:8" x14ac:dyDescent="0.35">
      <c r="A535" s="5">
        <v>3635</v>
      </c>
      <c r="B535" s="6">
        <v>15420373.119999999</v>
      </c>
      <c r="C535" s="6">
        <v>17315373.119999997</v>
      </c>
      <c r="D535" s="6">
        <v>115022.75</v>
      </c>
      <c r="E535" s="2">
        <v>531</v>
      </c>
      <c r="G535" s="7">
        <f t="shared" si="16"/>
        <v>17315373.119999997</v>
      </c>
      <c r="H535" s="8">
        <f t="shared" si="17"/>
        <v>3635</v>
      </c>
    </row>
    <row r="536" spans="1:8" x14ac:dyDescent="0.35">
      <c r="A536" s="5">
        <v>3635.5</v>
      </c>
      <c r="B536" s="6">
        <v>15477960.279999999</v>
      </c>
      <c r="C536" s="6">
        <v>17372960.280000001</v>
      </c>
      <c r="D536" s="6">
        <v>115325.87</v>
      </c>
      <c r="E536" s="2">
        <v>532</v>
      </c>
      <c r="G536" s="7">
        <f t="shared" si="16"/>
        <v>17372960.280000001</v>
      </c>
      <c r="H536" s="8">
        <f t="shared" si="17"/>
        <v>3635.5</v>
      </c>
    </row>
    <row r="537" spans="1:8" x14ac:dyDescent="0.35">
      <c r="A537" s="5">
        <v>3636</v>
      </c>
      <c r="B537" s="6">
        <v>15535699</v>
      </c>
      <c r="C537" s="6">
        <v>17430699</v>
      </c>
      <c r="D537" s="6">
        <v>115629</v>
      </c>
      <c r="E537" s="2">
        <v>533</v>
      </c>
      <c r="G537" s="7">
        <f t="shared" si="16"/>
        <v>17430699</v>
      </c>
      <c r="H537" s="8">
        <f t="shared" si="17"/>
        <v>3636</v>
      </c>
    </row>
    <row r="538" spans="1:8" x14ac:dyDescent="0.35">
      <c r="A538" s="5">
        <v>3636.5</v>
      </c>
      <c r="B538" s="6">
        <v>15593589.279999999</v>
      </c>
      <c r="C538" s="6">
        <v>17488589.280000001</v>
      </c>
      <c r="D538" s="6">
        <v>115932.12</v>
      </c>
      <c r="E538" s="2">
        <v>534</v>
      </c>
      <c r="G538" s="7">
        <f t="shared" si="16"/>
        <v>17488589.280000001</v>
      </c>
      <c r="H538" s="8">
        <f t="shared" si="17"/>
        <v>3636.5</v>
      </c>
    </row>
    <row r="539" spans="1:8" x14ac:dyDescent="0.35">
      <c r="A539" s="5">
        <v>3637</v>
      </c>
      <c r="B539" s="6">
        <v>15651631.119999999</v>
      </c>
      <c r="C539" s="6">
        <v>17546631.119999997</v>
      </c>
      <c r="D539" s="6">
        <v>116235.25</v>
      </c>
      <c r="E539" s="2">
        <v>535</v>
      </c>
      <c r="G539" s="7">
        <f t="shared" si="16"/>
        <v>17546631.119999997</v>
      </c>
      <c r="H539" s="8">
        <f t="shared" si="17"/>
        <v>3637</v>
      </c>
    </row>
    <row r="540" spans="1:8" x14ac:dyDescent="0.35">
      <c r="A540" s="5">
        <v>3637.5</v>
      </c>
      <c r="B540" s="6">
        <v>15709824.529999999</v>
      </c>
      <c r="C540" s="6">
        <v>17604824.530000001</v>
      </c>
      <c r="D540" s="6">
        <v>116538.37</v>
      </c>
      <c r="E540" s="2">
        <v>536</v>
      </c>
      <c r="G540" s="7">
        <f t="shared" si="16"/>
        <v>17604824.530000001</v>
      </c>
      <c r="H540" s="8">
        <f t="shared" si="17"/>
        <v>3637.5</v>
      </c>
    </row>
    <row r="541" spans="1:8" x14ac:dyDescent="0.35">
      <c r="A541" s="5">
        <v>3638</v>
      </c>
      <c r="B541" s="6">
        <v>15768169.5</v>
      </c>
      <c r="C541" s="6">
        <v>17663169.5</v>
      </c>
      <c r="D541" s="6">
        <v>116841.5</v>
      </c>
      <c r="E541" s="2">
        <v>537</v>
      </c>
      <c r="G541" s="7">
        <f t="shared" si="16"/>
        <v>17663169.5</v>
      </c>
      <c r="H541" s="8">
        <f t="shared" si="17"/>
        <v>3638</v>
      </c>
    </row>
    <row r="542" spans="1:8" x14ac:dyDescent="0.35">
      <c r="A542" s="5">
        <v>3638.5</v>
      </c>
      <c r="B542" s="6">
        <v>15826666.029999999</v>
      </c>
      <c r="C542" s="6">
        <v>17721666.030000001</v>
      </c>
      <c r="D542" s="6">
        <v>117144.62</v>
      </c>
      <c r="E542" s="2">
        <v>538</v>
      </c>
      <c r="G542" s="7">
        <f t="shared" si="16"/>
        <v>17721666.030000001</v>
      </c>
      <c r="H542" s="8">
        <f t="shared" si="17"/>
        <v>3638.5</v>
      </c>
    </row>
    <row r="543" spans="1:8" x14ac:dyDescent="0.35">
      <c r="A543" s="5">
        <v>3639</v>
      </c>
      <c r="B543" s="6">
        <v>15885314.119999999</v>
      </c>
      <c r="C543" s="6">
        <v>17780314.119999997</v>
      </c>
      <c r="D543" s="6">
        <v>117447.75</v>
      </c>
      <c r="E543" s="2">
        <v>539</v>
      </c>
      <c r="G543" s="7">
        <f t="shared" si="16"/>
        <v>17780314.119999997</v>
      </c>
      <c r="H543" s="8">
        <f t="shared" si="17"/>
        <v>3639</v>
      </c>
    </row>
    <row r="544" spans="1:8" x14ac:dyDescent="0.35">
      <c r="A544" s="5">
        <v>3639.5</v>
      </c>
      <c r="B544" s="6">
        <v>15944113.779999999</v>
      </c>
      <c r="C544" s="6">
        <v>17839113.780000001</v>
      </c>
      <c r="D544" s="6">
        <v>117750.87</v>
      </c>
      <c r="E544" s="2">
        <v>540</v>
      </c>
      <c r="G544" s="7">
        <f t="shared" si="16"/>
        <v>17839113.780000001</v>
      </c>
      <c r="H544" s="8">
        <f t="shared" si="17"/>
        <v>3639.5</v>
      </c>
    </row>
    <row r="545" spans="1:8" x14ac:dyDescent="0.35">
      <c r="A545" s="5">
        <v>3640</v>
      </c>
      <c r="B545" s="6">
        <v>16003065</v>
      </c>
      <c r="C545" s="6">
        <v>17898065</v>
      </c>
      <c r="D545" s="6">
        <v>118054</v>
      </c>
      <c r="E545" s="2">
        <v>541</v>
      </c>
      <c r="G545" s="7">
        <f t="shared" si="16"/>
        <v>17898065</v>
      </c>
      <c r="H545" s="8">
        <f t="shared" si="17"/>
        <v>3640</v>
      </c>
    </row>
    <row r="546" spans="1:8" x14ac:dyDescent="0.35">
      <c r="A546" s="5">
        <v>3640.5</v>
      </c>
      <c r="B546" s="6">
        <v>16062172.279999999</v>
      </c>
      <c r="C546" s="6">
        <v>17957172.280000001</v>
      </c>
      <c r="D546" s="6">
        <v>118375.12</v>
      </c>
      <c r="E546" s="2">
        <v>542</v>
      </c>
      <c r="G546" s="7">
        <f t="shared" si="16"/>
        <v>17957172.280000001</v>
      </c>
      <c r="H546" s="8">
        <f t="shared" si="17"/>
        <v>3640.5</v>
      </c>
    </row>
    <row r="547" spans="1:8" x14ac:dyDescent="0.35">
      <c r="A547" s="5">
        <v>3641</v>
      </c>
      <c r="B547" s="6">
        <v>16121440.119999999</v>
      </c>
      <c r="C547" s="6">
        <v>18016440.119999997</v>
      </c>
      <c r="D547" s="6">
        <v>118696.25</v>
      </c>
      <c r="E547" s="2">
        <v>543</v>
      </c>
      <c r="G547" s="7">
        <f t="shared" si="16"/>
        <v>18016440.119999997</v>
      </c>
      <c r="H547" s="8">
        <f t="shared" si="17"/>
        <v>3641</v>
      </c>
    </row>
    <row r="548" spans="1:8" x14ac:dyDescent="0.35">
      <c r="A548" s="5">
        <v>3641.5</v>
      </c>
      <c r="B548" s="6">
        <v>16180868.529999999</v>
      </c>
      <c r="C548" s="6">
        <v>18075868.530000001</v>
      </c>
      <c r="D548" s="6">
        <v>119017.37</v>
      </c>
      <c r="E548" s="2">
        <v>544</v>
      </c>
      <c r="G548" s="7">
        <f t="shared" si="16"/>
        <v>18075868.530000001</v>
      </c>
      <c r="H548" s="8">
        <f t="shared" si="17"/>
        <v>3641.5</v>
      </c>
    </row>
    <row r="549" spans="1:8" x14ac:dyDescent="0.35">
      <c r="A549" s="5">
        <v>3642</v>
      </c>
      <c r="B549" s="6">
        <v>16240457.5</v>
      </c>
      <c r="C549" s="6">
        <v>18135457.5</v>
      </c>
      <c r="D549" s="6">
        <v>119338.5</v>
      </c>
      <c r="E549" s="2">
        <v>545</v>
      </c>
      <c r="G549" s="7">
        <f t="shared" si="16"/>
        <v>18135457.5</v>
      </c>
      <c r="H549" s="8">
        <f t="shared" si="17"/>
        <v>3642</v>
      </c>
    </row>
    <row r="550" spans="1:8" x14ac:dyDescent="0.35">
      <c r="A550" s="5">
        <v>3642.5</v>
      </c>
      <c r="B550" s="6">
        <v>16300207.029999999</v>
      </c>
      <c r="C550" s="6">
        <v>18195207.030000001</v>
      </c>
      <c r="D550" s="6">
        <v>119659.62</v>
      </c>
      <c r="E550" s="2">
        <v>546</v>
      </c>
      <c r="G550" s="7">
        <f t="shared" si="16"/>
        <v>18195207.030000001</v>
      </c>
      <c r="H550" s="8">
        <f t="shared" si="17"/>
        <v>3642.5</v>
      </c>
    </row>
    <row r="551" spans="1:8" x14ac:dyDescent="0.35">
      <c r="A551" s="5">
        <v>3643</v>
      </c>
      <c r="B551" s="6">
        <v>16360117.119999999</v>
      </c>
      <c r="C551" s="6">
        <v>18255117.119999997</v>
      </c>
      <c r="D551" s="6">
        <v>119980.75</v>
      </c>
      <c r="E551" s="2">
        <v>547</v>
      </c>
      <c r="G551" s="7">
        <f t="shared" si="16"/>
        <v>18255117.119999997</v>
      </c>
      <c r="H551" s="8">
        <f t="shared" si="17"/>
        <v>3643</v>
      </c>
    </row>
    <row r="552" spans="1:8" x14ac:dyDescent="0.35">
      <c r="A552" s="5">
        <v>3643.5</v>
      </c>
      <c r="B552" s="6">
        <v>16420187.779999999</v>
      </c>
      <c r="C552" s="6">
        <v>18315187.780000001</v>
      </c>
      <c r="D552" s="6">
        <v>120301.87</v>
      </c>
      <c r="E552" s="2">
        <v>548</v>
      </c>
      <c r="G552" s="7">
        <f t="shared" si="16"/>
        <v>18315187.780000001</v>
      </c>
      <c r="H552" s="8">
        <f t="shared" si="17"/>
        <v>3643.5</v>
      </c>
    </row>
    <row r="553" spans="1:8" x14ac:dyDescent="0.35">
      <c r="A553" s="5">
        <v>3644</v>
      </c>
      <c r="B553" s="6">
        <v>16480419</v>
      </c>
      <c r="C553" s="6">
        <v>18375419</v>
      </c>
      <c r="D553" s="6">
        <v>120623</v>
      </c>
      <c r="E553" s="2">
        <v>549</v>
      </c>
      <c r="G553" s="7">
        <f t="shared" si="16"/>
        <v>18375419</v>
      </c>
      <c r="H553" s="8">
        <f t="shared" si="17"/>
        <v>3644</v>
      </c>
    </row>
    <row r="554" spans="1:8" x14ac:dyDescent="0.35">
      <c r="A554" s="5">
        <v>3644.5</v>
      </c>
      <c r="B554" s="6">
        <v>16540810.779999999</v>
      </c>
      <c r="C554" s="6">
        <v>18435810.780000001</v>
      </c>
      <c r="D554" s="6">
        <v>120944.12</v>
      </c>
      <c r="E554" s="2">
        <v>550</v>
      </c>
      <c r="G554" s="7">
        <f t="shared" si="16"/>
        <v>18435810.780000001</v>
      </c>
      <c r="H554" s="8">
        <f t="shared" si="17"/>
        <v>3644.5</v>
      </c>
    </row>
    <row r="555" spans="1:8" x14ac:dyDescent="0.35">
      <c r="A555" s="5">
        <v>3645</v>
      </c>
      <c r="B555" s="6">
        <v>16601363.119999999</v>
      </c>
      <c r="C555" s="6">
        <v>18496363.119999997</v>
      </c>
      <c r="D555" s="6">
        <v>121265.25</v>
      </c>
      <c r="E555" s="2">
        <v>551</v>
      </c>
      <c r="G555" s="7">
        <f t="shared" si="16"/>
        <v>18496363.119999997</v>
      </c>
      <c r="H555" s="8">
        <f t="shared" si="17"/>
        <v>3645</v>
      </c>
    </row>
    <row r="556" spans="1:8" x14ac:dyDescent="0.35">
      <c r="A556" s="5">
        <v>3645.5</v>
      </c>
      <c r="B556" s="6">
        <v>16662076.029999999</v>
      </c>
      <c r="C556" s="6">
        <v>18557076.030000001</v>
      </c>
      <c r="D556" s="6">
        <v>121586.37</v>
      </c>
      <c r="E556" s="2">
        <v>552</v>
      </c>
      <c r="G556" s="7">
        <f t="shared" si="16"/>
        <v>18557076.030000001</v>
      </c>
      <c r="H556" s="8">
        <f t="shared" si="17"/>
        <v>3645.5</v>
      </c>
    </row>
    <row r="557" spans="1:8" x14ac:dyDescent="0.35">
      <c r="A557" s="5">
        <v>3646</v>
      </c>
      <c r="B557" s="6">
        <v>16722949.5</v>
      </c>
      <c r="C557" s="6">
        <v>18617949.5</v>
      </c>
      <c r="D557" s="6">
        <v>121907.5</v>
      </c>
      <c r="E557" s="2">
        <v>553</v>
      </c>
      <c r="G557" s="7">
        <f t="shared" si="16"/>
        <v>18617949.5</v>
      </c>
      <c r="H557" s="8">
        <f t="shared" si="17"/>
        <v>3646</v>
      </c>
    </row>
    <row r="558" spans="1:8" x14ac:dyDescent="0.35">
      <c r="A558" s="5">
        <v>3646.5</v>
      </c>
      <c r="B558" s="6">
        <v>16783983.530000001</v>
      </c>
      <c r="C558" s="6">
        <v>18678983.530000001</v>
      </c>
      <c r="D558" s="6">
        <v>122228.62</v>
      </c>
      <c r="E558" s="2">
        <v>554</v>
      </c>
      <c r="G558" s="7">
        <f t="shared" si="16"/>
        <v>18678983.530000001</v>
      </c>
      <c r="H558" s="8">
        <f t="shared" si="17"/>
        <v>3646.5</v>
      </c>
    </row>
    <row r="559" spans="1:8" x14ac:dyDescent="0.35">
      <c r="A559" s="5">
        <v>3647</v>
      </c>
      <c r="B559" s="6">
        <v>16845178.120000001</v>
      </c>
      <c r="C559" s="6">
        <v>18740178.120000001</v>
      </c>
      <c r="D559" s="6">
        <v>122549.75</v>
      </c>
      <c r="E559" s="2">
        <v>555</v>
      </c>
      <c r="G559" s="7">
        <f t="shared" si="16"/>
        <v>18740178.120000001</v>
      </c>
      <c r="H559" s="8">
        <f t="shared" si="17"/>
        <v>3647</v>
      </c>
    </row>
    <row r="560" spans="1:8" x14ac:dyDescent="0.35">
      <c r="A560" s="5">
        <v>3647.5</v>
      </c>
      <c r="B560" s="6">
        <v>16906533.280000001</v>
      </c>
      <c r="C560" s="6">
        <v>18801533.280000001</v>
      </c>
      <c r="D560" s="6">
        <v>122870.87</v>
      </c>
      <c r="E560" s="2">
        <v>556</v>
      </c>
      <c r="G560" s="7">
        <f t="shared" si="16"/>
        <v>18801533.280000001</v>
      </c>
      <c r="H560" s="8">
        <f t="shared" si="17"/>
        <v>3647.5</v>
      </c>
    </row>
    <row r="561" spans="1:8" x14ac:dyDescent="0.35">
      <c r="A561" s="5">
        <v>3648</v>
      </c>
      <c r="B561" s="6">
        <v>16968049</v>
      </c>
      <c r="C561" s="6">
        <v>18863049</v>
      </c>
      <c r="D561" s="6">
        <v>123192</v>
      </c>
      <c r="E561" s="2">
        <v>557</v>
      </c>
      <c r="G561" s="7">
        <f t="shared" si="16"/>
        <v>18863049</v>
      </c>
      <c r="H561" s="8">
        <f t="shared" si="17"/>
        <v>3648</v>
      </c>
    </row>
    <row r="562" spans="1:8" x14ac:dyDescent="0.35">
      <c r="A562" s="5">
        <v>3648.5</v>
      </c>
      <c r="B562" s="6">
        <v>17029725.280000001</v>
      </c>
      <c r="C562" s="6">
        <v>18924725.280000001</v>
      </c>
      <c r="D562" s="6">
        <v>123513.12</v>
      </c>
      <c r="E562" s="2">
        <v>558</v>
      </c>
      <c r="G562" s="7">
        <f t="shared" si="16"/>
        <v>18924725.280000001</v>
      </c>
      <c r="H562" s="8">
        <f t="shared" si="17"/>
        <v>3648.5</v>
      </c>
    </row>
    <row r="563" spans="1:8" x14ac:dyDescent="0.35">
      <c r="A563" s="5">
        <v>3649</v>
      </c>
      <c r="B563" s="6">
        <v>17091562.120000001</v>
      </c>
      <c r="C563" s="6">
        <v>18986562.120000001</v>
      </c>
      <c r="D563" s="6">
        <v>123834.25</v>
      </c>
      <c r="E563" s="2">
        <v>559</v>
      </c>
      <c r="G563" s="7">
        <f t="shared" si="16"/>
        <v>18986562.120000001</v>
      </c>
      <c r="H563" s="8">
        <f t="shared" si="17"/>
        <v>3649</v>
      </c>
    </row>
    <row r="564" spans="1:8" x14ac:dyDescent="0.35">
      <c r="A564" s="5">
        <v>3649.5</v>
      </c>
      <c r="B564" s="6">
        <v>17153559.530000001</v>
      </c>
      <c r="C564" s="6">
        <v>19048559.530000001</v>
      </c>
      <c r="D564" s="6">
        <v>124155.37</v>
      </c>
      <c r="E564" s="2">
        <v>560</v>
      </c>
      <c r="G564" s="7">
        <f t="shared" si="16"/>
        <v>19048559.530000001</v>
      </c>
      <c r="H564" s="8">
        <f t="shared" si="17"/>
        <v>3649.5</v>
      </c>
    </row>
    <row r="565" spans="1:8" x14ac:dyDescent="0.35">
      <c r="A565" s="5">
        <v>3650</v>
      </c>
      <c r="B565" s="6">
        <v>17215717.5</v>
      </c>
      <c r="C565" s="6">
        <v>19110717.5</v>
      </c>
      <c r="D565" s="6">
        <v>124476.5</v>
      </c>
      <c r="E565" s="2">
        <v>561</v>
      </c>
      <c r="G565" s="7">
        <f t="shared" si="16"/>
        <v>19110717.5</v>
      </c>
      <c r="H565" s="8">
        <f t="shared" si="17"/>
        <v>3650</v>
      </c>
    </row>
    <row r="566" spans="1:8" x14ac:dyDescent="0.35">
      <c r="A566" s="5">
        <v>3650.5</v>
      </c>
      <c r="B566" s="6">
        <v>17278036.030000001</v>
      </c>
      <c r="C566" s="6">
        <v>19173036.030000001</v>
      </c>
      <c r="D566" s="6">
        <v>124797.62</v>
      </c>
      <c r="E566" s="2">
        <v>562</v>
      </c>
      <c r="G566" s="7">
        <f t="shared" si="16"/>
        <v>19173036.030000001</v>
      </c>
      <c r="H566" s="8">
        <f t="shared" si="17"/>
        <v>3650.5</v>
      </c>
    </row>
    <row r="567" spans="1:8" x14ac:dyDescent="0.35">
      <c r="A567" s="5">
        <v>3651</v>
      </c>
      <c r="B567" s="6">
        <v>17340515.120000001</v>
      </c>
      <c r="C567" s="6">
        <v>19235515.120000001</v>
      </c>
      <c r="D567" s="6">
        <v>125118.75</v>
      </c>
      <c r="E567" s="2">
        <v>563</v>
      </c>
      <c r="G567" s="7">
        <f t="shared" si="16"/>
        <v>19235515.120000001</v>
      </c>
      <c r="H567" s="8">
        <f t="shared" si="17"/>
        <v>3651</v>
      </c>
    </row>
    <row r="568" spans="1:8" x14ac:dyDescent="0.35">
      <c r="A568" s="5">
        <v>3651.5</v>
      </c>
      <c r="B568" s="6">
        <v>17403154.780000001</v>
      </c>
      <c r="C568" s="6">
        <v>19298154.780000001</v>
      </c>
      <c r="D568" s="6">
        <v>125439.87</v>
      </c>
      <c r="E568" s="2">
        <v>564</v>
      </c>
      <c r="G568" s="7">
        <f t="shared" si="16"/>
        <v>19298154.780000001</v>
      </c>
      <c r="H568" s="8">
        <f t="shared" si="17"/>
        <v>3651.5</v>
      </c>
    </row>
    <row r="569" spans="1:8" x14ac:dyDescent="0.35">
      <c r="A569" s="5">
        <v>3652</v>
      </c>
      <c r="B569" s="6">
        <v>17465955</v>
      </c>
      <c r="C569" s="6">
        <v>19360955</v>
      </c>
      <c r="D569" s="6">
        <v>125761</v>
      </c>
      <c r="E569" s="2">
        <v>565</v>
      </c>
      <c r="G569" s="7">
        <f t="shared" si="16"/>
        <v>19360955</v>
      </c>
      <c r="H569" s="8">
        <f t="shared" si="17"/>
        <v>3652</v>
      </c>
    </row>
    <row r="570" spans="1:8" x14ac:dyDescent="0.35">
      <c r="A570" s="5">
        <v>3652.5</v>
      </c>
      <c r="B570" s="6">
        <v>17528915.780000001</v>
      </c>
      <c r="C570" s="6">
        <v>19423915.780000001</v>
      </c>
      <c r="D570" s="6">
        <v>126082.12</v>
      </c>
      <c r="E570" s="2">
        <v>566</v>
      </c>
      <c r="G570" s="7">
        <f t="shared" si="16"/>
        <v>19423915.780000001</v>
      </c>
      <c r="H570" s="8">
        <f t="shared" si="17"/>
        <v>3652.5</v>
      </c>
    </row>
    <row r="571" spans="1:8" x14ac:dyDescent="0.35">
      <c r="A571" s="5">
        <v>3653</v>
      </c>
      <c r="B571" s="6">
        <v>17592037.120000001</v>
      </c>
      <c r="C571" s="6">
        <v>19487037.120000001</v>
      </c>
      <c r="D571" s="6">
        <v>126403.25</v>
      </c>
      <c r="E571" s="2">
        <v>567</v>
      </c>
      <c r="G571" s="7">
        <f t="shared" si="16"/>
        <v>19487037.120000001</v>
      </c>
      <c r="H571" s="8">
        <f t="shared" si="17"/>
        <v>3653</v>
      </c>
    </row>
    <row r="572" spans="1:8" x14ac:dyDescent="0.35">
      <c r="A572" s="5">
        <v>3653.5</v>
      </c>
      <c r="B572" s="6">
        <v>17655319.030000001</v>
      </c>
      <c r="C572" s="6">
        <v>19550319.030000001</v>
      </c>
      <c r="D572" s="6">
        <v>126724.37</v>
      </c>
      <c r="E572" s="2">
        <v>568</v>
      </c>
      <c r="G572" s="7">
        <f t="shared" si="16"/>
        <v>19550319.030000001</v>
      </c>
      <c r="H572" s="8">
        <f t="shared" si="17"/>
        <v>3653.5</v>
      </c>
    </row>
    <row r="573" spans="1:8" x14ac:dyDescent="0.35">
      <c r="A573" s="5">
        <v>3654</v>
      </c>
      <c r="B573" s="6">
        <v>17718761.5</v>
      </c>
      <c r="C573" s="6">
        <v>19613761.5</v>
      </c>
      <c r="D573" s="6">
        <v>127045.5</v>
      </c>
      <c r="E573" s="2">
        <v>569</v>
      </c>
      <c r="G573" s="7">
        <f t="shared" si="16"/>
        <v>19613761.5</v>
      </c>
      <c r="H573" s="8">
        <f t="shared" si="17"/>
        <v>3654</v>
      </c>
    </row>
    <row r="574" spans="1:8" x14ac:dyDescent="0.35">
      <c r="A574" s="5">
        <v>3654.5</v>
      </c>
      <c r="B574" s="6">
        <v>17782364.530000001</v>
      </c>
      <c r="C574" s="6">
        <v>19677364.530000001</v>
      </c>
      <c r="D574" s="6">
        <v>127366.62</v>
      </c>
      <c r="E574" s="2">
        <v>570</v>
      </c>
      <c r="G574" s="7">
        <f t="shared" si="16"/>
        <v>19677364.530000001</v>
      </c>
      <c r="H574" s="8">
        <f t="shared" si="17"/>
        <v>3654.5</v>
      </c>
    </row>
    <row r="575" spans="1:8" x14ac:dyDescent="0.35">
      <c r="A575" s="5">
        <v>3655</v>
      </c>
      <c r="B575" s="6">
        <v>17846128.120000001</v>
      </c>
      <c r="C575" s="6">
        <v>19741128.120000001</v>
      </c>
      <c r="D575" s="6">
        <v>127687.75</v>
      </c>
      <c r="E575" s="2">
        <v>571</v>
      </c>
      <c r="G575" s="7">
        <f t="shared" si="16"/>
        <v>19741128.120000001</v>
      </c>
      <c r="H575" s="8">
        <f t="shared" si="17"/>
        <v>3655</v>
      </c>
    </row>
    <row r="576" spans="1:8" x14ac:dyDescent="0.35">
      <c r="A576" s="5">
        <v>3655.5</v>
      </c>
      <c r="B576" s="6">
        <v>17910052.280000001</v>
      </c>
      <c r="C576" s="6">
        <v>19805052.280000001</v>
      </c>
      <c r="D576" s="6">
        <v>128008.87</v>
      </c>
      <c r="E576" s="2">
        <v>572</v>
      </c>
      <c r="G576" s="7">
        <f t="shared" si="16"/>
        <v>19805052.280000001</v>
      </c>
      <c r="H576" s="8">
        <f t="shared" si="17"/>
        <v>3655.5</v>
      </c>
    </row>
    <row r="577" spans="1:8" x14ac:dyDescent="0.35">
      <c r="A577" s="5">
        <v>3656</v>
      </c>
      <c r="B577" s="6">
        <v>17974137</v>
      </c>
      <c r="C577" s="6">
        <v>19869137</v>
      </c>
      <c r="D577" s="6">
        <v>128330</v>
      </c>
      <c r="E577" s="2">
        <v>573</v>
      </c>
      <c r="G577" s="7">
        <f t="shared" si="16"/>
        <v>19869137</v>
      </c>
      <c r="H577" s="8">
        <f t="shared" si="17"/>
        <v>3656</v>
      </c>
    </row>
    <row r="578" spans="1:8" x14ac:dyDescent="0.35">
      <c r="A578" s="5">
        <v>3656.5</v>
      </c>
      <c r="B578" s="6">
        <v>18038382.280000001</v>
      </c>
      <c r="C578" s="6">
        <v>19933382.280000001</v>
      </c>
      <c r="D578" s="6">
        <v>128651.12</v>
      </c>
      <c r="E578" s="2">
        <v>574</v>
      </c>
      <c r="G578" s="7">
        <f t="shared" si="16"/>
        <v>19933382.280000001</v>
      </c>
      <c r="H578" s="8">
        <f t="shared" si="17"/>
        <v>3656.5</v>
      </c>
    </row>
    <row r="579" spans="1:8" x14ac:dyDescent="0.35">
      <c r="A579" s="5">
        <v>3657</v>
      </c>
      <c r="B579" s="6">
        <v>18102788.120000001</v>
      </c>
      <c r="C579" s="6">
        <v>19997788.120000001</v>
      </c>
      <c r="D579" s="6">
        <v>128972.25</v>
      </c>
      <c r="E579" s="2">
        <v>575</v>
      </c>
      <c r="G579" s="7">
        <f t="shared" si="16"/>
        <v>19997788.120000001</v>
      </c>
      <c r="H579" s="8">
        <f t="shared" si="17"/>
        <v>3657</v>
      </c>
    </row>
    <row r="580" spans="1:8" x14ac:dyDescent="0.35">
      <c r="A580" s="5">
        <v>3657.5</v>
      </c>
      <c r="B580" s="6">
        <v>18167354.530000001</v>
      </c>
      <c r="C580" s="6">
        <v>20062354.530000001</v>
      </c>
      <c r="D580" s="6">
        <v>129293.37</v>
      </c>
      <c r="E580" s="2">
        <v>576</v>
      </c>
      <c r="G580" s="7">
        <f t="shared" si="16"/>
        <v>20062354.530000001</v>
      </c>
      <c r="H580" s="8">
        <f t="shared" si="17"/>
        <v>3657.5</v>
      </c>
    </row>
    <row r="581" spans="1:8" x14ac:dyDescent="0.35">
      <c r="A581" s="5">
        <v>3658</v>
      </c>
      <c r="B581" s="6">
        <v>18232081.5</v>
      </c>
      <c r="C581" s="6">
        <v>20127081.5</v>
      </c>
      <c r="D581" s="6">
        <v>129614.5</v>
      </c>
      <c r="E581" s="2">
        <v>577</v>
      </c>
      <c r="G581" s="7">
        <f t="shared" si="16"/>
        <v>20127081.5</v>
      </c>
      <c r="H581" s="8">
        <f t="shared" si="17"/>
        <v>3658</v>
      </c>
    </row>
    <row r="582" spans="1:8" x14ac:dyDescent="0.35">
      <c r="A582" s="5">
        <v>3658.5</v>
      </c>
      <c r="B582" s="6">
        <v>18296969.030000001</v>
      </c>
      <c r="C582" s="6">
        <v>20191969.030000001</v>
      </c>
      <c r="D582" s="6">
        <v>129935.62</v>
      </c>
      <c r="E582" s="2">
        <v>578</v>
      </c>
      <c r="G582" s="7">
        <f t="shared" ref="G582:G645" si="18">C582</f>
        <v>20191969.030000001</v>
      </c>
      <c r="H582" s="8">
        <f t="shared" ref="H582:H645" si="19">A582</f>
        <v>3658.5</v>
      </c>
    </row>
    <row r="583" spans="1:8" x14ac:dyDescent="0.35">
      <c r="A583" s="5">
        <v>3659</v>
      </c>
      <c r="B583" s="6">
        <v>18362017.120000001</v>
      </c>
      <c r="C583" s="6">
        <v>20257017.120000001</v>
      </c>
      <c r="D583" s="6">
        <v>130256.75</v>
      </c>
      <c r="E583" s="2">
        <v>579</v>
      </c>
      <c r="G583" s="7">
        <f t="shared" si="18"/>
        <v>20257017.120000001</v>
      </c>
      <c r="H583" s="8">
        <f t="shared" si="19"/>
        <v>3659</v>
      </c>
    </row>
    <row r="584" spans="1:8" x14ac:dyDescent="0.35">
      <c r="A584" s="5">
        <v>3659.5</v>
      </c>
      <c r="B584" s="6">
        <v>18427225.780000001</v>
      </c>
      <c r="C584" s="6">
        <v>20322225.780000001</v>
      </c>
      <c r="D584" s="6">
        <v>130577.87</v>
      </c>
      <c r="E584" s="2">
        <v>580</v>
      </c>
      <c r="G584" s="7">
        <f t="shared" si="18"/>
        <v>20322225.780000001</v>
      </c>
      <c r="H584" s="8">
        <f t="shared" si="19"/>
        <v>3659.5</v>
      </c>
    </row>
    <row r="585" spans="1:8" x14ac:dyDescent="0.35">
      <c r="A585" s="5">
        <v>3660</v>
      </c>
      <c r="B585" s="6">
        <v>18492595</v>
      </c>
      <c r="C585" s="6">
        <v>20387595</v>
      </c>
      <c r="D585" s="6">
        <v>130899</v>
      </c>
      <c r="E585" s="2">
        <v>581</v>
      </c>
      <c r="G585" s="7">
        <f t="shared" si="18"/>
        <v>20387595</v>
      </c>
      <c r="H585" s="8">
        <f t="shared" si="19"/>
        <v>3660</v>
      </c>
    </row>
    <row r="586" spans="1:8" x14ac:dyDescent="0.35">
      <c r="A586" s="5">
        <v>3660.5</v>
      </c>
      <c r="B586" s="6">
        <v>18558136.670000002</v>
      </c>
      <c r="C586" s="6">
        <v>20453136.670000002</v>
      </c>
      <c r="D586" s="6">
        <v>131267.70000000001</v>
      </c>
      <c r="E586" s="2">
        <v>582</v>
      </c>
      <c r="G586" s="7">
        <f t="shared" si="18"/>
        <v>20453136.670000002</v>
      </c>
      <c r="H586" s="8">
        <f t="shared" si="19"/>
        <v>3660.5</v>
      </c>
    </row>
    <row r="587" spans="1:8" x14ac:dyDescent="0.35">
      <c r="A587" s="5">
        <v>3661</v>
      </c>
      <c r="B587" s="6">
        <v>18623862.699999999</v>
      </c>
      <c r="C587" s="6">
        <v>20518862.699999999</v>
      </c>
      <c r="D587" s="6">
        <v>131636.4</v>
      </c>
      <c r="E587" s="2">
        <v>583</v>
      </c>
      <c r="G587" s="7">
        <f t="shared" si="18"/>
        <v>20518862.699999999</v>
      </c>
      <c r="H587" s="8">
        <f t="shared" si="19"/>
        <v>3661</v>
      </c>
    </row>
    <row r="588" spans="1:8" x14ac:dyDescent="0.35">
      <c r="A588" s="5">
        <v>3661.5</v>
      </c>
      <c r="B588" s="6">
        <v>18689773.07</v>
      </c>
      <c r="C588" s="6">
        <v>20584773.07</v>
      </c>
      <c r="D588" s="6">
        <v>132005.1</v>
      </c>
      <c r="E588" s="2">
        <v>584</v>
      </c>
      <c r="G588" s="7">
        <f t="shared" si="18"/>
        <v>20584773.07</v>
      </c>
      <c r="H588" s="8">
        <f t="shared" si="19"/>
        <v>3661.5</v>
      </c>
    </row>
    <row r="589" spans="1:8" x14ac:dyDescent="0.35">
      <c r="A589" s="5">
        <v>3662</v>
      </c>
      <c r="B589" s="6">
        <v>18755867.800000001</v>
      </c>
      <c r="C589" s="6">
        <v>20650867.800000001</v>
      </c>
      <c r="D589" s="6">
        <v>132373.79999999999</v>
      </c>
      <c r="E589" s="2">
        <v>585</v>
      </c>
      <c r="G589" s="7">
        <f t="shared" si="18"/>
        <v>20650867.800000001</v>
      </c>
      <c r="H589" s="8">
        <f t="shared" si="19"/>
        <v>3662</v>
      </c>
    </row>
    <row r="590" spans="1:8" x14ac:dyDescent="0.35">
      <c r="A590" s="5">
        <v>3662.5</v>
      </c>
      <c r="B590" s="6">
        <v>18822146.870000001</v>
      </c>
      <c r="C590" s="6">
        <v>20717146.870000001</v>
      </c>
      <c r="D590" s="6">
        <v>132742.5</v>
      </c>
      <c r="E590" s="2">
        <v>586</v>
      </c>
      <c r="G590" s="7">
        <f t="shared" si="18"/>
        <v>20717146.870000001</v>
      </c>
      <c r="H590" s="8">
        <f t="shared" si="19"/>
        <v>3662.5</v>
      </c>
    </row>
    <row r="591" spans="1:8" x14ac:dyDescent="0.35">
      <c r="A591" s="5">
        <v>3663</v>
      </c>
      <c r="B591" s="6">
        <v>18888610.300000001</v>
      </c>
      <c r="C591" s="6">
        <v>20783610.300000001</v>
      </c>
      <c r="D591" s="6">
        <v>133111.20000000001</v>
      </c>
      <c r="E591" s="2">
        <v>587</v>
      </c>
      <c r="G591" s="7">
        <f t="shared" si="18"/>
        <v>20783610.300000001</v>
      </c>
      <c r="H591" s="8">
        <f t="shared" si="19"/>
        <v>3663</v>
      </c>
    </row>
    <row r="592" spans="1:8" x14ac:dyDescent="0.35">
      <c r="A592" s="5">
        <v>3663.5</v>
      </c>
      <c r="B592" s="6">
        <v>18955258.07</v>
      </c>
      <c r="C592" s="6">
        <v>20850258.07</v>
      </c>
      <c r="D592" s="6">
        <v>133479.9</v>
      </c>
      <c r="E592" s="2">
        <v>588</v>
      </c>
      <c r="G592" s="7">
        <f t="shared" si="18"/>
        <v>20850258.07</v>
      </c>
      <c r="H592" s="8">
        <f t="shared" si="19"/>
        <v>3663.5</v>
      </c>
    </row>
    <row r="593" spans="1:8" x14ac:dyDescent="0.35">
      <c r="A593" s="5">
        <v>3664</v>
      </c>
      <c r="B593" s="6">
        <v>19022090.199999999</v>
      </c>
      <c r="C593" s="6">
        <v>20917090.199999999</v>
      </c>
      <c r="D593" s="6">
        <v>133848.6</v>
      </c>
      <c r="E593" s="2">
        <v>589</v>
      </c>
      <c r="G593" s="7">
        <f t="shared" si="18"/>
        <v>20917090.199999999</v>
      </c>
      <c r="H593" s="8">
        <f t="shared" si="19"/>
        <v>3664</v>
      </c>
    </row>
    <row r="594" spans="1:8" x14ac:dyDescent="0.35">
      <c r="A594" s="5">
        <v>3664.5</v>
      </c>
      <c r="B594" s="6">
        <v>19089106.670000002</v>
      </c>
      <c r="C594" s="6">
        <v>20984106.670000002</v>
      </c>
      <c r="D594" s="6">
        <v>134217.29999999999</v>
      </c>
      <c r="E594" s="2">
        <v>590</v>
      </c>
      <c r="G594" s="7">
        <f t="shared" si="18"/>
        <v>20984106.670000002</v>
      </c>
      <c r="H594" s="8">
        <f t="shared" si="19"/>
        <v>3664.5</v>
      </c>
    </row>
    <row r="595" spans="1:8" x14ac:dyDescent="0.35">
      <c r="A595" s="5">
        <v>3665</v>
      </c>
      <c r="B595" s="6">
        <v>19156307.5</v>
      </c>
      <c r="C595" s="6">
        <v>21051307.5</v>
      </c>
      <c r="D595" s="6">
        <v>134586</v>
      </c>
      <c r="E595" s="2">
        <v>591</v>
      </c>
      <c r="G595" s="7">
        <f t="shared" si="18"/>
        <v>21051307.5</v>
      </c>
      <c r="H595" s="8">
        <f t="shared" si="19"/>
        <v>3665</v>
      </c>
    </row>
    <row r="596" spans="1:8" x14ac:dyDescent="0.35">
      <c r="A596" s="5">
        <v>3665.5</v>
      </c>
      <c r="B596" s="6">
        <v>19223692.670000002</v>
      </c>
      <c r="C596" s="6">
        <v>21118692.670000002</v>
      </c>
      <c r="D596" s="6">
        <v>134954.70000000001</v>
      </c>
      <c r="E596" s="2">
        <v>592</v>
      </c>
      <c r="G596" s="7">
        <f t="shared" si="18"/>
        <v>21118692.670000002</v>
      </c>
      <c r="H596" s="8">
        <f t="shared" si="19"/>
        <v>3665.5</v>
      </c>
    </row>
    <row r="597" spans="1:8" x14ac:dyDescent="0.35">
      <c r="A597" s="5">
        <v>3666</v>
      </c>
      <c r="B597" s="6">
        <v>19291262.199999999</v>
      </c>
      <c r="C597" s="6">
        <v>21186262.199999999</v>
      </c>
      <c r="D597" s="6">
        <v>135323.4</v>
      </c>
      <c r="E597" s="2">
        <v>593</v>
      </c>
      <c r="G597" s="7">
        <f t="shared" si="18"/>
        <v>21186262.199999999</v>
      </c>
      <c r="H597" s="8">
        <f t="shared" si="19"/>
        <v>3666</v>
      </c>
    </row>
    <row r="598" spans="1:8" x14ac:dyDescent="0.35">
      <c r="A598" s="5">
        <v>3666.5</v>
      </c>
      <c r="B598" s="6">
        <v>19359016.07</v>
      </c>
      <c r="C598" s="6">
        <v>21254016.07</v>
      </c>
      <c r="D598" s="6">
        <v>135692.1</v>
      </c>
      <c r="E598" s="2">
        <v>594</v>
      </c>
      <c r="G598" s="7">
        <f t="shared" si="18"/>
        <v>21254016.07</v>
      </c>
      <c r="H598" s="8">
        <f t="shared" si="19"/>
        <v>3666.5</v>
      </c>
    </row>
    <row r="599" spans="1:8" x14ac:dyDescent="0.35">
      <c r="A599" s="5">
        <v>3667</v>
      </c>
      <c r="B599" s="6">
        <v>19426954.300000001</v>
      </c>
      <c r="C599" s="6">
        <v>21321954.300000001</v>
      </c>
      <c r="D599" s="6">
        <v>136060.79999999999</v>
      </c>
      <c r="E599" s="2">
        <v>595</v>
      </c>
      <c r="G599" s="7">
        <f t="shared" si="18"/>
        <v>21321954.300000001</v>
      </c>
      <c r="H599" s="8">
        <f t="shared" si="19"/>
        <v>3667</v>
      </c>
    </row>
    <row r="600" spans="1:8" x14ac:dyDescent="0.35">
      <c r="A600" s="5">
        <v>3667.5</v>
      </c>
      <c r="B600" s="6">
        <v>19495076.870000001</v>
      </c>
      <c r="C600" s="6">
        <v>21390076.870000001</v>
      </c>
      <c r="D600" s="6">
        <v>136429.5</v>
      </c>
      <c r="E600" s="2">
        <v>596</v>
      </c>
      <c r="G600" s="7">
        <f t="shared" si="18"/>
        <v>21390076.870000001</v>
      </c>
      <c r="H600" s="8">
        <f t="shared" si="19"/>
        <v>3667.5</v>
      </c>
    </row>
    <row r="601" spans="1:8" x14ac:dyDescent="0.35">
      <c r="A601" s="5">
        <v>3668</v>
      </c>
      <c r="B601" s="6">
        <v>19563383.800000001</v>
      </c>
      <c r="C601" s="6">
        <v>21458383.800000001</v>
      </c>
      <c r="D601" s="6">
        <v>136798.20000000001</v>
      </c>
      <c r="E601" s="2">
        <v>597</v>
      </c>
      <c r="G601" s="7">
        <f t="shared" si="18"/>
        <v>21458383.800000001</v>
      </c>
      <c r="H601" s="8">
        <f t="shared" si="19"/>
        <v>3668</v>
      </c>
    </row>
    <row r="602" spans="1:8" x14ac:dyDescent="0.35">
      <c r="A602" s="5">
        <v>3668.5</v>
      </c>
      <c r="B602" s="6">
        <v>19631875.07</v>
      </c>
      <c r="C602" s="6">
        <v>21526875.07</v>
      </c>
      <c r="D602" s="6">
        <v>137166.9</v>
      </c>
      <c r="E602" s="2">
        <v>598</v>
      </c>
      <c r="G602" s="7">
        <f t="shared" si="18"/>
        <v>21526875.07</v>
      </c>
      <c r="H602" s="8">
        <f t="shared" si="19"/>
        <v>3668.5</v>
      </c>
    </row>
    <row r="603" spans="1:8" x14ac:dyDescent="0.35">
      <c r="A603" s="5">
        <v>3669</v>
      </c>
      <c r="B603" s="6">
        <v>19700550.699999999</v>
      </c>
      <c r="C603" s="6">
        <v>21595550.699999999</v>
      </c>
      <c r="D603" s="6">
        <v>137535.6</v>
      </c>
      <c r="E603" s="2">
        <v>599</v>
      </c>
      <c r="G603" s="7">
        <f t="shared" si="18"/>
        <v>21595550.699999999</v>
      </c>
      <c r="H603" s="8">
        <f t="shared" si="19"/>
        <v>3669</v>
      </c>
    </row>
    <row r="604" spans="1:8" x14ac:dyDescent="0.35">
      <c r="A604" s="5">
        <v>3669.5</v>
      </c>
      <c r="B604" s="6">
        <v>19769410.670000002</v>
      </c>
      <c r="C604" s="6">
        <v>21664410.670000002</v>
      </c>
      <c r="D604" s="6">
        <v>137904.29999999999</v>
      </c>
      <c r="E604" s="2">
        <v>600</v>
      </c>
      <c r="G604" s="7">
        <f t="shared" si="18"/>
        <v>21664410.670000002</v>
      </c>
      <c r="H604" s="8">
        <f t="shared" si="19"/>
        <v>3669.5</v>
      </c>
    </row>
    <row r="605" spans="1:8" x14ac:dyDescent="0.35">
      <c r="A605" s="5">
        <v>3670</v>
      </c>
      <c r="B605" s="6">
        <v>19838455</v>
      </c>
      <c r="C605" s="6">
        <v>21733455</v>
      </c>
      <c r="D605" s="6">
        <v>138273</v>
      </c>
      <c r="E605" s="2">
        <v>601</v>
      </c>
      <c r="G605" s="7">
        <f t="shared" si="18"/>
        <v>21733455</v>
      </c>
      <c r="H605" s="8">
        <f t="shared" si="19"/>
        <v>3670</v>
      </c>
    </row>
    <row r="606" spans="1:8" x14ac:dyDescent="0.35">
      <c r="A606" s="5">
        <v>3670.5</v>
      </c>
      <c r="B606" s="6">
        <v>19907683.670000002</v>
      </c>
      <c r="C606" s="6">
        <v>21802683.670000002</v>
      </c>
      <c r="D606" s="6">
        <v>138641.70000000001</v>
      </c>
      <c r="E606" s="2">
        <v>602</v>
      </c>
      <c r="G606" s="7">
        <f t="shared" si="18"/>
        <v>21802683.670000002</v>
      </c>
      <c r="H606" s="8">
        <f t="shared" si="19"/>
        <v>3670.5</v>
      </c>
    </row>
    <row r="607" spans="1:8" x14ac:dyDescent="0.35">
      <c r="A607" s="5">
        <v>3671</v>
      </c>
      <c r="B607" s="6">
        <v>19977096.699999999</v>
      </c>
      <c r="C607" s="6">
        <v>21872096.699999999</v>
      </c>
      <c r="D607" s="6">
        <v>139010.4</v>
      </c>
      <c r="E607" s="2">
        <v>603</v>
      </c>
      <c r="G607" s="7">
        <f t="shared" si="18"/>
        <v>21872096.699999999</v>
      </c>
      <c r="H607" s="8">
        <f t="shared" si="19"/>
        <v>3671</v>
      </c>
    </row>
    <row r="608" spans="1:8" x14ac:dyDescent="0.35">
      <c r="A608" s="5">
        <v>3671.5</v>
      </c>
      <c r="B608" s="6">
        <v>20046694.07</v>
      </c>
      <c r="C608" s="6">
        <v>21941694.07</v>
      </c>
      <c r="D608" s="6">
        <v>139379.1</v>
      </c>
      <c r="E608" s="2">
        <v>604</v>
      </c>
      <c r="G608" s="7">
        <f t="shared" si="18"/>
        <v>21941694.07</v>
      </c>
      <c r="H608" s="8">
        <f t="shared" si="19"/>
        <v>3671.5</v>
      </c>
    </row>
    <row r="609" spans="1:8" x14ac:dyDescent="0.35">
      <c r="A609" s="5">
        <v>3672</v>
      </c>
      <c r="B609" s="6">
        <v>20116475.800000001</v>
      </c>
      <c r="C609" s="6">
        <v>22011475.800000001</v>
      </c>
      <c r="D609" s="6">
        <v>139747.79999999999</v>
      </c>
      <c r="E609" s="2">
        <v>605</v>
      </c>
      <c r="G609" s="7">
        <f t="shared" si="18"/>
        <v>22011475.800000001</v>
      </c>
      <c r="H609" s="8">
        <f t="shared" si="19"/>
        <v>3672</v>
      </c>
    </row>
    <row r="610" spans="1:8" x14ac:dyDescent="0.35">
      <c r="A610" s="5">
        <v>3672.5</v>
      </c>
      <c r="B610" s="6">
        <v>20186441.870000001</v>
      </c>
      <c r="C610" s="6">
        <v>22081441.870000001</v>
      </c>
      <c r="D610" s="6">
        <v>140116.5</v>
      </c>
      <c r="E610" s="2">
        <v>606</v>
      </c>
      <c r="G610" s="7">
        <f t="shared" si="18"/>
        <v>22081441.870000001</v>
      </c>
      <c r="H610" s="8">
        <f t="shared" si="19"/>
        <v>3672.5</v>
      </c>
    </row>
    <row r="611" spans="1:8" x14ac:dyDescent="0.35">
      <c r="A611" s="5">
        <v>3673</v>
      </c>
      <c r="B611" s="6">
        <v>20256592.300000001</v>
      </c>
      <c r="C611" s="6">
        <v>22151592.300000001</v>
      </c>
      <c r="D611" s="6">
        <v>140485.20000000001</v>
      </c>
      <c r="E611" s="2">
        <v>607</v>
      </c>
      <c r="G611" s="7">
        <f t="shared" si="18"/>
        <v>22151592.300000001</v>
      </c>
      <c r="H611" s="8">
        <f t="shared" si="19"/>
        <v>3673</v>
      </c>
    </row>
    <row r="612" spans="1:8" x14ac:dyDescent="0.35">
      <c r="A612" s="5">
        <v>3673.5</v>
      </c>
      <c r="B612" s="6">
        <v>20326927.07</v>
      </c>
      <c r="C612" s="6">
        <v>22221927.07</v>
      </c>
      <c r="D612" s="6">
        <v>140853.9</v>
      </c>
      <c r="E612" s="2">
        <v>608</v>
      </c>
      <c r="G612" s="7">
        <f t="shared" si="18"/>
        <v>22221927.07</v>
      </c>
      <c r="H612" s="8">
        <f t="shared" si="19"/>
        <v>3673.5</v>
      </c>
    </row>
    <row r="613" spans="1:8" x14ac:dyDescent="0.35">
      <c r="A613" s="5">
        <v>3674</v>
      </c>
      <c r="B613" s="6">
        <v>20397446.199999999</v>
      </c>
      <c r="C613" s="6">
        <v>22292446.199999999</v>
      </c>
      <c r="D613" s="6">
        <v>141222.6</v>
      </c>
      <c r="E613" s="2">
        <v>609</v>
      </c>
      <c r="G613" s="7">
        <f t="shared" si="18"/>
        <v>22292446.199999999</v>
      </c>
      <c r="H613" s="8">
        <f t="shared" si="19"/>
        <v>3674</v>
      </c>
    </row>
    <row r="614" spans="1:8" x14ac:dyDescent="0.35">
      <c r="A614" s="5">
        <v>3674.5</v>
      </c>
      <c r="B614" s="6">
        <v>20468149.670000002</v>
      </c>
      <c r="C614" s="6">
        <v>22363149.670000002</v>
      </c>
      <c r="D614" s="6">
        <v>141591.29999999999</v>
      </c>
      <c r="E614" s="2">
        <v>610</v>
      </c>
      <c r="G614" s="7">
        <f t="shared" si="18"/>
        <v>22363149.670000002</v>
      </c>
      <c r="H614" s="8">
        <f t="shared" si="19"/>
        <v>3674.5</v>
      </c>
    </row>
    <row r="615" spans="1:8" x14ac:dyDescent="0.35">
      <c r="A615" s="5">
        <v>3675</v>
      </c>
      <c r="B615" s="6">
        <v>20539037.5</v>
      </c>
      <c r="C615" s="6">
        <v>22434037.5</v>
      </c>
      <c r="D615" s="6">
        <v>141960</v>
      </c>
      <c r="E615" s="2">
        <v>611</v>
      </c>
      <c r="G615" s="7">
        <f t="shared" si="18"/>
        <v>22434037.5</v>
      </c>
      <c r="H615" s="8">
        <f t="shared" si="19"/>
        <v>3675</v>
      </c>
    </row>
    <row r="616" spans="1:8" x14ac:dyDescent="0.35">
      <c r="A616" s="5">
        <v>3675.5</v>
      </c>
      <c r="B616" s="6">
        <v>20610109.670000002</v>
      </c>
      <c r="C616" s="6">
        <v>22505109.670000002</v>
      </c>
      <c r="D616" s="6">
        <v>142328.70000000001</v>
      </c>
      <c r="E616" s="2">
        <v>612</v>
      </c>
      <c r="G616" s="7">
        <f t="shared" si="18"/>
        <v>22505109.670000002</v>
      </c>
      <c r="H616" s="8">
        <f t="shared" si="19"/>
        <v>3675.5</v>
      </c>
    </row>
    <row r="617" spans="1:8" x14ac:dyDescent="0.35">
      <c r="A617" s="5">
        <v>3676</v>
      </c>
      <c r="B617" s="6">
        <v>20681366.199999999</v>
      </c>
      <c r="C617" s="6">
        <v>22576366.199999999</v>
      </c>
      <c r="D617" s="6">
        <v>142697.4</v>
      </c>
      <c r="E617" s="2">
        <v>613</v>
      </c>
      <c r="G617" s="7">
        <f t="shared" si="18"/>
        <v>22576366.199999999</v>
      </c>
      <c r="H617" s="8">
        <f t="shared" si="19"/>
        <v>3676</v>
      </c>
    </row>
    <row r="618" spans="1:8" x14ac:dyDescent="0.35">
      <c r="A618" s="5">
        <v>3676.5</v>
      </c>
      <c r="B618" s="6">
        <v>20752807.07</v>
      </c>
      <c r="C618" s="6">
        <v>22647807.07</v>
      </c>
      <c r="D618" s="6">
        <v>143066.1</v>
      </c>
      <c r="E618" s="2">
        <v>614</v>
      </c>
      <c r="G618" s="7">
        <f t="shared" si="18"/>
        <v>22647807.07</v>
      </c>
      <c r="H618" s="8">
        <f t="shared" si="19"/>
        <v>3676.5</v>
      </c>
    </row>
    <row r="619" spans="1:8" x14ac:dyDescent="0.35">
      <c r="A619" s="5">
        <v>3677</v>
      </c>
      <c r="B619" s="6">
        <v>20824432.300000001</v>
      </c>
      <c r="C619" s="6">
        <v>22719432.300000001</v>
      </c>
      <c r="D619" s="6">
        <v>143434.79999999999</v>
      </c>
      <c r="E619" s="2">
        <v>615</v>
      </c>
      <c r="G619" s="7">
        <f t="shared" si="18"/>
        <v>22719432.300000001</v>
      </c>
      <c r="H619" s="8">
        <f t="shared" si="19"/>
        <v>3677</v>
      </c>
    </row>
    <row r="620" spans="1:8" x14ac:dyDescent="0.35">
      <c r="A620" s="5">
        <v>3677.5</v>
      </c>
      <c r="B620" s="6">
        <v>20896241.870000001</v>
      </c>
      <c r="C620" s="6">
        <v>22791241.870000001</v>
      </c>
      <c r="D620" s="6">
        <v>143803.5</v>
      </c>
      <c r="E620" s="2">
        <v>616</v>
      </c>
      <c r="G620" s="7">
        <f t="shared" si="18"/>
        <v>22791241.870000001</v>
      </c>
      <c r="H620" s="8">
        <f t="shared" si="19"/>
        <v>3677.5</v>
      </c>
    </row>
    <row r="621" spans="1:8" x14ac:dyDescent="0.35">
      <c r="A621" s="5">
        <v>3678</v>
      </c>
      <c r="B621" s="6">
        <v>20968235.800000001</v>
      </c>
      <c r="C621" s="6">
        <v>22863235.800000001</v>
      </c>
      <c r="D621" s="6">
        <v>144172.20000000001</v>
      </c>
      <c r="E621" s="2">
        <v>617</v>
      </c>
      <c r="G621" s="7">
        <f t="shared" si="18"/>
        <v>22863235.800000001</v>
      </c>
      <c r="H621" s="8">
        <f t="shared" si="19"/>
        <v>3678</v>
      </c>
    </row>
    <row r="622" spans="1:8" x14ac:dyDescent="0.35">
      <c r="A622" s="5">
        <v>3678.5</v>
      </c>
      <c r="B622" s="6">
        <v>21040414.07</v>
      </c>
      <c r="C622" s="6">
        <v>22935414.07</v>
      </c>
      <c r="D622" s="6">
        <v>144540.9</v>
      </c>
      <c r="E622" s="2">
        <v>618</v>
      </c>
      <c r="G622" s="7">
        <f t="shared" si="18"/>
        <v>22935414.07</v>
      </c>
      <c r="H622" s="8">
        <f t="shared" si="19"/>
        <v>3678.5</v>
      </c>
    </row>
    <row r="623" spans="1:8" x14ac:dyDescent="0.35">
      <c r="A623" s="5">
        <v>3679</v>
      </c>
      <c r="B623" s="6">
        <v>21112776.699999999</v>
      </c>
      <c r="C623" s="6">
        <v>23007776.699999999</v>
      </c>
      <c r="D623" s="6">
        <v>144909.6</v>
      </c>
      <c r="E623" s="2">
        <v>619</v>
      </c>
      <c r="G623" s="7">
        <f t="shared" si="18"/>
        <v>23007776.699999999</v>
      </c>
      <c r="H623" s="8">
        <f t="shared" si="19"/>
        <v>3679</v>
      </c>
    </row>
    <row r="624" spans="1:8" x14ac:dyDescent="0.35">
      <c r="A624" s="5">
        <v>3679.5</v>
      </c>
      <c r="B624" s="6">
        <v>21185323.670000002</v>
      </c>
      <c r="C624" s="6">
        <v>23080323.670000002</v>
      </c>
      <c r="D624" s="6">
        <v>145278.29999999999</v>
      </c>
      <c r="E624" s="2">
        <v>620</v>
      </c>
      <c r="G624" s="7">
        <f t="shared" si="18"/>
        <v>23080323.670000002</v>
      </c>
      <c r="H624" s="8">
        <f t="shared" si="19"/>
        <v>3679.5</v>
      </c>
    </row>
    <row r="625" spans="1:8" x14ac:dyDescent="0.35">
      <c r="A625" s="5">
        <v>3680</v>
      </c>
      <c r="B625" s="6">
        <v>21258055</v>
      </c>
      <c r="C625" s="6">
        <v>23153055</v>
      </c>
      <c r="D625" s="6">
        <v>145647</v>
      </c>
      <c r="E625" s="2">
        <v>621</v>
      </c>
      <c r="G625" s="7">
        <f t="shared" si="18"/>
        <v>23153055</v>
      </c>
      <c r="H625" s="8">
        <f t="shared" si="19"/>
        <v>3680</v>
      </c>
    </row>
    <row r="626" spans="1:8" x14ac:dyDescent="0.35">
      <c r="A626" s="5">
        <v>3680.5</v>
      </c>
      <c r="B626" s="6">
        <v>21330973.109999999</v>
      </c>
      <c r="C626" s="6">
        <v>23225973.109999999</v>
      </c>
      <c r="D626" s="6">
        <v>146025.42000000001</v>
      </c>
      <c r="E626" s="2">
        <v>622</v>
      </c>
      <c r="G626" s="7">
        <f t="shared" si="18"/>
        <v>23225973.109999999</v>
      </c>
      <c r="H626" s="8">
        <f t="shared" si="19"/>
        <v>3680.5</v>
      </c>
    </row>
    <row r="627" spans="1:8" x14ac:dyDescent="0.35">
      <c r="A627" s="5">
        <v>3681</v>
      </c>
      <c r="B627" s="6">
        <v>21404080.420000002</v>
      </c>
      <c r="C627" s="6">
        <v>23299080.420000002</v>
      </c>
      <c r="D627" s="6">
        <v>146403.85</v>
      </c>
      <c r="E627" s="2">
        <v>623</v>
      </c>
      <c r="G627" s="7">
        <f t="shared" si="18"/>
        <v>23299080.420000002</v>
      </c>
      <c r="H627" s="8">
        <f t="shared" si="19"/>
        <v>3681</v>
      </c>
    </row>
    <row r="628" spans="1:8" x14ac:dyDescent="0.35">
      <c r="A628" s="5">
        <v>3681.5</v>
      </c>
      <c r="B628" s="6">
        <v>21477376.960000001</v>
      </c>
      <c r="C628" s="6">
        <v>23372376.960000001</v>
      </c>
      <c r="D628" s="6">
        <v>146782.26999999999</v>
      </c>
      <c r="E628" s="2">
        <v>624</v>
      </c>
      <c r="G628" s="7">
        <f t="shared" si="18"/>
        <v>23372376.960000001</v>
      </c>
      <c r="H628" s="8">
        <f t="shared" si="19"/>
        <v>3681.5</v>
      </c>
    </row>
    <row r="629" spans="1:8" x14ac:dyDescent="0.35">
      <c r="A629" s="5">
        <v>3682</v>
      </c>
      <c r="B629" s="6">
        <v>21550862.699999999</v>
      </c>
      <c r="C629" s="6">
        <v>23445862.699999999</v>
      </c>
      <c r="D629" s="6">
        <v>147160.70000000001</v>
      </c>
      <c r="E629" s="2">
        <v>625</v>
      </c>
      <c r="G629" s="7">
        <f t="shared" si="18"/>
        <v>23445862.699999999</v>
      </c>
      <c r="H629" s="8">
        <f t="shared" si="19"/>
        <v>3682</v>
      </c>
    </row>
    <row r="630" spans="1:8" x14ac:dyDescent="0.35">
      <c r="A630" s="5">
        <v>3682.5</v>
      </c>
      <c r="B630" s="6">
        <v>21624537.66</v>
      </c>
      <c r="C630" s="6">
        <v>23519537.66</v>
      </c>
      <c r="D630" s="6">
        <v>147539.12</v>
      </c>
      <c r="E630" s="2">
        <v>626</v>
      </c>
      <c r="G630" s="7">
        <f t="shared" si="18"/>
        <v>23519537.66</v>
      </c>
      <c r="H630" s="8">
        <f t="shared" si="19"/>
        <v>3682.5</v>
      </c>
    </row>
    <row r="631" spans="1:8" x14ac:dyDescent="0.35">
      <c r="A631" s="5">
        <v>3683</v>
      </c>
      <c r="B631" s="6">
        <v>21698401.82</v>
      </c>
      <c r="C631" s="6">
        <v>23593401.82</v>
      </c>
      <c r="D631" s="6">
        <v>147917.54999999999</v>
      </c>
      <c r="E631" s="2">
        <v>627</v>
      </c>
      <c r="G631" s="7">
        <f t="shared" si="18"/>
        <v>23593401.82</v>
      </c>
      <c r="H631" s="8">
        <f t="shared" si="19"/>
        <v>3683</v>
      </c>
    </row>
    <row r="632" spans="1:8" x14ac:dyDescent="0.35">
      <c r="A632" s="5">
        <v>3683.5</v>
      </c>
      <c r="B632" s="6">
        <v>21772455.210000001</v>
      </c>
      <c r="C632" s="6">
        <v>23667455.210000001</v>
      </c>
      <c r="D632" s="6">
        <v>148295.97</v>
      </c>
      <c r="E632" s="2">
        <v>628</v>
      </c>
      <c r="G632" s="7">
        <f t="shared" si="18"/>
        <v>23667455.210000001</v>
      </c>
      <c r="H632" s="8">
        <f t="shared" si="19"/>
        <v>3683.5</v>
      </c>
    </row>
    <row r="633" spans="1:8" x14ac:dyDescent="0.35">
      <c r="A633" s="5">
        <v>3684</v>
      </c>
      <c r="B633" s="6">
        <v>21846697.800000001</v>
      </c>
      <c r="C633" s="6">
        <v>23741697.800000001</v>
      </c>
      <c r="D633" s="6">
        <v>148674.4</v>
      </c>
      <c r="E633" s="2">
        <v>629</v>
      </c>
      <c r="G633" s="7">
        <f t="shared" si="18"/>
        <v>23741697.800000001</v>
      </c>
      <c r="H633" s="8">
        <f t="shared" si="19"/>
        <v>3684</v>
      </c>
    </row>
    <row r="634" spans="1:8" x14ac:dyDescent="0.35">
      <c r="A634" s="5">
        <v>3684.5</v>
      </c>
      <c r="B634" s="6">
        <v>21921129.609999999</v>
      </c>
      <c r="C634" s="6">
        <v>23816129.609999999</v>
      </c>
      <c r="D634" s="6">
        <v>149052.82</v>
      </c>
      <c r="E634" s="2">
        <v>630</v>
      </c>
      <c r="G634" s="7">
        <f t="shared" si="18"/>
        <v>23816129.609999999</v>
      </c>
      <c r="H634" s="8">
        <f t="shared" si="19"/>
        <v>3684.5</v>
      </c>
    </row>
    <row r="635" spans="1:8" x14ac:dyDescent="0.35">
      <c r="A635" s="5">
        <v>3685</v>
      </c>
      <c r="B635" s="6">
        <v>21995750.620000001</v>
      </c>
      <c r="C635" s="6">
        <v>23890750.620000001</v>
      </c>
      <c r="D635" s="6">
        <v>149431.25</v>
      </c>
      <c r="E635" s="2">
        <v>631</v>
      </c>
      <c r="G635" s="7">
        <f t="shared" si="18"/>
        <v>23890750.620000001</v>
      </c>
      <c r="H635" s="8">
        <f t="shared" si="19"/>
        <v>3685</v>
      </c>
    </row>
    <row r="636" spans="1:8" x14ac:dyDescent="0.35">
      <c r="A636" s="5">
        <v>3685.5</v>
      </c>
      <c r="B636" s="6">
        <v>22070560.859999999</v>
      </c>
      <c r="C636" s="6">
        <v>23965560.859999999</v>
      </c>
      <c r="D636" s="6">
        <v>149809.67000000001</v>
      </c>
      <c r="E636" s="2">
        <v>632</v>
      </c>
      <c r="G636" s="7">
        <f t="shared" si="18"/>
        <v>23965560.859999999</v>
      </c>
      <c r="H636" s="8">
        <f t="shared" si="19"/>
        <v>3685.5</v>
      </c>
    </row>
    <row r="637" spans="1:8" x14ac:dyDescent="0.35">
      <c r="A637" s="5">
        <v>3686</v>
      </c>
      <c r="B637" s="6">
        <v>22145560.300000001</v>
      </c>
      <c r="C637" s="6">
        <v>24040560.300000001</v>
      </c>
      <c r="D637" s="6">
        <v>150188.1</v>
      </c>
      <c r="E637" s="2">
        <v>633</v>
      </c>
      <c r="G637" s="7">
        <f t="shared" si="18"/>
        <v>24040560.300000001</v>
      </c>
      <c r="H637" s="8">
        <f t="shared" si="19"/>
        <v>3686</v>
      </c>
    </row>
    <row r="638" spans="1:8" x14ac:dyDescent="0.35">
      <c r="A638" s="5">
        <v>3686.5</v>
      </c>
      <c r="B638" s="6">
        <v>22220748.960000001</v>
      </c>
      <c r="C638" s="6">
        <v>24115748.960000001</v>
      </c>
      <c r="D638" s="6">
        <v>150566.51999999999</v>
      </c>
      <c r="E638" s="2">
        <v>634</v>
      </c>
      <c r="G638" s="7">
        <f t="shared" si="18"/>
        <v>24115748.960000001</v>
      </c>
      <c r="H638" s="8">
        <f t="shared" si="19"/>
        <v>3686.5</v>
      </c>
    </row>
    <row r="639" spans="1:8" x14ac:dyDescent="0.35">
      <c r="A639" s="5">
        <v>3687</v>
      </c>
      <c r="B639" s="6">
        <v>22296126.82</v>
      </c>
      <c r="C639" s="6">
        <v>24191126.82</v>
      </c>
      <c r="D639" s="6">
        <v>150944.95000000001</v>
      </c>
      <c r="E639" s="2">
        <v>635</v>
      </c>
      <c r="G639" s="7">
        <f t="shared" si="18"/>
        <v>24191126.82</v>
      </c>
      <c r="H639" s="8">
        <f t="shared" si="19"/>
        <v>3687</v>
      </c>
    </row>
    <row r="640" spans="1:8" x14ac:dyDescent="0.35">
      <c r="A640" s="5">
        <v>3687.5</v>
      </c>
      <c r="B640" s="6">
        <v>22371693.91</v>
      </c>
      <c r="C640" s="6">
        <v>24266693.91</v>
      </c>
      <c r="D640" s="6">
        <v>151323.37</v>
      </c>
      <c r="E640" s="2">
        <v>636</v>
      </c>
      <c r="G640" s="7">
        <f t="shared" si="18"/>
        <v>24266693.91</v>
      </c>
      <c r="H640" s="8">
        <f t="shared" si="19"/>
        <v>3687.5</v>
      </c>
    </row>
    <row r="641" spans="1:8" x14ac:dyDescent="0.35">
      <c r="A641" s="5">
        <v>3688</v>
      </c>
      <c r="B641" s="6">
        <v>22447450.199999999</v>
      </c>
      <c r="C641" s="6">
        <v>24342450.199999999</v>
      </c>
      <c r="D641" s="6">
        <v>151701.79999999999</v>
      </c>
      <c r="E641" s="2">
        <v>637</v>
      </c>
      <c r="G641" s="7">
        <f t="shared" si="18"/>
        <v>24342450.199999999</v>
      </c>
      <c r="H641" s="8">
        <f t="shared" si="19"/>
        <v>3688</v>
      </c>
    </row>
    <row r="642" spans="1:8" x14ac:dyDescent="0.35">
      <c r="A642" s="5">
        <v>3688.5</v>
      </c>
      <c r="B642" s="6">
        <v>22523395.710000001</v>
      </c>
      <c r="C642" s="6">
        <v>24418395.710000001</v>
      </c>
      <c r="D642" s="6">
        <v>152080.22</v>
      </c>
      <c r="E642" s="2">
        <v>638</v>
      </c>
      <c r="G642" s="7">
        <f t="shared" si="18"/>
        <v>24418395.710000001</v>
      </c>
      <c r="H642" s="8">
        <f t="shared" si="19"/>
        <v>3688.5</v>
      </c>
    </row>
    <row r="643" spans="1:8" x14ac:dyDescent="0.35">
      <c r="A643" s="5">
        <v>3689</v>
      </c>
      <c r="B643" s="6">
        <v>22599530.420000002</v>
      </c>
      <c r="C643" s="6">
        <v>24494530.420000002</v>
      </c>
      <c r="D643" s="6">
        <v>152458.65</v>
      </c>
      <c r="E643" s="2">
        <v>639</v>
      </c>
      <c r="G643" s="7">
        <f t="shared" si="18"/>
        <v>24494530.420000002</v>
      </c>
      <c r="H643" s="8">
        <f t="shared" si="19"/>
        <v>3689</v>
      </c>
    </row>
    <row r="644" spans="1:8" x14ac:dyDescent="0.35">
      <c r="A644" s="5">
        <v>3689.5</v>
      </c>
      <c r="B644" s="6">
        <v>22675854.359999999</v>
      </c>
      <c r="C644" s="6">
        <v>24570854.359999999</v>
      </c>
      <c r="D644" s="6">
        <v>152837.07</v>
      </c>
      <c r="E644" s="2">
        <v>640</v>
      </c>
      <c r="G644" s="7">
        <f t="shared" si="18"/>
        <v>24570854.359999999</v>
      </c>
      <c r="H644" s="8">
        <f t="shared" si="19"/>
        <v>3689.5</v>
      </c>
    </row>
    <row r="645" spans="1:8" x14ac:dyDescent="0.35">
      <c r="A645" s="5">
        <v>3690</v>
      </c>
      <c r="B645" s="6">
        <v>22752367.5</v>
      </c>
      <c r="C645" s="6">
        <v>24647367.5</v>
      </c>
      <c r="D645" s="6">
        <v>153215.5</v>
      </c>
      <c r="E645" s="2">
        <v>641</v>
      </c>
      <c r="G645" s="7">
        <f t="shared" si="18"/>
        <v>24647367.5</v>
      </c>
      <c r="H645" s="8">
        <f t="shared" si="19"/>
        <v>3690</v>
      </c>
    </row>
    <row r="646" spans="1:8" x14ac:dyDescent="0.35">
      <c r="A646" s="5">
        <v>3690.5</v>
      </c>
      <c r="B646" s="6">
        <v>22829069.859999999</v>
      </c>
      <c r="C646" s="6">
        <v>24724069.859999999</v>
      </c>
      <c r="D646" s="6">
        <v>153593.92000000001</v>
      </c>
      <c r="E646" s="2">
        <v>642</v>
      </c>
      <c r="G646" s="7">
        <f t="shared" ref="G646:G689" si="20">C646</f>
        <v>24724069.859999999</v>
      </c>
      <c r="H646" s="8">
        <f t="shared" ref="H646:H689" si="21">A646</f>
        <v>3690.5</v>
      </c>
    </row>
    <row r="647" spans="1:8" x14ac:dyDescent="0.35">
      <c r="A647" s="5">
        <v>3691</v>
      </c>
      <c r="B647" s="6">
        <v>22905961.420000002</v>
      </c>
      <c r="C647" s="6">
        <v>24800961.420000002</v>
      </c>
      <c r="D647" s="6">
        <v>153972.35</v>
      </c>
      <c r="E647" s="2">
        <v>643</v>
      </c>
      <c r="G647" s="7">
        <f t="shared" si="20"/>
        <v>24800961.420000002</v>
      </c>
      <c r="H647" s="8">
        <f t="shared" si="21"/>
        <v>3691</v>
      </c>
    </row>
    <row r="648" spans="1:8" x14ac:dyDescent="0.35">
      <c r="A648" s="5">
        <v>3691.5</v>
      </c>
      <c r="B648" s="6">
        <v>22983042.210000001</v>
      </c>
      <c r="C648" s="6">
        <v>24878042.210000001</v>
      </c>
      <c r="D648" s="6">
        <v>154350.76999999999</v>
      </c>
      <c r="E648" s="2">
        <v>644</v>
      </c>
      <c r="G648" s="7">
        <f t="shared" si="20"/>
        <v>24878042.210000001</v>
      </c>
      <c r="H648" s="8">
        <f t="shared" si="21"/>
        <v>3691.5</v>
      </c>
    </row>
    <row r="649" spans="1:8" x14ac:dyDescent="0.35">
      <c r="A649" s="5">
        <v>3692</v>
      </c>
      <c r="B649" s="6">
        <v>23060312.199999999</v>
      </c>
      <c r="C649" s="6">
        <v>24955312.199999999</v>
      </c>
      <c r="D649" s="6">
        <v>154729.20000000001</v>
      </c>
      <c r="E649" s="2">
        <v>645</v>
      </c>
      <c r="G649" s="7">
        <f t="shared" si="20"/>
        <v>24955312.199999999</v>
      </c>
      <c r="H649" s="8">
        <f t="shared" si="21"/>
        <v>3692</v>
      </c>
    </row>
    <row r="650" spans="1:8" x14ac:dyDescent="0.35">
      <c r="A650" s="5">
        <v>3692.5</v>
      </c>
      <c r="B650" s="6">
        <v>23137771.41</v>
      </c>
      <c r="C650" s="6">
        <v>25032771.41</v>
      </c>
      <c r="D650" s="6">
        <v>155107.62</v>
      </c>
      <c r="E650" s="2">
        <v>646</v>
      </c>
      <c r="G650" s="7">
        <f t="shared" si="20"/>
        <v>25032771.41</v>
      </c>
      <c r="H650" s="8">
        <f t="shared" si="21"/>
        <v>3692.5</v>
      </c>
    </row>
    <row r="651" spans="1:8" x14ac:dyDescent="0.35">
      <c r="A651" s="5">
        <v>3693</v>
      </c>
      <c r="B651" s="6">
        <v>23215419.82</v>
      </c>
      <c r="C651" s="6">
        <v>25110419.82</v>
      </c>
      <c r="D651" s="6">
        <v>155486.04999999999</v>
      </c>
      <c r="E651" s="2">
        <v>647</v>
      </c>
      <c r="G651" s="7">
        <f t="shared" si="20"/>
        <v>25110419.82</v>
      </c>
      <c r="H651" s="8">
        <f t="shared" si="21"/>
        <v>3693</v>
      </c>
    </row>
    <row r="652" spans="1:8" x14ac:dyDescent="0.35">
      <c r="A652" s="5">
        <v>3693.5</v>
      </c>
      <c r="B652" s="6">
        <v>23293257.460000001</v>
      </c>
      <c r="C652" s="6">
        <v>25188257.460000001</v>
      </c>
      <c r="D652" s="6">
        <v>155864.47</v>
      </c>
      <c r="E652" s="2">
        <v>648</v>
      </c>
      <c r="G652" s="7">
        <f t="shared" si="20"/>
        <v>25188257.460000001</v>
      </c>
      <c r="H652" s="8">
        <f t="shared" si="21"/>
        <v>3693.5</v>
      </c>
    </row>
    <row r="653" spans="1:8" x14ac:dyDescent="0.35">
      <c r="A653" s="5">
        <v>3694</v>
      </c>
      <c r="B653" s="6">
        <v>23371284.300000001</v>
      </c>
      <c r="C653" s="6">
        <v>25266284.300000001</v>
      </c>
      <c r="D653" s="6">
        <v>156242.9</v>
      </c>
      <c r="E653" s="2">
        <v>649</v>
      </c>
      <c r="G653" s="7">
        <f t="shared" si="20"/>
        <v>25266284.300000001</v>
      </c>
      <c r="H653" s="8">
        <f t="shared" si="21"/>
        <v>3694</v>
      </c>
    </row>
    <row r="654" spans="1:8" x14ac:dyDescent="0.35">
      <c r="A654" s="5">
        <v>3694.5</v>
      </c>
      <c r="B654" s="6">
        <v>23449500.359999999</v>
      </c>
      <c r="C654" s="6">
        <v>25344500.359999999</v>
      </c>
      <c r="D654" s="6">
        <v>156621.32</v>
      </c>
      <c r="E654" s="2">
        <v>650</v>
      </c>
      <c r="G654" s="7">
        <f t="shared" si="20"/>
        <v>25344500.359999999</v>
      </c>
      <c r="H654" s="8">
        <f t="shared" si="21"/>
        <v>3694.5</v>
      </c>
    </row>
    <row r="655" spans="1:8" x14ac:dyDescent="0.35">
      <c r="A655" s="5">
        <v>3695</v>
      </c>
      <c r="B655" s="6">
        <v>23527905.620000001</v>
      </c>
      <c r="C655" s="6">
        <v>25422905.620000001</v>
      </c>
      <c r="D655" s="6">
        <v>156999.75</v>
      </c>
      <c r="E655" s="2">
        <v>651</v>
      </c>
      <c r="G655" s="7">
        <f t="shared" si="20"/>
        <v>25422905.620000001</v>
      </c>
      <c r="H655" s="8">
        <f t="shared" si="21"/>
        <v>3695</v>
      </c>
    </row>
    <row r="656" spans="1:8" x14ac:dyDescent="0.35">
      <c r="A656" s="5">
        <v>3695.5</v>
      </c>
      <c r="B656" s="6">
        <v>23606500.109999999</v>
      </c>
      <c r="C656" s="6">
        <v>25501500.109999999</v>
      </c>
      <c r="D656" s="6">
        <v>157378.17000000001</v>
      </c>
      <c r="E656" s="2">
        <v>652</v>
      </c>
      <c r="G656" s="7">
        <f t="shared" si="20"/>
        <v>25501500.109999999</v>
      </c>
      <c r="H656" s="8">
        <f t="shared" si="21"/>
        <v>3695.5</v>
      </c>
    </row>
    <row r="657" spans="1:8" x14ac:dyDescent="0.35">
      <c r="A657" s="5">
        <v>3696</v>
      </c>
      <c r="B657" s="6">
        <v>23685283.800000001</v>
      </c>
      <c r="C657" s="6">
        <v>25580283.800000001</v>
      </c>
      <c r="D657" s="6">
        <v>157756.6</v>
      </c>
      <c r="E657" s="2">
        <v>653</v>
      </c>
      <c r="G657" s="7">
        <f t="shared" si="20"/>
        <v>25580283.800000001</v>
      </c>
      <c r="H657" s="8">
        <f t="shared" si="21"/>
        <v>3696</v>
      </c>
    </row>
    <row r="658" spans="1:8" x14ac:dyDescent="0.35">
      <c r="A658" s="5">
        <v>3696.5</v>
      </c>
      <c r="B658" s="6">
        <v>23764256.710000001</v>
      </c>
      <c r="C658" s="6">
        <v>25659256.710000001</v>
      </c>
      <c r="D658" s="6">
        <v>158135.01999999999</v>
      </c>
      <c r="E658" s="2">
        <v>654</v>
      </c>
      <c r="G658" s="7">
        <f t="shared" si="20"/>
        <v>25659256.710000001</v>
      </c>
      <c r="H658" s="8">
        <f t="shared" si="21"/>
        <v>3696.5</v>
      </c>
    </row>
    <row r="659" spans="1:8" x14ac:dyDescent="0.35">
      <c r="A659" s="5">
        <v>3697</v>
      </c>
      <c r="B659" s="6">
        <v>23843418.82</v>
      </c>
      <c r="C659" s="6">
        <v>25738418.82</v>
      </c>
      <c r="D659" s="6">
        <v>158513.45000000001</v>
      </c>
      <c r="E659" s="2">
        <v>655</v>
      </c>
      <c r="G659" s="7">
        <f t="shared" si="20"/>
        <v>25738418.82</v>
      </c>
      <c r="H659" s="8">
        <f t="shared" si="21"/>
        <v>3697</v>
      </c>
    </row>
    <row r="660" spans="1:8" x14ac:dyDescent="0.35">
      <c r="A660" s="5">
        <v>3697.5</v>
      </c>
      <c r="B660" s="6">
        <v>23922770.16</v>
      </c>
      <c r="C660" s="6">
        <v>25817770.16</v>
      </c>
      <c r="D660" s="6">
        <v>158891.87</v>
      </c>
      <c r="E660" s="2">
        <v>656</v>
      </c>
      <c r="G660" s="7">
        <f t="shared" si="20"/>
        <v>25817770.16</v>
      </c>
      <c r="H660" s="8">
        <f t="shared" si="21"/>
        <v>3697.5</v>
      </c>
    </row>
    <row r="661" spans="1:8" x14ac:dyDescent="0.35">
      <c r="A661" s="5">
        <v>3698</v>
      </c>
      <c r="B661" s="6">
        <v>24002310.699999999</v>
      </c>
      <c r="C661" s="6">
        <v>25897310.699999999</v>
      </c>
      <c r="D661" s="6">
        <v>159270.29999999999</v>
      </c>
      <c r="E661" s="2">
        <v>657</v>
      </c>
      <c r="G661" s="7">
        <f t="shared" si="20"/>
        <v>25897310.699999999</v>
      </c>
      <c r="H661" s="8">
        <f t="shared" si="21"/>
        <v>3698</v>
      </c>
    </row>
    <row r="662" spans="1:8" x14ac:dyDescent="0.35">
      <c r="A662" s="5">
        <v>3698.5</v>
      </c>
      <c r="B662" s="6">
        <v>24082040.460000001</v>
      </c>
      <c r="C662" s="6">
        <v>25977040.460000001</v>
      </c>
      <c r="D662" s="6">
        <v>159648.72</v>
      </c>
      <c r="E662" s="2">
        <v>658</v>
      </c>
      <c r="G662" s="7">
        <f t="shared" si="20"/>
        <v>25977040.460000001</v>
      </c>
      <c r="H662" s="8">
        <f t="shared" si="21"/>
        <v>3698.5</v>
      </c>
    </row>
    <row r="663" spans="1:8" x14ac:dyDescent="0.35">
      <c r="A663" s="5">
        <v>3699</v>
      </c>
      <c r="B663" s="6">
        <v>24161959.420000002</v>
      </c>
      <c r="C663" s="6">
        <v>26056959.420000002</v>
      </c>
      <c r="D663" s="6">
        <v>160027.15</v>
      </c>
      <c r="E663" s="2">
        <v>659</v>
      </c>
      <c r="G663" s="7">
        <f t="shared" si="20"/>
        <v>26056959.420000002</v>
      </c>
      <c r="H663" s="8">
        <f t="shared" si="21"/>
        <v>3699</v>
      </c>
    </row>
    <row r="664" spans="1:8" x14ac:dyDescent="0.35">
      <c r="A664" s="5">
        <v>3699.5</v>
      </c>
      <c r="B664" s="6">
        <v>24242067.609999999</v>
      </c>
      <c r="C664" s="6">
        <v>26137067.609999999</v>
      </c>
      <c r="D664" s="6">
        <v>160405.57</v>
      </c>
      <c r="E664" s="2">
        <v>660</v>
      </c>
      <c r="G664" s="7">
        <f t="shared" si="20"/>
        <v>26137067.609999999</v>
      </c>
      <c r="H664" s="8">
        <f t="shared" si="21"/>
        <v>3699.5</v>
      </c>
    </row>
    <row r="665" spans="1:8" x14ac:dyDescent="0.35">
      <c r="A665" s="5">
        <v>3700</v>
      </c>
      <c r="B665" s="6">
        <v>24322365</v>
      </c>
      <c r="C665" s="6">
        <v>26217365</v>
      </c>
      <c r="D665" s="6">
        <v>160784</v>
      </c>
      <c r="E665" s="2">
        <v>661</v>
      </c>
      <c r="G665" s="7">
        <f t="shared" si="20"/>
        <v>26217365</v>
      </c>
      <c r="H665" s="8">
        <f t="shared" si="21"/>
        <v>3700</v>
      </c>
    </row>
    <row r="666" spans="1:8" x14ac:dyDescent="0.35">
      <c r="A666" s="5">
        <v>3700.5</v>
      </c>
      <c r="B666" s="6">
        <v>24402858.780000001</v>
      </c>
      <c r="C666" s="6">
        <v>26297858.780000001</v>
      </c>
      <c r="D666" s="6">
        <v>161191.12</v>
      </c>
      <c r="E666" s="2">
        <v>662</v>
      </c>
      <c r="G666" s="7">
        <f t="shared" si="20"/>
        <v>26297858.780000001</v>
      </c>
      <c r="H666" s="8">
        <f t="shared" si="21"/>
        <v>3700.5</v>
      </c>
    </row>
    <row r="667" spans="1:8" x14ac:dyDescent="0.35">
      <c r="A667" s="5">
        <v>3701</v>
      </c>
      <c r="B667" s="6">
        <v>24483556.120000001</v>
      </c>
      <c r="C667" s="6">
        <v>26378556.120000001</v>
      </c>
      <c r="D667" s="6">
        <v>161598.25</v>
      </c>
      <c r="E667" s="2">
        <v>663</v>
      </c>
      <c r="G667" s="7">
        <f t="shared" si="20"/>
        <v>26378556.120000001</v>
      </c>
      <c r="H667" s="8">
        <f t="shared" si="21"/>
        <v>3701</v>
      </c>
    </row>
    <row r="668" spans="1:8" x14ac:dyDescent="0.35">
      <c r="A668" s="5">
        <v>3701.5</v>
      </c>
      <c r="B668" s="6">
        <v>24564457.030000001</v>
      </c>
      <c r="C668" s="6">
        <v>26459457.030000001</v>
      </c>
      <c r="D668" s="6">
        <v>162005.37</v>
      </c>
      <c r="E668" s="2">
        <v>664</v>
      </c>
      <c r="G668" s="7">
        <f t="shared" si="20"/>
        <v>26459457.030000001</v>
      </c>
      <c r="H668" s="8">
        <f t="shared" si="21"/>
        <v>3701.5</v>
      </c>
    </row>
    <row r="669" spans="1:8" x14ac:dyDescent="0.35">
      <c r="A669" s="5">
        <v>3702</v>
      </c>
      <c r="B669" s="6">
        <v>24645561.5</v>
      </c>
      <c r="C669" s="6">
        <v>26540561.5</v>
      </c>
      <c r="D669" s="6">
        <v>162412.5</v>
      </c>
      <c r="E669" s="2">
        <v>665</v>
      </c>
      <c r="G669" s="7">
        <f t="shared" si="20"/>
        <v>26540561.5</v>
      </c>
      <c r="H669" s="8">
        <f t="shared" si="21"/>
        <v>3702</v>
      </c>
    </row>
    <row r="670" spans="1:8" x14ac:dyDescent="0.35">
      <c r="A670" s="5">
        <v>3702.5</v>
      </c>
      <c r="B670" s="6">
        <v>24726869.530000001</v>
      </c>
      <c r="C670" s="6">
        <v>26621869.530000001</v>
      </c>
      <c r="D670" s="6">
        <v>162819.62</v>
      </c>
      <c r="E670" s="2">
        <v>666</v>
      </c>
      <c r="G670" s="7">
        <f t="shared" si="20"/>
        <v>26621869.530000001</v>
      </c>
      <c r="H670" s="8">
        <f t="shared" si="21"/>
        <v>3702.5</v>
      </c>
    </row>
    <row r="671" spans="1:8" x14ac:dyDescent="0.35">
      <c r="A671" s="5">
        <v>3703</v>
      </c>
      <c r="B671" s="6">
        <v>24808381.120000001</v>
      </c>
      <c r="C671" s="6">
        <v>26703381.120000001</v>
      </c>
      <c r="D671" s="6">
        <v>163226.75</v>
      </c>
      <c r="E671" s="2">
        <v>667</v>
      </c>
      <c r="G671" s="7">
        <f t="shared" si="20"/>
        <v>26703381.120000001</v>
      </c>
      <c r="H671" s="8">
        <f t="shared" si="21"/>
        <v>3703</v>
      </c>
    </row>
    <row r="672" spans="1:8" x14ac:dyDescent="0.35">
      <c r="A672" s="5">
        <v>3703.5</v>
      </c>
      <c r="B672" s="6">
        <v>24890096.280000001</v>
      </c>
      <c r="C672" s="6">
        <v>26785096.280000001</v>
      </c>
      <c r="D672" s="6">
        <v>163633.87</v>
      </c>
      <c r="E672" s="2">
        <v>668</v>
      </c>
      <c r="G672" s="7">
        <f t="shared" si="20"/>
        <v>26785096.280000001</v>
      </c>
      <c r="H672" s="8">
        <f t="shared" si="21"/>
        <v>3703.5</v>
      </c>
    </row>
    <row r="673" spans="1:8" x14ac:dyDescent="0.35">
      <c r="A673" s="5">
        <v>3704</v>
      </c>
      <c r="B673" s="6">
        <v>24972015</v>
      </c>
      <c r="C673" s="6">
        <v>26867015</v>
      </c>
      <c r="D673" s="6">
        <v>164041</v>
      </c>
      <c r="E673" s="2">
        <v>669</v>
      </c>
      <c r="G673" s="7">
        <f t="shared" si="20"/>
        <v>26867015</v>
      </c>
      <c r="H673" s="8">
        <f t="shared" si="21"/>
        <v>3704</v>
      </c>
    </row>
    <row r="674" spans="1:8" x14ac:dyDescent="0.35">
      <c r="A674" s="5">
        <v>3704.5</v>
      </c>
      <c r="B674" s="6">
        <v>25054137.280000001</v>
      </c>
      <c r="C674" s="6">
        <v>26949137.280000001</v>
      </c>
      <c r="D674" s="6">
        <v>164448.12</v>
      </c>
      <c r="E674" s="2">
        <v>670</v>
      </c>
      <c r="G674" s="7">
        <f t="shared" si="20"/>
        <v>26949137.280000001</v>
      </c>
      <c r="H674" s="8">
        <f t="shared" si="21"/>
        <v>3704.5</v>
      </c>
    </row>
    <row r="675" spans="1:8" x14ac:dyDescent="0.35">
      <c r="A675" s="5">
        <v>3705</v>
      </c>
      <c r="B675" s="6">
        <v>25136463.120000001</v>
      </c>
      <c r="C675" s="6">
        <v>27031463.120000001</v>
      </c>
      <c r="D675" s="6">
        <v>164855.25</v>
      </c>
      <c r="E675" s="2">
        <v>671</v>
      </c>
      <c r="G675" s="7">
        <f t="shared" si="20"/>
        <v>27031463.120000001</v>
      </c>
      <c r="H675" s="8">
        <f t="shared" si="21"/>
        <v>3705</v>
      </c>
    </row>
    <row r="676" spans="1:8" x14ac:dyDescent="0.35">
      <c r="A676" s="5">
        <v>3705.5</v>
      </c>
      <c r="B676" s="6">
        <v>25218992.530000001</v>
      </c>
      <c r="C676" s="6">
        <v>27113992.530000001</v>
      </c>
      <c r="D676" s="6">
        <v>165262.37</v>
      </c>
      <c r="E676" s="2">
        <v>672</v>
      </c>
      <c r="G676" s="7">
        <f t="shared" si="20"/>
        <v>27113992.530000001</v>
      </c>
      <c r="H676" s="8">
        <f t="shared" si="21"/>
        <v>3705.5</v>
      </c>
    </row>
    <row r="677" spans="1:8" x14ac:dyDescent="0.35">
      <c r="A677" s="5">
        <v>3706</v>
      </c>
      <c r="B677" s="6">
        <v>25301725.5</v>
      </c>
      <c r="C677" s="6">
        <v>27196725.5</v>
      </c>
      <c r="D677" s="6">
        <v>165669.5</v>
      </c>
      <c r="E677" s="2">
        <v>673</v>
      </c>
      <c r="G677" s="7">
        <f t="shared" si="20"/>
        <v>27196725.5</v>
      </c>
      <c r="H677" s="8">
        <f t="shared" si="21"/>
        <v>3706</v>
      </c>
    </row>
    <row r="678" spans="1:8" x14ac:dyDescent="0.35">
      <c r="A678" s="5">
        <v>3706.5</v>
      </c>
      <c r="B678" s="6">
        <v>25384662.030000001</v>
      </c>
      <c r="C678" s="6">
        <v>27279662.030000001</v>
      </c>
      <c r="D678" s="6">
        <v>166076.62</v>
      </c>
      <c r="E678" s="2">
        <v>674</v>
      </c>
      <c r="G678" s="7">
        <f t="shared" si="20"/>
        <v>27279662.030000001</v>
      </c>
      <c r="H678" s="8">
        <f t="shared" si="21"/>
        <v>3706.5</v>
      </c>
    </row>
    <row r="679" spans="1:8" x14ac:dyDescent="0.35">
      <c r="A679" s="5">
        <v>3707</v>
      </c>
      <c r="B679" s="6">
        <v>25467802.120000001</v>
      </c>
      <c r="C679" s="6">
        <v>27362802.120000001</v>
      </c>
      <c r="D679" s="6">
        <v>166483.75</v>
      </c>
      <c r="E679" s="2">
        <v>675</v>
      </c>
      <c r="G679" s="7">
        <f t="shared" si="20"/>
        <v>27362802.120000001</v>
      </c>
      <c r="H679" s="8">
        <f t="shared" si="21"/>
        <v>3707</v>
      </c>
    </row>
    <row r="680" spans="1:8" x14ac:dyDescent="0.35">
      <c r="A680" s="5">
        <v>3707.5</v>
      </c>
      <c r="B680" s="6">
        <v>25551145.780000001</v>
      </c>
      <c r="C680" s="6">
        <v>27446145.780000001</v>
      </c>
      <c r="D680" s="6">
        <v>166890.87</v>
      </c>
      <c r="E680" s="2">
        <v>676</v>
      </c>
      <c r="G680" s="7">
        <f t="shared" si="20"/>
        <v>27446145.780000001</v>
      </c>
      <c r="H680" s="8">
        <f t="shared" si="21"/>
        <v>3707.5</v>
      </c>
    </row>
    <row r="681" spans="1:8" x14ac:dyDescent="0.35">
      <c r="A681" s="5">
        <v>3708</v>
      </c>
      <c r="B681" s="6">
        <v>25634693</v>
      </c>
      <c r="C681" s="6">
        <v>27529693</v>
      </c>
      <c r="D681" s="6">
        <v>167298</v>
      </c>
      <c r="E681" s="2">
        <v>677</v>
      </c>
      <c r="G681" s="7">
        <f t="shared" si="20"/>
        <v>27529693</v>
      </c>
      <c r="H681" s="8">
        <f t="shared" si="21"/>
        <v>3708</v>
      </c>
    </row>
    <row r="682" spans="1:8" x14ac:dyDescent="0.35">
      <c r="A682" s="5">
        <v>3708.5</v>
      </c>
      <c r="B682" s="6">
        <v>25718443.780000001</v>
      </c>
      <c r="C682" s="6">
        <v>27613443.780000001</v>
      </c>
      <c r="D682" s="6">
        <v>167705.12</v>
      </c>
      <c r="E682" s="2">
        <v>678</v>
      </c>
      <c r="G682" s="7">
        <f t="shared" si="20"/>
        <v>27613443.780000001</v>
      </c>
      <c r="H682" s="8">
        <f t="shared" si="21"/>
        <v>3708.5</v>
      </c>
    </row>
    <row r="683" spans="1:8" x14ac:dyDescent="0.35">
      <c r="A683" s="5">
        <v>3709</v>
      </c>
      <c r="B683" s="6">
        <v>25802398.120000001</v>
      </c>
      <c r="C683" s="6">
        <v>27697398.120000001</v>
      </c>
      <c r="D683" s="6">
        <v>168112.25</v>
      </c>
      <c r="E683" s="2">
        <v>679</v>
      </c>
      <c r="G683" s="7">
        <f t="shared" si="20"/>
        <v>27697398.120000001</v>
      </c>
      <c r="H683" s="8">
        <f t="shared" si="21"/>
        <v>3709</v>
      </c>
    </row>
    <row r="684" spans="1:8" x14ac:dyDescent="0.35">
      <c r="A684" s="5">
        <v>3709.5</v>
      </c>
      <c r="B684" s="6">
        <v>25886556.030000001</v>
      </c>
      <c r="C684" s="6">
        <v>27781556.030000001</v>
      </c>
      <c r="D684" s="6">
        <v>168519.37</v>
      </c>
      <c r="E684" s="2">
        <v>680</v>
      </c>
      <c r="G684" s="7">
        <f t="shared" si="20"/>
        <v>27781556.030000001</v>
      </c>
      <c r="H684" s="8">
        <f t="shared" si="21"/>
        <v>3709.5</v>
      </c>
    </row>
    <row r="685" spans="1:8" x14ac:dyDescent="0.35">
      <c r="A685" s="5">
        <v>3710</v>
      </c>
      <c r="B685" s="6">
        <v>25970917.5</v>
      </c>
      <c r="C685" s="6">
        <v>27865917.5</v>
      </c>
      <c r="D685" s="6">
        <v>168926.5</v>
      </c>
      <c r="E685" s="2">
        <v>681</v>
      </c>
      <c r="G685" s="7">
        <f t="shared" si="20"/>
        <v>27865917.5</v>
      </c>
      <c r="H685" s="8">
        <f t="shared" si="21"/>
        <v>3710</v>
      </c>
    </row>
    <row r="686" spans="1:8" x14ac:dyDescent="0.35">
      <c r="A686" s="5">
        <v>3710.5</v>
      </c>
      <c r="B686" s="6">
        <v>26055482.530000001</v>
      </c>
      <c r="C686" s="6">
        <v>27950482.530000001</v>
      </c>
      <c r="D686" s="6">
        <v>169333.62</v>
      </c>
      <c r="E686" s="2">
        <v>682</v>
      </c>
      <c r="G686" s="7">
        <f t="shared" si="20"/>
        <v>27950482.530000001</v>
      </c>
      <c r="H686" s="8">
        <f t="shared" si="21"/>
        <v>3710.5</v>
      </c>
    </row>
    <row r="687" spans="1:8" x14ac:dyDescent="0.35">
      <c r="A687" s="5">
        <v>3711</v>
      </c>
      <c r="B687" s="6">
        <v>26140251.120000001</v>
      </c>
      <c r="C687" s="6">
        <v>28035251.120000001</v>
      </c>
      <c r="D687" s="6">
        <v>169740.75</v>
      </c>
      <c r="E687" s="2">
        <v>683</v>
      </c>
      <c r="G687" s="7">
        <f t="shared" si="20"/>
        <v>28035251.120000001</v>
      </c>
      <c r="H687" s="8">
        <f t="shared" si="21"/>
        <v>3711</v>
      </c>
    </row>
    <row r="688" spans="1:8" x14ac:dyDescent="0.35">
      <c r="A688" s="5">
        <v>3711.5</v>
      </c>
      <c r="B688" s="6">
        <v>26225223.280000001</v>
      </c>
      <c r="C688" s="6">
        <v>28120223.280000001</v>
      </c>
      <c r="D688" s="6">
        <v>170147.87</v>
      </c>
      <c r="E688" s="2">
        <v>684</v>
      </c>
      <c r="G688" s="7">
        <f t="shared" si="20"/>
        <v>28120223.280000001</v>
      </c>
      <c r="H688" s="8">
        <f t="shared" si="21"/>
        <v>3711.5</v>
      </c>
    </row>
    <row r="689" spans="1:8" x14ac:dyDescent="0.35">
      <c r="A689" s="5">
        <v>3800</v>
      </c>
      <c r="B689" s="6">
        <v>1000000000</v>
      </c>
      <c r="C689" s="6">
        <v>1001895000</v>
      </c>
      <c r="D689" s="6">
        <v>250000</v>
      </c>
      <c r="E689" s="2">
        <v>685</v>
      </c>
      <c r="G689" s="7">
        <f t="shared" si="20"/>
        <v>1001895000</v>
      </c>
      <c r="H689" s="8">
        <f t="shared" si="21"/>
        <v>3800</v>
      </c>
    </row>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4D89E-14EF-4823-8B43-9AC037BFB8AB}">
  <dimension ref="A1:M689"/>
  <sheetViews>
    <sheetView zoomScale="160" zoomScaleNormal="160" workbookViewId="0">
      <pane xSplit="1" ySplit="4" topLeftCell="B334" activePane="bottomRight" state="frozen"/>
      <selection pane="topRight" activeCell="B1" sqref="B1"/>
      <selection pane="bottomLeft" activeCell="A5" sqref="A5"/>
      <selection pane="bottomRight" activeCell="B810" sqref="B810"/>
    </sheetView>
  </sheetViews>
  <sheetFormatPr defaultRowHeight="14.5" x14ac:dyDescent="0.35"/>
  <cols>
    <col min="1" max="1" width="12.453125" customWidth="1"/>
    <col min="2" max="3" width="14.26953125" customWidth="1"/>
    <col min="4" max="4" width="11.54296875" bestFit="1" customWidth="1"/>
    <col min="7" max="7" width="13.81640625" customWidth="1"/>
    <col min="8" max="8" width="10.54296875" bestFit="1" customWidth="1"/>
    <col min="9" max="9" width="11.54296875" bestFit="1" customWidth="1"/>
    <col min="10" max="10" width="10.54296875" bestFit="1" customWidth="1"/>
    <col min="11" max="11" width="11.1796875" customWidth="1"/>
    <col min="12" max="12" width="12.1796875" customWidth="1"/>
    <col min="13" max="13" width="10.54296875" bestFit="1" customWidth="1"/>
  </cols>
  <sheetData>
    <row r="1" spans="1:13" s="1" customFormat="1" x14ac:dyDescent="0.35">
      <c r="A1" s="1" t="s">
        <v>122</v>
      </c>
    </row>
    <row r="2" spans="1:13" x14ac:dyDescent="0.35">
      <c r="A2" t="s">
        <v>14</v>
      </c>
    </row>
    <row r="3" spans="1:13" x14ac:dyDescent="0.35">
      <c r="C3">
        <v>2035000</v>
      </c>
    </row>
    <row r="4" spans="1:13" x14ac:dyDescent="0.35">
      <c r="A4" s="3" t="s">
        <v>15</v>
      </c>
      <c r="B4" s="3" t="s">
        <v>16</v>
      </c>
      <c r="C4" s="3" t="s">
        <v>17</v>
      </c>
      <c r="D4" s="3" t="s">
        <v>18</v>
      </c>
      <c r="E4" s="4" t="s">
        <v>19</v>
      </c>
      <c r="G4" s="3"/>
    </row>
    <row r="5" spans="1:13" x14ac:dyDescent="0.35">
      <c r="A5" s="5">
        <v>895</v>
      </c>
      <c r="B5" s="6">
        <v>0</v>
      </c>
      <c r="C5" s="6">
        <f>B5+$C$3</f>
        <v>2035000</v>
      </c>
      <c r="D5" s="6">
        <v>30172.000000100001</v>
      </c>
      <c r="E5" s="2">
        <v>1</v>
      </c>
    </row>
    <row r="6" spans="1:13" x14ac:dyDescent="0.35">
      <c r="A6" s="5">
        <v>895.5</v>
      </c>
      <c r="B6" s="6">
        <v>15111</v>
      </c>
      <c r="C6" s="6">
        <f t="shared" ref="C6:C69" si="0">B6+$C$3</f>
        <v>2050111</v>
      </c>
      <c r="D6" s="6">
        <v>30270</v>
      </c>
      <c r="E6" s="2">
        <v>2</v>
      </c>
    </row>
    <row r="7" spans="1:13" x14ac:dyDescent="0.35">
      <c r="A7" s="5">
        <v>896</v>
      </c>
      <c r="B7" s="6">
        <v>30270</v>
      </c>
      <c r="C7" s="6">
        <f t="shared" si="0"/>
        <v>2065270</v>
      </c>
      <c r="D7" s="6">
        <v>30367.999999899999</v>
      </c>
      <c r="E7" s="2">
        <v>3</v>
      </c>
    </row>
    <row r="8" spans="1:13" x14ac:dyDescent="0.35">
      <c r="A8" s="5">
        <v>896.5</v>
      </c>
      <c r="B8" s="6">
        <v>45479</v>
      </c>
      <c r="C8" s="6">
        <f t="shared" si="0"/>
        <v>2080479</v>
      </c>
      <c r="D8" s="6">
        <v>30466</v>
      </c>
      <c r="E8" s="2">
        <v>4</v>
      </c>
    </row>
    <row r="9" spans="1:13" x14ac:dyDescent="0.35">
      <c r="A9" s="5">
        <v>897</v>
      </c>
      <c r="B9" s="36">
        <v>60736</v>
      </c>
      <c r="C9" s="6">
        <f t="shared" si="0"/>
        <v>2095736</v>
      </c>
      <c r="D9" s="6">
        <v>30563.999999899999</v>
      </c>
      <c r="E9" s="2">
        <v>5</v>
      </c>
    </row>
    <row r="10" spans="1:13" x14ac:dyDescent="0.35">
      <c r="A10" s="5">
        <v>897.5</v>
      </c>
      <c r="B10" s="36">
        <v>76043</v>
      </c>
      <c r="C10" s="6">
        <f t="shared" si="0"/>
        <v>2111043</v>
      </c>
      <c r="D10" s="6">
        <v>30662.000000100001</v>
      </c>
      <c r="E10" s="2">
        <v>6</v>
      </c>
    </row>
    <row r="11" spans="1:13" x14ac:dyDescent="0.35">
      <c r="A11" s="5">
        <v>898</v>
      </c>
      <c r="B11" s="6">
        <v>91397.999999899999</v>
      </c>
      <c r="C11" s="6">
        <f t="shared" si="0"/>
        <v>2126397.9999998999</v>
      </c>
      <c r="D11" s="6">
        <v>30760</v>
      </c>
      <c r="E11" s="2">
        <v>7</v>
      </c>
    </row>
    <row r="12" spans="1:13" x14ac:dyDescent="0.35">
      <c r="A12" s="5">
        <v>898.5</v>
      </c>
      <c r="B12" s="6">
        <v>106803</v>
      </c>
      <c r="C12" s="6">
        <f t="shared" si="0"/>
        <v>2141803</v>
      </c>
      <c r="D12" s="6">
        <v>30857.999999899999</v>
      </c>
      <c r="E12" s="2">
        <v>8</v>
      </c>
    </row>
    <row r="13" spans="1:13" x14ac:dyDescent="0.35">
      <c r="A13" s="5">
        <v>899</v>
      </c>
      <c r="B13" s="6">
        <v>122257</v>
      </c>
      <c r="C13" s="6">
        <f t="shared" si="0"/>
        <v>2157257</v>
      </c>
      <c r="D13" s="6">
        <v>30956</v>
      </c>
      <c r="E13" s="2">
        <v>9</v>
      </c>
      <c r="I13" s="6"/>
      <c r="J13" s="6"/>
      <c r="K13" s="6"/>
      <c r="L13" s="6"/>
      <c r="M13" s="7"/>
    </row>
    <row r="14" spans="1:13" x14ac:dyDescent="0.35">
      <c r="A14" s="5">
        <v>899.5</v>
      </c>
      <c r="B14" s="6">
        <v>137759</v>
      </c>
      <c r="C14" s="6">
        <f t="shared" si="0"/>
        <v>2172759</v>
      </c>
      <c r="D14" s="6">
        <v>31053.999999899999</v>
      </c>
      <c r="E14" s="2">
        <v>10</v>
      </c>
    </row>
    <row r="15" spans="1:13" x14ac:dyDescent="0.35">
      <c r="A15" s="5">
        <v>900</v>
      </c>
      <c r="B15" s="6">
        <v>153311</v>
      </c>
      <c r="C15" s="6">
        <f t="shared" si="0"/>
        <v>2188311</v>
      </c>
      <c r="D15" s="6">
        <v>31152.000000100001</v>
      </c>
      <c r="E15" s="2">
        <v>11</v>
      </c>
    </row>
    <row r="16" spans="1:13" x14ac:dyDescent="0.35">
      <c r="A16" s="5">
        <v>900.5</v>
      </c>
      <c r="B16" s="6">
        <v>168917</v>
      </c>
      <c r="C16" s="6">
        <f t="shared" si="0"/>
        <v>2203917</v>
      </c>
      <c r="D16" s="6">
        <v>31273.000000100001</v>
      </c>
      <c r="E16" s="2">
        <v>12</v>
      </c>
    </row>
    <row r="17" spans="1:5" x14ac:dyDescent="0.35">
      <c r="A17" s="5">
        <v>901</v>
      </c>
      <c r="B17" s="6">
        <v>184584</v>
      </c>
      <c r="C17" s="6">
        <f t="shared" si="0"/>
        <v>2219584</v>
      </c>
      <c r="D17" s="6">
        <v>31394</v>
      </c>
      <c r="E17" s="2">
        <v>13</v>
      </c>
    </row>
    <row r="18" spans="1:5" x14ac:dyDescent="0.35">
      <c r="A18" s="5">
        <v>901.5</v>
      </c>
      <c r="B18" s="6">
        <v>200311</v>
      </c>
      <c r="C18" s="6">
        <f t="shared" si="0"/>
        <v>2235311</v>
      </c>
      <c r="D18" s="6">
        <v>31514.000000100001</v>
      </c>
      <c r="E18" s="2">
        <v>14</v>
      </c>
    </row>
    <row r="19" spans="1:5" x14ac:dyDescent="0.35">
      <c r="A19" s="5">
        <v>902</v>
      </c>
      <c r="B19" s="6">
        <v>216098</v>
      </c>
      <c r="C19" s="6">
        <f t="shared" si="0"/>
        <v>2251098</v>
      </c>
      <c r="D19" s="6">
        <v>31635.000000100001</v>
      </c>
      <c r="E19" s="2">
        <v>15</v>
      </c>
    </row>
    <row r="20" spans="1:5" x14ac:dyDescent="0.35">
      <c r="A20" s="5">
        <v>902.5</v>
      </c>
      <c r="B20" s="6">
        <v>231946</v>
      </c>
      <c r="C20" s="6">
        <f t="shared" si="0"/>
        <v>2266946</v>
      </c>
      <c r="D20" s="6">
        <v>31754.999999899999</v>
      </c>
      <c r="E20" s="2">
        <v>16</v>
      </c>
    </row>
    <row r="21" spans="1:5" x14ac:dyDescent="0.35">
      <c r="A21" s="5">
        <v>903</v>
      </c>
      <c r="B21" s="6">
        <v>247854</v>
      </c>
      <c r="C21" s="6">
        <f t="shared" si="0"/>
        <v>2282854</v>
      </c>
      <c r="D21" s="6">
        <v>31875.999999899999</v>
      </c>
      <c r="E21" s="2">
        <v>17</v>
      </c>
    </row>
    <row r="22" spans="1:5" x14ac:dyDescent="0.35">
      <c r="A22" s="5">
        <v>903.5</v>
      </c>
      <c r="B22" s="6">
        <v>263822</v>
      </c>
      <c r="C22" s="6">
        <f t="shared" si="0"/>
        <v>2298822</v>
      </c>
      <c r="D22" s="6">
        <v>31997.000000100001</v>
      </c>
      <c r="E22" s="2">
        <v>18</v>
      </c>
    </row>
    <row r="23" spans="1:5" x14ac:dyDescent="0.35">
      <c r="A23" s="5">
        <v>904</v>
      </c>
      <c r="B23" s="6">
        <v>279851</v>
      </c>
      <c r="C23" s="6">
        <f t="shared" si="0"/>
        <v>2314851</v>
      </c>
      <c r="D23" s="6">
        <v>32116.999999899999</v>
      </c>
      <c r="E23" s="2">
        <v>19</v>
      </c>
    </row>
    <row r="24" spans="1:5" x14ac:dyDescent="0.35">
      <c r="A24" s="5">
        <v>904.5</v>
      </c>
      <c r="B24" s="6">
        <v>295939</v>
      </c>
      <c r="C24" s="6">
        <f t="shared" si="0"/>
        <v>2330939</v>
      </c>
      <c r="D24" s="6">
        <v>32237.999999899999</v>
      </c>
      <c r="E24" s="2">
        <v>20</v>
      </c>
    </row>
    <row r="25" spans="1:5" x14ac:dyDescent="0.35">
      <c r="A25" s="5">
        <v>905</v>
      </c>
      <c r="B25" s="6">
        <v>312088</v>
      </c>
      <c r="C25" s="6">
        <f t="shared" si="0"/>
        <v>2347088</v>
      </c>
      <c r="D25" s="6">
        <v>32358.999999899999</v>
      </c>
      <c r="E25" s="2">
        <v>21</v>
      </c>
    </row>
    <row r="26" spans="1:5" x14ac:dyDescent="0.35">
      <c r="A26" s="5">
        <v>905.5</v>
      </c>
      <c r="B26" s="6">
        <v>328298</v>
      </c>
      <c r="C26" s="6">
        <f t="shared" si="0"/>
        <v>2363298</v>
      </c>
      <c r="D26" s="6">
        <v>32479</v>
      </c>
      <c r="E26" s="2">
        <v>22</v>
      </c>
    </row>
    <row r="27" spans="1:5" x14ac:dyDescent="0.35">
      <c r="A27" s="5">
        <v>906</v>
      </c>
      <c r="B27" s="6">
        <v>344568</v>
      </c>
      <c r="C27" s="6">
        <f t="shared" si="0"/>
        <v>2379568</v>
      </c>
      <c r="D27" s="6">
        <v>32599.999999899999</v>
      </c>
      <c r="E27" s="2">
        <v>23</v>
      </c>
    </row>
    <row r="28" spans="1:5" x14ac:dyDescent="0.35">
      <c r="A28" s="5">
        <v>906.5</v>
      </c>
      <c r="B28" s="6">
        <v>360898</v>
      </c>
      <c r="C28" s="6">
        <f t="shared" si="0"/>
        <v>2395898</v>
      </c>
      <c r="D28" s="6">
        <v>32720</v>
      </c>
      <c r="E28" s="2">
        <v>24</v>
      </c>
    </row>
    <row r="29" spans="1:5" x14ac:dyDescent="0.35">
      <c r="A29" s="5">
        <v>907</v>
      </c>
      <c r="B29" s="6">
        <v>377288</v>
      </c>
      <c r="C29" s="6">
        <f t="shared" si="0"/>
        <v>2412288</v>
      </c>
      <c r="D29" s="6">
        <v>32841</v>
      </c>
      <c r="E29" s="2">
        <v>25</v>
      </c>
    </row>
    <row r="30" spans="1:5" x14ac:dyDescent="0.35">
      <c r="A30" s="5">
        <v>907.5</v>
      </c>
      <c r="B30" s="6">
        <v>393739</v>
      </c>
      <c r="C30" s="6">
        <f t="shared" si="0"/>
        <v>2428739</v>
      </c>
      <c r="D30" s="6">
        <v>32962</v>
      </c>
      <c r="E30" s="2">
        <v>26</v>
      </c>
    </row>
    <row r="31" spans="1:5" x14ac:dyDescent="0.35">
      <c r="A31" s="5">
        <v>908</v>
      </c>
      <c r="B31" s="6">
        <v>410250</v>
      </c>
      <c r="C31" s="6">
        <f t="shared" si="0"/>
        <v>2445250</v>
      </c>
      <c r="D31" s="6">
        <v>33082</v>
      </c>
      <c r="E31" s="2">
        <v>27</v>
      </c>
    </row>
    <row r="32" spans="1:5" x14ac:dyDescent="0.35">
      <c r="A32" s="5">
        <v>908.5</v>
      </c>
      <c r="B32" s="6">
        <v>426821</v>
      </c>
      <c r="C32" s="6">
        <f t="shared" si="0"/>
        <v>2461821</v>
      </c>
      <c r="D32" s="6">
        <v>33203</v>
      </c>
      <c r="E32" s="2">
        <v>28</v>
      </c>
    </row>
    <row r="33" spans="1:5" x14ac:dyDescent="0.35">
      <c r="A33" s="5">
        <v>909</v>
      </c>
      <c r="B33" s="6">
        <v>443452</v>
      </c>
      <c r="C33" s="6">
        <f t="shared" si="0"/>
        <v>2478452</v>
      </c>
      <c r="D33" s="6">
        <v>33323.000000100001</v>
      </c>
      <c r="E33" s="2">
        <v>29</v>
      </c>
    </row>
    <row r="34" spans="1:5" x14ac:dyDescent="0.35">
      <c r="A34" s="5">
        <v>909.5</v>
      </c>
      <c r="B34" s="6">
        <v>460144</v>
      </c>
      <c r="C34" s="6">
        <f t="shared" si="0"/>
        <v>2495144</v>
      </c>
      <c r="D34" s="6">
        <v>33444.000000100001</v>
      </c>
      <c r="E34" s="2">
        <v>30</v>
      </c>
    </row>
    <row r="35" spans="1:5" x14ac:dyDescent="0.35">
      <c r="A35" s="5">
        <v>910</v>
      </c>
      <c r="B35" s="6">
        <v>476896</v>
      </c>
      <c r="C35" s="6">
        <f t="shared" si="0"/>
        <v>2511896</v>
      </c>
      <c r="D35" s="6">
        <v>33565</v>
      </c>
      <c r="E35" s="2">
        <v>31</v>
      </c>
    </row>
    <row r="36" spans="1:5" x14ac:dyDescent="0.35">
      <c r="A36" s="5">
        <v>910.5</v>
      </c>
      <c r="B36" s="6">
        <v>493708</v>
      </c>
      <c r="C36" s="6">
        <f t="shared" si="0"/>
        <v>2528708</v>
      </c>
      <c r="D36" s="6">
        <v>33683.000000100001</v>
      </c>
      <c r="E36" s="2">
        <v>32</v>
      </c>
    </row>
    <row r="37" spans="1:5" x14ac:dyDescent="0.35">
      <c r="A37" s="5">
        <v>911</v>
      </c>
      <c r="B37" s="6">
        <v>510579</v>
      </c>
      <c r="C37" s="6">
        <f t="shared" si="0"/>
        <v>2545579</v>
      </c>
      <c r="D37" s="6">
        <v>33800</v>
      </c>
      <c r="E37" s="2">
        <v>33</v>
      </c>
    </row>
    <row r="38" spans="1:5" x14ac:dyDescent="0.35">
      <c r="A38" s="5">
        <v>911.5</v>
      </c>
      <c r="B38" s="6">
        <v>527509</v>
      </c>
      <c r="C38" s="6">
        <f t="shared" si="0"/>
        <v>2562509</v>
      </c>
      <c r="D38" s="6">
        <v>33918</v>
      </c>
      <c r="E38" s="2">
        <v>34</v>
      </c>
    </row>
    <row r="39" spans="1:5" x14ac:dyDescent="0.35">
      <c r="A39" s="5">
        <v>912</v>
      </c>
      <c r="B39" s="6">
        <v>544497</v>
      </c>
      <c r="C39" s="6">
        <f t="shared" si="0"/>
        <v>2579497</v>
      </c>
      <c r="D39" s="6">
        <v>34036</v>
      </c>
      <c r="E39" s="2">
        <v>35</v>
      </c>
    </row>
    <row r="40" spans="1:5" x14ac:dyDescent="0.35">
      <c r="A40" s="5">
        <v>912.5</v>
      </c>
      <c r="B40" s="6">
        <v>561545</v>
      </c>
      <c r="C40" s="6">
        <f t="shared" si="0"/>
        <v>2596545</v>
      </c>
      <c r="D40" s="6">
        <v>34154.000000100001</v>
      </c>
      <c r="E40" s="2">
        <v>36</v>
      </c>
    </row>
    <row r="41" spans="1:5" x14ac:dyDescent="0.35">
      <c r="A41" s="5">
        <v>913</v>
      </c>
      <c r="B41" s="6">
        <v>578651</v>
      </c>
      <c r="C41" s="6">
        <f t="shared" si="0"/>
        <v>2613651</v>
      </c>
      <c r="D41" s="6">
        <v>34271.999999899999</v>
      </c>
      <c r="E41" s="2">
        <v>37</v>
      </c>
    </row>
    <row r="42" spans="1:5" x14ac:dyDescent="0.35">
      <c r="A42" s="5">
        <v>913.5</v>
      </c>
      <c r="B42" s="6">
        <v>595817</v>
      </c>
      <c r="C42" s="6">
        <f t="shared" si="0"/>
        <v>2630817</v>
      </c>
      <c r="D42" s="6">
        <v>34389.999999899999</v>
      </c>
      <c r="E42" s="2">
        <v>38</v>
      </c>
    </row>
    <row r="43" spans="1:5" x14ac:dyDescent="0.35">
      <c r="A43" s="5">
        <v>914</v>
      </c>
      <c r="B43" s="6">
        <v>613041</v>
      </c>
      <c r="C43" s="6">
        <f t="shared" si="0"/>
        <v>2648041</v>
      </c>
      <c r="D43" s="6">
        <v>34508</v>
      </c>
      <c r="E43" s="2">
        <v>39</v>
      </c>
    </row>
    <row r="44" spans="1:5" x14ac:dyDescent="0.35">
      <c r="A44" s="5">
        <v>914.5</v>
      </c>
      <c r="B44" s="6">
        <v>630324</v>
      </c>
      <c r="C44" s="6">
        <f t="shared" si="0"/>
        <v>2665324</v>
      </c>
      <c r="D44" s="6">
        <v>34626</v>
      </c>
      <c r="E44" s="2">
        <v>40</v>
      </c>
    </row>
    <row r="45" spans="1:5" x14ac:dyDescent="0.35">
      <c r="A45" s="5">
        <v>915</v>
      </c>
      <c r="B45" s="6">
        <v>647667</v>
      </c>
      <c r="C45" s="6">
        <f t="shared" si="0"/>
        <v>2682667</v>
      </c>
      <c r="D45" s="6">
        <v>34742.999999899999</v>
      </c>
      <c r="E45" s="2">
        <v>41</v>
      </c>
    </row>
    <row r="46" spans="1:5" x14ac:dyDescent="0.35">
      <c r="A46" s="5">
        <v>915.5</v>
      </c>
      <c r="B46" s="6">
        <v>665068</v>
      </c>
      <c r="C46" s="6">
        <f t="shared" si="0"/>
        <v>2700068</v>
      </c>
      <c r="D46" s="6">
        <v>34860.999999899999</v>
      </c>
      <c r="E46" s="2">
        <v>42</v>
      </c>
    </row>
    <row r="47" spans="1:5" x14ac:dyDescent="0.35">
      <c r="A47" s="5">
        <v>916</v>
      </c>
      <c r="B47" s="6">
        <v>682528</v>
      </c>
      <c r="C47" s="6">
        <f t="shared" si="0"/>
        <v>2717528</v>
      </c>
      <c r="D47" s="6">
        <v>34979</v>
      </c>
      <c r="E47" s="2">
        <v>43</v>
      </c>
    </row>
    <row r="48" spans="1:5" x14ac:dyDescent="0.35">
      <c r="A48" s="5">
        <v>916.5</v>
      </c>
      <c r="B48" s="6">
        <v>700047</v>
      </c>
      <c r="C48" s="6">
        <f t="shared" si="0"/>
        <v>2735047</v>
      </c>
      <c r="D48" s="6">
        <v>35097</v>
      </c>
      <c r="E48" s="2">
        <v>44</v>
      </c>
    </row>
    <row r="49" spans="1:5" x14ac:dyDescent="0.35">
      <c r="A49" s="5">
        <v>917</v>
      </c>
      <c r="B49" s="6">
        <v>717625</v>
      </c>
      <c r="C49" s="6">
        <f t="shared" si="0"/>
        <v>2752625</v>
      </c>
      <c r="D49" s="6">
        <v>35215</v>
      </c>
      <c r="E49" s="2">
        <v>45</v>
      </c>
    </row>
    <row r="50" spans="1:5" x14ac:dyDescent="0.35">
      <c r="A50" s="5">
        <v>917.5</v>
      </c>
      <c r="B50" s="6">
        <v>735262</v>
      </c>
      <c r="C50" s="6">
        <f t="shared" si="0"/>
        <v>2770262</v>
      </c>
      <c r="D50" s="6">
        <v>35333.000000100001</v>
      </c>
      <c r="E50" s="2">
        <v>46</v>
      </c>
    </row>
    <row r="51" spans="1:5" x14ac:dyDescent="0.35">
      <c r="A51" s="5">
        <v>918</v>
      </c>
      <c r="B51" s="6">
        <v>752958</v>
      </c>
      <c r="C51" s="6">
        <f t="shared" si="0"/>
        <v>2787958</v>
      </c>
      <c r="D51" s="6">
        <v>35451.000000100001</v>
      </c>
      <c r="E51" s="2">
        <v>47</v>
      </c>
    </row>
    <row r="52" spans="1:5" x14ac:dyDescent="0.35">
      <c r="A52" s="5">
        <v>918.5</v>
      </c>
      <c r="B52" s="6">
        <v>770713</v>
      </c>
      <c r="C52" s="6">
        <f t="shared" si="0"/>
        <v>2805713</v>
      </c>
      <c r="D52" s="6">
        <v>35568.999999899999</v>
      </c>
      <c r="E52" s="2">
        <v>48</v>
      </c>
    </row>
    <row r="53" spans="1:5" x14ac:dyDescent="0.35">
      <c r="A53" s="5">
        <v>919</v>
      </c>
      <c r="B53" s="6">
        <v>788526</v>
      </c>
      <c r="C53" s="6">
        <f t="shared" si="0"/>
        <v>2823526</v>
      </c>
      <c r="D53" s="6">
        <v>35686.000000100001</v>
      </c>
      <c r="E53" s="2">
        <v>49</v>
      </c>
    </row>
    <row r="54" spans="1:5" x14ac:dyDescent="0.35">
      <c r="A54" s="5">
        <v>919.5</v>
      </c>
      <c r="B54" s="6">
        <v>806399</v>
      </c>
      <c r="C54" s="6">
        <f t="shared" si="0"/>
        <v>2841399</v>
      </c>
      <c r="D54" s="6">
        <v>35804.000000100001</v>
      </c>
      <c r="E54" s="2">
        <v>50</v>
      </c>
    </row>
    <row r="55" spans="1:5" x14ac:dyDescent="0.35">
      <c r="A55" s="5">
        <v>920</v>
      </c>
      <c r="B55" s="6">
        <v>824331.00000200002</v>
      </c>
      <c r="C55" s="6">
        <f t="shared" si="0"/>
        <v>2859331.000002</v>
      </c>
      <c r="D55" s="6">
        <v>35921.999999899999</v>
      </c>
      <c r="E55" s="2">
        <v>51</v>
      </c>
    </row>
    <row r="56" spans="1:5" x14ac:dyDescent="0.35">
      <c r="A56" s="5">
        <v>920.5</v>
      </c>
      <c r="B56" s="6">
        <v>842319.99999799998</v>
      </c>
      <c r="C56" s="6">
        <f t="shared" si="0"/>
        <v>2877319.999998</v>
      </c>
      <c r="D56" s="6">
        <v>36036.000000100001</v>
      </c>
      <c r="E56" s="2">
        <v>52</v>
      </c>
    </row>
    <row r="57" spans="1:5" x14ac:dyDescent="0.35">
      <c r="A57" s="5">
        <v>921</v>
      </c>
      <c r="B57" s="6">
        <v>860367.00000400003</v>
      </c>
      <c r="C57" s="6">
        <f t="shared" si="0"/>
        <v>2895367.000004</v>
      </c>
      <c r="D57" s="6">
        <v>36150.000000100001</v>
      </c>
      <c r="E57" s="2">
        <v>53</v>
      </c>
    </row>
    <row r="58" spans="1:5" x14ac:dyDescent="0.35">
      <c r="A58" s="5">
        <v>921.5</v>
      </c>
      <c r="B58" s="6">
        <v>878470.99999799998</v>
      </c>
      <c r="C58" s="6">
        <f t="shared" si="0"/>
        <v>2913470.999998</v>
      </c>
      <c r="D58" s="6">
        <v>36264</v>
      </c>
      <c r="E58" s="2">
        <v>54</v>
      </c>
    </row>
    <row r="59" spans="1:5" x14ac:dyDescent="0.35">
      <c r="A59" s="5">
        <v>922</v>
      </c>
      <c r="B59" s="6">
        <v>896630.99999799998</v>
      </c>
      <c r="C59" s="6">
        <f t="shared" si="0"/>
        <v>2931630.999998</v>
      </c>
      <c r="D59" s="6">
        <v>36378</v>
      </c>
      <c r="E59" s="2">
        <v>55</v>
      </c>
    </row>
    <row r="60" spans="1:5" x14ac:dyDescent="0.35">
      <c r="A60" s="5">
        <v>922.5</v>
      </c>
      <c r="B60" s="6">
        <v>914849.00000100001</v>
      </c>
      <c r="C60" s="6">
        <f t="shared" si="0"/>
        <v>2949849.0000010002</v>
      </c>
      <c r="D60" s="6">
        <v>36491.999999899999</v>
      </c>
      <c r="E60" s="2">
        <v>56</v>
      </c>
    </row>
    <row r="61" spans="1:5" x14ac:dyDescent="0.35">
      <c r="A61" s="5">
        <v>923</v>
      </c>
      <c r="B61" s="6">
        <v>933123.00000200002</v>
      </c>
      <c r="C61" s="6">
        <f t="shared" si="0"/>
        <v>2968123.000002</v>
      </c>
      <c r="D61" s="6">
        <v>36607.000000100001</v>
      </c>
      <c r="E61" s="2">
        <v>57</v>
      </c>
    </row>
    <row r="62" spans="1:5" x14ac:dyDescent="0.35">
      <c r="A62" s="5">
        <v>923.5</v>
      </c>
      <c r="B62" s="6">
        <v>951454.99999699998</v>
      </c>
      <c r="C62" s="6">
        <f t="shared" si="0"/>
        <v>2986454.9999970002</v>
      </c>
      <c r="D62" s="6">
        <v>36721</v>
      </c>
      <c r="E62" s="2">
        <v>58</v>
      </c>
    </row>
    <row r="63" spans="1:5" x14ac:dyDescent="0.35">
      <c r="A63" s="5">
        <v>924</v>
      </c>
      <c r="B63" s="6">
        <v>969843.99999599997</v>
      </c>
      <c r="C63" s="6">
        <f t="shared" si="0"/>
        <v>3004843.999996</v>
      </c>
      <c r="D63" s="6">
        <v>36835</v>
      </c>
      <c r="E63" s="2">
        <v>59</v>
      </c>
    </row>
    <row r="64" spans="1:5" x14ac:dyDescent="0.35">
      <c r="A64" s="5">
        <v>924.5</v>
      </c>
      <c r="B64" s="6">
        <v>988290</v>
      </c>
      <c r="C64" s="6">
        <f t="shared" si="0"/>
        <v>3023290</v>
      </c>
      <c r="D64" s="6">
        <v>36948.999999899999</v>
      </c>
      <c r="E64" s="2">
        <v>60</v>
      </c>
    </row>
    <row r="65" spans="1:5" x14ac:dyDescent="0.35">
      <c r="A65" s="5">
        <v>925</v>
      </c>
      <c r="B65" s="6">
        <v>1006793</v>
      </c>
      <c r="C65" s="6">
        <f t="shared" si="0"/>
        <v>3041793</v>
      </c>
      <c r="D65" s="6">
        <v>37062.999999899999</v>
      </c>
      <c r="E65" s="2">
        <v>61</v>
      </c>
    </row>
    <row r="66" spans="1:5" x14ac:dyDescent="0.35">
      <c r="A66" s="5">
        <v>925.5</v>
      </c>
      <c r="B66" s="6">
        <v>1025353</v>
      </c>
      <c r="C66" s="6">
        <f t="shared" si="0"/>
        <v>3060353</v>
      </c>
      <c r="D66" s="6">
        <v>37177.000000100001</v>
      </c>
      <c r="E66" s="2">
        <v>62</v>
      </c>
    </row>
    <row r="67" spans="1:5" x14ac:dyDescent="0.35">
      <c r="A67" s="5">
        <v>926</v>
      </c>
      <c r="B67" s="6">
        <v>1043970</v>
      </c>
      <c r="C67" s="6">
        <f t="shared" si="0"/>
        <v>3078970</v>
      </c>
      <c r="D67" s="6">
        <v>37291.000000100001</v>
      </c>
      <c r="E67" s="2">
        <v>63</v>
      </c>
    </row>
    <row r="68" spans="1:5" x14ac:dyDescent="0.35">
      <c r="A68" s="5">
        <v>926.5</v>
      </c>
      <c r="B68" s="6">
        <v>1062644</v>
      </c>
      <c r="C68" s="6">
        <f t="shared" si="0"/>
        <v>3097644</v>
      </c>
      <c r="D68" s="6">
        <v>37405</v>
      </c>
      <c r="E68" s="2">
        <v>64</v>
      </c>
    </row>
    <row r="69" spans="1:5" x14ac:dyDescent="0.35">
      <c r="A69" s="5">
        <v>927</v>
      </c>
      <c r="B69" s="6">
        <v>1081375</v>
      </c>
      <c r="C69" s="6">
        <f t="shared" si="0"/>
        <v>3116375</v>
      </c>
      <c r="D69" s="6">
        <v>37519</v>
      </c>
      <c r="E69" s="2">
        <v>65</v>
      </c>
    </row>
    <row r="70" spans="1:5" x14ac:dyDescent="0.35">
      <c r="A70" s="5">
        <v>927.5</v>
      </c>
      <c r="B70" s="6">
        <v>1100163</v>
      </c>
      <c r="C70" s="6">
        <f t="shared" ref="C70:C133" si="1">B70+$C$3</f>
        <v>3135163</v>
      </c>
      <c r="D70" s="6">
        <v>37633</v>
      </c>
      <c r="E70" s="2">
        <v>66</v>
      </c>
    </row>
    <row r="71" spans="1:5" x14ac:dyDescent="0.35">
      <c r="A71" s="5">
        <v>928</v>
      </c>
      <c r="B71" s="6">
        <v>1119008</v>
      </c>
      <c r="C71" s="6">
        <f t="shared" si="1"/>
        <v>3154008</v>
      </c>
      <c r="D71" s="6">
        <v>37746.999999899999</v>
      </c>
      <c r="E71" s="2">
        <v>67</v>
      </c>
    </row>
    <row r="72" spans="1:5" x14ac:dyDescent="0.35">
      <c r="A72" s="5">
        <v>928.5</v>
      </c>
      <c r="B72" s="6">
        <v>1137910</v>
      </c>
      <c r="C72" s="6">
        <f t="shared" si="1"/>
        <v>3172910</v>
      </c>
      <c r="D72" s="6">
        <v>37860.999999899999</v>
      </c>
      <c r="E72" s="2">
        <v>68</v>
      </c>
    </row>
    <row r="73" spans="1:5" x14ac:dyDescent="0.35">
      <c r="A73" s="5">
        <v>929</v>
      </c>
      <c r="B73" s="6">
        <v>1156869</v>
      </c>
      <c r="C73" s="6">
        <f t="shared" si="1"/>
        <v>3191869</v>
      </c>
      <c r="D73" s="6">
        <v>37975.000000100001</v>
      </c>
      <c r="E73" s="2">
        <v>69</v>
      </c>
    </row>
    <row r="74" spans="1:5" x14ac:dyDescent="0.35">
      <c r="A74" s="5">
        <v>929.5</v>
      </c>
      <c r="B74" s="6">
        <v>1175885</v>
      </c>
      <c r="C74" s="6">
        <f t="shared" si="1"/>
        <v>3210885</v>
      </c>
      <c r="D74" s="6">
        <v>38089.000000100001</v>
      </c>
      <c r="E74" s="2">
        <v>70</v>
      </c>
    </row>
    <row r="75" spans="1:5" x14ac:dyDescent="0.35">
      <c r="A75" s="5">
        <v>930</v>
      </c>
      <c r="B75" s="6">
        <v>1194958</v>
      </c>
      <c r="C75" s="6">
        <f t="shared" si="1"/>
        <v>3229958</v>
      </c>
      <c r="D75" s="6">
        <v>38203</v>
      </c>
      <c r="E75" s="2">
        <v>71</v>
      </c>
    </row>
    <row r="76" spans="1:5" x14ac:dyDescent="0.35">
      <c r="A76" s="5">
        <v>930.5</v>
      </c>
      <c r="B76" s="6">
        <v>1214089</v>
      </c>
      <c r="C76" s="6">
        <f t="shared" si="1"/>
        <v>3249089</v>
      </c>
      <c r="D76" s="6">
        <v>38319.999999899999</v>
      </c>
      <c r="E76" s="2">
        <v>72</v>
      </c>
    </row>
    <row r="77" spans="1:5" x14ac:dyDescent="0.35">
      <c r="A77" s="5">
        <v>931</v>
      </c>
      <c r="B77" s="6">
        <v>1233278</v>
      </c>
      <c r="C77" s="6">
        <f t="shared" si="1"/>
        <v>3268278</v>
      </c>
      <c r="D77" s="6">
        <v>38435.999999899999</v>
      </c>
      <c r="E77" s="2">
        <v>73</v>
      </c>
    </row>
    <row r="78" spans="1:5" x14ac:dyDescent="0.35">
      <c r="A78" s="5">
        <v>931.5</v>
      </c>
      <c r="B78" s="6">
        <v>1252525</v>
      </c>
      <c r="C78" s="6">
        <f t="shared" si="1"/>
        <v>3287525</v>
      </c>
      <c r="D78" s="6">
        <v>38551.999999899999</v>
      </c>
      <c r="E78" s="2">
        <v>74</v>
      </c>
    </row>
    <row r="79" spans="1:5" x14ac:dyDescent="0.35">
      <c r="A79" s="5">
        <v>932</v>
      </c>
      <c r="B79" s="6">
        <v>1271830</v>
      </c>
      <c r="C79" s="6">
        <f t="shared" si="1"/>
        <v>3306830</v>
      </c>
      <c r="D79" s="6">
        <v>38667.999999899999</v>
      </c>
      <c r="E79" s="2">
        <v>75</v>
      </c>
    </row>
    <row r="80" spans="1:5" x14ac:dyDescent="0.35">
      <c r="A80" s="5">
        <v>932.5</v>
      </c>
      <c r="B80" s="6">
        <v>1291193</v>
      </c>
      <c r="C80" s="6">
        <f t="shared" si="1"/>
        <v>3326193</v>
      </c>
      <c r="D80" s="6">
        <v>38783.999999899999</v>
      </c>
      <c r="E80" s="2">
        <v>76</v>
      </c>
    </row>
    <row r="81" spans="1:5" x14ac:dyDescent="0.35">
      <c r="A81" s="5">
        <v>933</v>
      </c>
      <c r="B81" s="6">
        <v>1310614</v>
      </c>
      <c r="C81" s="6">
        <f t="shared" si="1"/>
        <v>3345614</v>
      </c>
      <c r="D81" s="6">
        <v>38899.999999899999</v>
      </c>
      <c r="E81" s="2">
        <v>77</v>
      </c>
    </row>
    <row r="82" spans="1:5" x14ac:dyDescent="0.35">
      <c r="A82" s="5">
        <v>933.5</v>
      </c>
      <c r="B82" s="6">
        <v>1330093</v>
      </c>
      <c r="C82" s="6">
        <f t="shared" si="1"/>
        <v>3365093</v>
      </c>
      <c r="D82" s="6">
        <v>39015.999999899999</v>
      </c>
      <c r="E82" s="2">
        <v>78</v>
      </c>
    </row>
    <row r="83" spans="1:5" x14ac:dyDescent="0.35">
      <c r="A83" s="5">
        <v>934</v>
      </c>
      <c r="B83" s="6">
        <v>1349630</v>
      </c>
      <c r="C83" s="6">
        <f t="shared" si="1"/>
        <v>3384630</v>
      </c>
      <c r="D83" s="6">
        <v>39133.000000100001</v>
      </c>
      <c r="E83" s="2">
        <v>79</v>
      </c>
    </row>
    <row r="84" spans="1:5" x14ac:dyDescent="0.35">
      <c r="A84" s="5">
        <v>934.5</v>
      </c>
      <c r="B84" s="6">
        <v>1369226</v>
      </c>
      <c r="C84" s="6">
        <f t="shared" si="1"/>
        <v>3404226</v>
      </c>
      <c r="D84" s="6">
        <v>39249.000000100001</v>
      </c>
      <c r="E84" s="2">
        <v>80</v>
      </c>
    </row>
    <row r="85" spans="1:5" x14ac:dyDescent="0.35">
      <c r="A85" s="5">
        <v>935</v>
      </c>
      <c r="B85" s="6">
        <v>1388879</v>
      </c>
      <c r="C85" s="6">
        <f t="shared" si="1"/>
        <v>3423879</v>
      </c>
      <c r="D85" s="6">
        <v>39365.000000100001</v>
      </c>
      <c r="E85" s="2">
        <v>81</v>
      </c>
    </row>
    <row r="86" spans="1:5" x14ac:dyDescent="0.35">
      <c r="A86" s="5">
        <v>935.5</v>
      </c>
      <c r="B86" s="6">
        <v>1408591</v>
      </c>
      <c r="C86" s="6">
        <f t="shared" si="1"/>
        <v>3443591</v>
      </c>
      <c r="D86" s="6">
        <v>39481.000000100001</v>
      </c>
      <c r="E86" s="2">
        <v>82</v>
      </c>
    </row>
    <row r="87" spans="1:5" x14ac:dyDescent="0.35">
      <c r="A87" s="5">
        <v>936</v>
      </c>
      <c r="B87" s="6">
        <v>1428360</v>
      </c>
      <c r="C87" s="6">
        <f t="shared" si="1"/>
        <v>3463360</v>
      </c>
      <c r="D87" s="6">
        <v>39597.000000100001</v>
      </c>
      <c r="E87" s="2">
        <v>83</v>
      </c>
    </row>
    <row r="88" spans="1:5" x14ac:dyDescent="0.35">
      <c r="A88" s="5">
        <v>936.5</v>
      </c>
      <c r="B88" s="6">
        <v>1448188</v>
      </c>
      <c r="C88" s="6">
        <f t="shared" si="1"/>
        <v>3483188</v>
      </c>
      <c r="D88" s="6">
        <v>39713.000000100001</v>
      </c>
      <c r="E88" s="2">
        <v>84</v>
      </c>
    </row>
    <row r="89" spans="1:5" x14ac:dyDescent="0.35">
      <c r="A89" s="5">
        <v>937</v>
      </c>
      <c r="B89" s="6">
        <v>1468074</v>
      </c>
      <c r="C89" s="6">
        <f t="shared" si="1"/>
        <v>3503074</v>
      </c>
      <c r="D89" s="6">
        <v>39830</v>
      </c>
      <c r="E89" s="2">
        <v>85</v>
      </c>
    </row>
    <row r="90" spans="1:5" x14ac:dyDescent="0.35">
      <c r="A90" s="5">
        <v>937.5</v>
      </c>
      <c r="B90" s="6">
        <v>1488018</v>
      </c>
      <c r="C90" s="6">
        <f t="shared" si="1"/>
        <v>3523018</v>
      </c>
      <c r="D90" s="6">
        <v>39946</v>
      </c>
      <c r="E90" s="2">
        <v>86</v>
      </c>
    </row>
    <row r="91" spans="1:5" x14ac:dyDescent="0.35">
      <c r="A91" s="5">
        <v>938</v>
      </c>
      <c r="B91" s="6">
        <v>1508019</v>
      </c>
      <c r="C91" s="6">
        <f t="shared" si="1"/>
        <v>3543019</v>
      </c>
      <c r="D91" s="6">
        <v>40062</v>
      </c>
      <c r="E91" s="2">
        <v>87</v>
      </c>
    </row>
    <row r="92" spans="1:5" x14ac:dyDescent="0.35">
      <c r="A92" s="5">
        <v>938.5</v>
      </c>
      <c r="B92" s="6">
        <v>1528079</v>
      </c>
      <c r="C92" s="6">
        <f t="shared" si="1"/>
        <v>3563079</v>
      </c>
      <c r="D92" s="6">
        <v>40178</v>
      </c>
      <c r="E92" s="2">
        <v>88</v>
      </c>
    </row>
    <row r="93" spans="1:5" x14ac:dyDescent="0.35">
      <c r="A93" s="5">
        <v>939</v>
      </c>
      <c r="B93" s="6">
        <v>1548198</v>
      </c>
      <c r="C93" s="6">
        <f t="shared" si="1"/>
        <v>3583198</v>
      </c>
      <c r="D93" s="6">
        <v>40294</v>
      </c>
      <c r="E93" s="2">
        <v>89</v>
      </c>
    </row>
    <row r="94" spans="1:5" x14ac:dyDescent="0.35">
      <c r="A94" s="5">
        <v>939.5</v>
      </c>
      <c r="B94" s="6">
        <v>1568374</v>
      </c>
      <c r="C94" s="6">
        <f t="shared" si="1"/>
        <v>3603374</v>
      </c>
      <c r="D94" s="6">
        <v>40410</v>
      </c>
      <c r="E94" s="2">
        <v>90</v>
      </c>
    </row>
    <row r="95" spans="1:5" x14ac:dyDescent="0.35">
      <c r="A95" s="5">
        <v>940</v>
      </c>
      <c r="B95" s="6">
        <v>1588608</v>
      </c>
      <c r="C95" s="6">
        <f t="shared" si="1"/>
        <v>3623608</v>
      </c>
      <c r="D95" s="6">
        <v>40527.000000100001</v>
      </c>
      <c r="E95" s="2">
        <v>91</v>
      </c>
    </row>
    <row r="96" spans="1:5" x14ac:dyDescent="0.35">
      <c r="A96" s="5">
        <v>940.5</v>
      </c>
      <c r="B96" s="6">
        <v>1608900</v>
      </c>
      <c r="C96" s="6">
        <f t="shared" si="1"/>
        <v>3643900</v>
      </c>
      <c r="D96" s="6">
        <v>40644</v>
      </c>
      <c r="E96" s="2">
        <v>92</v>
      </c>
    </row>
    <row r="97" spans="1:5" x14ac:dyDescent="0.35">
      <c r="A97" s="5">
        <v>941</v>
      </c>
      <c r="B97" s="6">
        <v>1629251</v>
      </c>
      <c r="C97" s="6">
        <f t="shared" si="1"/>
        <v>3664251</v>
      </c>
      <c r="D97" s="6">
        <v>40760.999999899999</v>
      </c>
      <c r="E97" s="2">
        <v>93</v>
      </c>
    </row>
    <row r="98" spans="1:5" x14ac:dyDescent="0.35">
      <c r="A98" s="5">
        <v>941.5</v>
      </c>
      <c r="B98" s="6">
        <v>1649661</v>
      </c>
      <c r="C98" s="6">
        <f t="shared" si="1"/>
        <v>3684661</v>
      </c>
      <c r="D98" s="6">
        <v>40878</v>
      </c>
      <c r="E98" s="2">
        <v>94</v>
      </c>
    </row>
    <row r="99" spans="1:5" x14ac:dyDescent="0.35">
      <c r="A99" s="5">
        <v>942</v>
      </c>
      <c r="B99" s="6">
        <v>1670130</v>
      </c>
      <c r="C99" s="6">
        <f t="shared" si="1"/>
        <v>3705130</v>
      </c>
      <c r="D99" s="6">
        <v>40994.999999899999</v>
      </c>
      <c r="E99" s="2">
        <v>95</v>
      </c>
    </row>
    <row r="100" spans="1:5" x14ac:dyDescent="0.35">
      <c r="A100" s="5">
        <v>942.5</v>
      </c>
      <c r="B100" s="6">
        <v>1690656</v>
      </c>
      <c r="C100" s="6">
        <f t="shared" si="1"/>
        <v>3725656</v>
      </c>
      <c r="D100" s="6">
        <v>41112.000000100001</v>
      </c>
      <c r="E100" s="2">
        <v>96</v>
      </c>
    </row>
    <row r="101" spans="1:5" x14ac:dyDescent="0.35">
      <c r="A101" s="5">
        <v>943</v>
      </c>
      <c r="B101" s="6">
        <v>1711242</v>
      </c>
      <c r="C101" s="6">
        <f t="shared" si="1"/>
        <v>3746242</v>
      </c>
      <c r="D101" s="6">
        <v>41229</v>
      </c>
      <c r="E101" s="2">
        <v>97</v>
      </c>
    </row>
    <row r="102" spans="1:5" x14ac:dyDescent="0.35">
      <c r="A102" s="5">
        <v>943.5</v>
      </c>
      <c r="B102" s="6">
        <v>1731886</v>
      </c>
      <c r="C102" s="6">
        <f t="shared" si="1"/>
        <v>3766886</v>
      </c>
      <c r="D102" s="6">
        <v>41346.000000100001</v>
      </c>
      <c r="E102" s="2">
        <v>98</v>
      </c>
    </row>
    <row r="103" spans="1:5" x14ac:dyDescent="0.35">
      <c r="A103" s="5">
        <v>944</v>
      </c>
      <c r="B103" s="6">
        <v>1752588</v>
      </c>
      <c r="C103" s="6">
        <f t="shared" si="1"/>
        <v>3787588</v>
      </c>
      <c r="D103" s="6">
        <v>41463</v>
      </c>
      <c r="E103" s="2">
        <v>99</v>
      </c>
    </row>
    <row r="104" spans="1:5" x14ac:dyDescent="0.35">
      <c r="A104" s="5">
        <v>944.5</v>
      </c>
      <c r="B104" s="6">
        <v>1773349</v>
      </c>
      <c r="C104" s="6">
        <f t="shared" si="1"/>
        <v>3808349</v>
      </c>
      <c r="D104" s="6">
        <v>41581</v>
      </c>
      <c r="E104" s="2">
        <v>100</v>
      </c>
    </row>
    <row r="105" spans="1:5" x14ac:dyDescent="0.35">
      <c r="A105" s="5">
        <v>945</v>
      </c>
      <c r="B105" s="6">
        <v>1794169</v>
      </c>
      <c r="C105" s="6">
        <f t="shared" si="1"/>
        <v>3829169</v>
      </c>
      <c r="D105" s="6">
        <v>41697.999999899999</v>
      </c>
      <c r="E105" s="2">
        <v>101</v>
      </c>
    </row>
    <row r="106" spans="1:5" x14ac:dyDescent="0.35">
      <c r="A106" s="5">
        <v>945.5</v>
      </c>
      <c r="B106" s="6">
        <v>1815047</v>
      </c>
      <c r="C106" s="6">
        <f t="shared" si="1"/>
        <v>3850047</v>
      </c>
      <c r="D106" s="6">
        <v>41815.000000100001</v>
      </c>
      <c r="E106" s="2">
        <v>102</v>
      </c>
    </row>
    <row r="107" spans="1:5" x14ac:dyDescent="0.35">
      <c r="A107" s="5">
        <v>946</v>
      </c>
      <c r="B107" s="6">
        <v>1835984</v>
      </c>
      <c r="C107" s="6">
        <f t="shared" si="1"/>
        <v>3870984</v>
      </c>
      <c r="D107" s="6">
        <v>41932</v>
      </c>
      <c r="E107" s="2">
        <v>103</v>
      </c>
    </row>
    <row r="108" spans="1:5" x14ac:dyDescent="0.35">
      <c r="A108" s="5">
        <v>946.5</v>
      </c>
      <c r="B108" s="6">
        <v>1856979</v>
      </c>
      <c r="C108" s="6">
        <f t="shared" si="1"/>
        <v>3891979</v>
      </c>
      <c r="D108" s="6">
        <v>42048.999999899999</v>
      </c>
      <c r="E108" s="2">
        <v>104</v>
      </c>
    </row>
    <row r="109" spans="1:5" x14ac:dyDescent="0.35">
      <c r="A109" s="5">
        <v>947</v>
      </c>
      <c r="B109" s="6">
        <v>1878033</v>
      </c>
      <c r="C109" s="6">
        <f t="shared" si="1"/>
        <v>3913033</v>
      </c>
      <c r="D109" s="6">
        <v>42166</v>
      </c>
      <c r="E109" s="2">
        <v>105</v>
      </c>
    </row>
    <row r="110" spans="1:5" x14ac:dyDescent="0.35">
      <c r="A110" s="5">
        <v>947.5</v>
      </c>
      <c r="B110" s="6">
        <v>1899145</v>
      </c>
      <c r="C110" s="6">
        <f t="shared" si="1"/>
        <v>3934145</v>
      </c>
      <c r="D110" s="6">
        <v>42282.999999899999</v>
      </c>
      <c r="E110" s="2">
        <v>106</v>
      </c>
    </row>
    <row r="111" spans="1:5" x14ac:dyDescent="0.35">
      <c r="A111" s="5">
        <v>948</v>
      </c>
      <c r="B111" s="6">
        <v>1920316</v>
      </c>
      <c r="C111" s="6">
        <f t="shared" si="1"/>
        <v>3955316</v>
      </c>
      <c r="D111" s="6">
        <v>42400.000000100001</v>
      </c>
      <c r="E111" s="2">
        <v>107</v>
      </c>
    </row>
    <row r="112" spans="1:5" x14ac:dyDescent="0.35">
      <c r="A112" s="5">
        <v>948.5</v>
      </c>
      <c r="B112" s="6">
        <v>1941545</v>
      </c>
      <c r="C112" s="6">
        <f t="shared" si="1"/>
        <v>3976545</v>
      </c>
      <c r="D112" s="6">
        <v>42518.000000100001</v>
      </c>
      <c r="E112" s="2">
        <v>108</v>
      </c>
    </row>
    <row r="113" spans="1:5" x14ac:dyDescent="0.35">
      <c r="A113" s="5">
        <v>949</v>
      </c>
      <c r="B113" s="6">
        <v>1962834</v>
      </c>
      <c r="C113" s="6">
        <f t="shared" si="1"/>
        <v>3997834</v>
      </c>
      <c r="D113" s="6">
        <v>42635</v>
      </c>
      <c r="E113" s="2">
        <v>109</v>
      </c>
    </row>
    <row r="114" spans="1:5" x14ac:dyDescent="0.35">
      <c r="A114" s="5">
        <v>949.5</v>
      </c>
      <c r="B114" s="6">
        <v>1984180</v>
      </c>
      <c r="C114" s="6">
        <f t="shared" si="1"/>
        <v>4019180</v>
      </c>
      <c r="D114" s="6">
        <v>42751.999999899999</v>
      </c>
      <c r="E114" s="2">
        <v>110</v>
      </c>
    </row>
    <row r="115" spans="1:5" x14ac:dyDescent="0.35">
      <c r="A115" s="5">
        <v>950</v>
      </c>
      <c r="B115" s="6">
        <v>2005585</v>
      </c>
      <c r="C115" s="6">
        <f t="shared" si="1"/>
        <v>4040585</v>
      </c>
      <c r="D115" s="6">
        <v>42869</v>
      </c>
      <c r="E115" s="2">
        <v>111</v>
      </c>
    </row>
    <row r="116" spans="1:5" x14ac:dyDescent="0.35">
      <c r="A116" s="5">
        <v>950.5</v>
      </c>
      <c r="B116" s="6">
        <v>2027052</v>
      </c>
      <c r="C116" s="6">
        <f t="shared" si="1"/>
        <v>4062052</v>
      </c>
      <c r="D116" s="6">
        <v>42999.000000100001</v>
      </c>
      <c r="E116" s="2">
        <v>112</v>
      </c>
    </row>
    <row r="117" spans="1:5" x14ac:dyDescent="0.35">
      <c r="A117" s="5">
        <v>951</v>
      </c>
      <c r="B117" s="6">
        <v>2048584</v>
      </c>
      <c r="C117" s="6">
        <f t="shared" si="1"/>
        <v>4083584</v>
      </c>
      <c r="D117" s="6">
        <v>43127.999999899999</v>
      </c>
      <c r="E117" s="2">
        <v>113</v>
      </c>
    </row>
    <row r="118" spans="1:5" x14ac:dyDescent="0.35">
      <c r="A118" s="5">
        <v>951.5</v>
      </c>
      <c r="B118" s="6">
        <v>2070180</v>
      </c>
      <c r="C118" s="6">
        <f t="shared" si="1"/>
        <v>4105180</v>
      </c>
      <c r="D118" s="6">
        <v>43258</v>
      </c>
      <c r="E118" s="2">
        <v>114</v>
      </c>
    </row>
    <row r="119" spans="1:5" x14ac:dyDescent="0.35">
      <c r="A119" s="5">
        <v>952</v>
      </c>
      <c r="B119" s="6">
        <v>2091842</v>
      </c>
      <c r="C119" s="6">
        <f t="shared" si="1"/>
        <v>4126842</v>
      </c>
      <c r="D119" s="6">
        <v>43387.000000100001</v>
      </c>
      <c r="E119" s="2">
        <v>115</v>
      </c>
    </row>
    <row r="120" spans="1:5" x14ac:dyDescent="0.35">
      <c r="A120" s="5">
        <v>952.5</v>
      </c>
      <c r="B120" s="6">
        <v>2113568</v>
      </c>
      <c r="C120" s="6">
        <f t="shared" si="1"/>
        <v>4148568</v>
      </c>
      <c r="D120" s="6">
        <v>43517.000000100001</v>
      </c>
      <c r="E120" s="2">
        <v>116</v>
      </c>
    </row>
    <row r="121" spans="1:5" x14ac:dyDescent="0.35">
      <c r="A121" s="5">
        <v>953</v>
      </c>
      <c r="B121" s="6">
        <v>2135358</v>
      </c>
      <c r="C121" s="6">
        <f t="shared" si="1"/>
        <v>4170358</v>
      </c>
      <c r="D121" s="6">
        <v>43646.999999899999</v>
      </c>
      <c r="E121" s="2">
        <v>117</v>
      </c>
    </row>
    <row r="122" spans="1:5" x14ac:dyDescent="0.35">
      <c r="A122" s="5">
        <v>953.5</v>
      </c>
      <c r="B122" s="6">
        <v>2157214</v>
      </c>
      <c r="C122" s="6">
        <f t="shared" si="1"/>
        <v>4192214</v>
      </c>
      <c r="D122" s="6">
        <v>43776</v>
      </c>
      <c r="E122" s="2">
        <v>118</v>
      </c>
    </row>
    <row r="123" spans="1:5" x14ac:dyDescent="0.35">
      <c r="A123" s="5">
        <v>954</v>
      </c>
      <c r="B123" s="6">
        <v>2179135</v>
      </c>
      <c r="C123" s="6">
        <f t="shared" si="1"/>
        <v>4214135</v>
      </c>
      <c r="D123" s="6">
        <v>43906</v>
      </c>
      <c r="E123" s="2">
        <v>119</v>
      </c>
    </row>
    <row r="124" spans="1:5" x14ac:dyDescent="0.35">
      <c r="A124" s="5">
        <v>954.5</v>
      </c>
      <c r="B124" s="6">
        <v>2201120</v>
      </c>
      <c r="C124" s="6">
        <f t="shared" si="1"/>
        <v>4236120</v>
      </c>
      <c r="D124" s="6">
        <v>44034.999999899999</v>
      </c>
      <c r="E124" s="2">
        <v>120</v>
      </c>
    </row>
    <row r="125" spans="1:5" x14ac:dyDescent="0.35">
      <c r="A125" s="5">
        <v>955</v>
      </c>
      <c r="B125" s="6">
        <v>2223170</v>
      </c>
      <c r="C125" s="6">
        <f t="shared" si="1"/>
        <v>4258170</v>
      </c>
      <c r="D125" s="6">
        <v>44164.999999899999</v>
      </c>
      <c r="E125" s="2">
        <v>121</v>
      </c>
    </row>
    <row r="126" spans="1:5" x14ac:dyDescent="0.35">
      <c r="A126" s="5">
        <v>955.5</v>
      </c>
      <c r="B126" s="6">
        <v>2245285</v>
      </c>
      <c r="C126" s="6">
        <f t="shared" si="1"/>
        <v>4280285</v>
      </c>
      <c r="D126" s="6">
        <v>44294.999999899999</v>
      </c>
      <c r="E126" s="2">
        <v>122</v>
      </c>
    </row>
    <row r="127" spans="1:5" x14ac:dyDescent="0.35">
      <c r="A127" s="5">
        <v>956</v>
      </c>
      <c r="B127" s="6">
        <v>2267464</v>
      </c>
      <c r="C127" s="6">
        <f t="shared" si="1"/>
        <v>4302464</v>
      </c>
      <c r="D127" s="6">
        <v>44424.000000100001</v>
      </c>
      <c r="E127" s="2">
        <v>123</v>
      </c>
    </row>
    <row r="128" spans="1:5" x14ac:dyDescent="0.35">
      <c r="A128" s="5">
        <v>956.5</v>
      </c>
      <c r="B128" s="6">
        <v>2289709</v>
      </c>
      <c r="C128" s="6">
        <f t="shared" si="1"/>
        <v>4324709</v>
      </c>
      <c r="D128" s="6">
        <v>44554.000000100001</v>
      </c>
      <c r="E128" s="2">
        <v>124</v>
      </c>
    </row>
    <row r="129" spans="1:5" x14ac:dyDescent="0.35">
      <c r="A129" s="5">
        <v>957</v>
      </c>
      <c r="B129" s="6">
        <v>2312018</v>
      </c>
      <c r="C129" s="6">
        <f t="shared" si="1"/>
        <v>4347018</v>
      </c>
      <c r="D129" s="6">
        <v>44683</v>
      </c>
      <c r="E129" s="2">
        <v>125</v>
      </c>
    </row>
    <row r="130" spans="1:5" x14ac:dyDescent="0.35">
      <c r="A130" s="5">
        <v>957.5</v>
      </c>
      <c r="B130" s="6">
        <v>2334392</v>
      </c>
      <c r="C130" s="6">
        <f t="shared" si="1"/>
        <v>4369392</v>
      </c>
      <c r="D130" s="6">
        <v>44813</v>
      </c>
      <c r="E130" s="2">
        <v>126</v>
      </c>
    </row>
    <row r="131" spans="1:5" x14ac:dyDescent="0.35">
      <c r="A131" s="5">
        <v>958</v>
      </c>
      <c r="B131" s="6">
        <v>2356831</v>
      </c>
      <c r="C131" s="6">
        <f t="shared" si="1"/>
        <v>4391831</v>
      </c>
      <c r="D131" s="6">
        <v>44943</v>
      </c>
      <c r="E131" s="2">
        <v>127</v>
      </c>
    </row>
    <row r="132" spans="1:5" x14ac:dyDescent="0.35">
      <c r="A132" s="5">
        <v>958.5</v>
      </c>
      <c r="B132" s="6">
        <v>2379335</v>
      </c>
      <c r="C132" s="6">
        <f t="shared" si="1"/>
        <v>4414335</v>
      </c>
      <c r="D132" s="6">
        <v>45071.999999899999</v>
      </c>
      <c r="E132" s="2">
        <v>128</v>
      </c>
    </row>
    <row r="133" spans="1:5" x14ac:dyDescent="0.35">
      <c r="A133" s="5">
        <v>959</v>
      </c>
      <c r="B133" s="6">
        <v>2401903</v>
      </c>
      <c r="C133" s="6">
        <f t="shared" si="1"/>
        <v>4436903</v>
      </c>
      <c r="D133" s="6">
        <v>45201.999999899999</v>
      </c>
      <c r="E133" s="2">
        <v>129</v>
      </c>
    </row>
    <row r="134" spans="1:5" x14ac:dyDescent="0.35">
      <c r="A134" s="5">
        <v>959.5</v>
      </c>
      <c r="B134" s="6">
        <v>2424536</v>
      </c>
      <c r="C134" s="6">
        <f t="shared" ref="C134:C197" si="2">B134+$C$3</f>
        <v>4459536</v>
      </c>
      <c r="D134" s="6">
        <v>45331</v>
      </c>
      <c r="E134" s="2">
        <v>130</v>
      </c>
    </row>
    <row r="135" spans="1:5" x14ac:dyDescent="0.35">
      <c r="A135" s="5">
        <v>960</v>
      </c>
      <c r="B135" s="6">
        <v>2447235</v>
      </c>
      <c r="C135" s="6">
        <f t="shared" si="2"/>
        <v>4482235</v>
      </c>
      <c r="D135" s="6">
        <v>45461.000000100001</v>
      </c>
      <c r="E135" s="2">
        <v>131</v>
      </c>
    </row>
    <row r="136" spans="1:5" x14ac:dyDescent="0.35">
      <c r="A136" s="5">
        <v>960.5</v>
      </c>
      <c r="B136" s="6">
        <v>2469995</v>
      </c>
      <c r="C136" s="6">
        <f t="shared" si="2"/>
        <v>4504995</v>
      </c>
      <c r="D136" s="6">
        <v>45580</v>
      </c>
      <c r="E136" s="2">
        <v>132</v>
      </c>
    </row>
    <row r="137" spans="1:5" x14ac:dyDescent="0.35">
      <c r="A137" s="5">
        <v>961</v>
      </c>
      <c r="B137" s="6">
        <v>2492815</v>
      </c>
      <c r="C137" s="6">
        <f t="shared" si="2"/>
        <v>4527815</v>
      </c>
      <c r="D137" s="6">
        <v>45700.000000100001</v>
      </c>
      <c r="E137" s="2">
        <v>133</v>
      </c>
    </row>
    <row r="138" spans="1:5" x14ac:dyDescent="0.35">
      <c r="A138" s="5">
        <v>961.5</v>
      </c>
      <c r="B138" s="6">
        <v>2515695</v>
      </c>
      <c r="C138" s="6">
        <f t="shared" si="2"/>
        <v>4550695</v>
      </c>
      <c r="D138" s="6">
        <v>45819</v>
      </c>
      <c r="E138" s="2">
        <v>134</v>
      </c>
    </row>
    <row r="139" spans="1:5" x14ac:dyDescent="0.35">
      <c r="A139" s="5">
        <v>962</v>
      </c>
      <c r="B139" s="6">
        <v>2538634</v>
      </c>
      <c r="C139" s="6">
        <f t="shared" si="2"/>
        <v>4573634</v>
      </c>
      <c r="D139" s="6">
        <v>45937.999999899999</v>
      </c>
      <c r="E139" s="2">
        <v>135</v>
      </c>
    </row>
    <row r="140" spans="1:5" x14ac:dyDescent="0.35">
      <c r="A140" s="5">
        <v>962.5</v>
      </c>
      <c r="B140" s="6">
        <v>2561633</v>
      </c>
      <c r="C140" s="6">
        <f t="shared" si="2"/>
        <v>4596633</v>
      </c>
      <c r="D140" s="6">
        <v>46056.999999899999</v>
      </c>
      <c r="E140" s="2">
        <v>136</v>
      </c>
    </row>
    <row r="141" spans="1:5" x14ac:dyDescent="0.35">
      <c r="A141" s="5">
        <v>963</v>
      </c>
      <c r="B141" s="6">
        <v>2584691</v>
      </c>
      <c r="C141" s="6">
        <f t="shared" si="2"/>
        <v>4619691</v>
      </c>
      <c r="D141" s="6">
        <v>46177</v>
      </c>
      <c r="E141" s="2">
        <v>137</v>
      </c>
    </row>
    <row r="142" spans="1:5" x14ac:dyDescent="0.35">
      <c r="A142" s="5">
        <v>963.5</v>
      </c>
      <c r="B142" s="6">
        <v>2607809</v>
      </c>
      <c r="C142" s="6">
        <f t="shared" si="2"/>
        <v>4642809</v>
      </c>
      <c r="D142" s="6">
        <v>46295.999999899999</v>
      </c>
      <c r="E142" s="2">
        <v>138</v>
      </c>
    </row>
    <row r="143" spans="1:5" x14ac:dyDescent="0.35">
      <c r="A143" s="5">
        <v>964</v>
      </c>
      <c r="B143" s="6">
        <v>2630987</v>
      </c>
      <c r="C143" s="6">
        <f t="shared" si="2"/>
        <v>4665987</v>
      </c>
      <c r="D143" s="6">
        <v>46415.000000100001</v>
      </c>
      <c r="E143" s="2">
        <v>139</v>
      </c>
    </row>
    <row r="144" spans="1:5" x14ac:dyDescent="0.35">
      <c r="A144" s="5">
        <v>964.5</v>
      </c>
      <c r="B144" s="6">
        <v>2654225</v>
      </c>
      <c r="C144" s="6">
        <f t="shared" si="2"/>
        <v>4689225</v>
      </c>
      <c r="D144" s="6">
        <v>46534</v>
      </c>
      <c r="E144" s="2">
        <v>140</v>
      </c>
    </row>
    <row r="145" spans="1:5" x14ac:dyDescent="0.35">
      <c r="A145" s="5">
        <v>965</v>
      </c>
      <c r="B145" s="6">
        <v>2677522</v>
      </c>
      <c r="C145" s="6">
        <f t="shared" si="2"/>
        <v>4712522</v>
      </c>
      <c r="D145" s="6">
        <v>46654.000000100001</v>
      </c>
      <c r="E145" s="2">
        <v>141</v>
      </c>
    </row>
    <row r="146" spans="1:5" x14ac:dyDescent="0.35">
      <c r="A146" s="5">
        <v>965.5</v>
      </c>
      <c r="B146" s="6">
        <v>2700878</v>
      </c>
      <c r="C146" s="6">
        <f t="shared" si="2"/>
        <v>4735878</v>
      </c>
      <c r="D146" s="6">
        <v>46773</v>
      </c>
      <c r="E146" s="2">
        <v>142</v>
      </c>
    </row>
    <row r="147" spans="1:5" x14ac:dyDescent="0.35">
      <c r="A147" s="5">
        <v>966</v>
      </c>
      <c r="B147" s="6">
        <v>2724295</v>
      </c>
      <c r="C147" s="6">
        <f t="shared" si="2"/>
        <v>4759295</v>
      </c>
      <c r="D147" s="6">
        <v>46892</v>
      </c>
      <c r="E147" s="2">
        <v>143</v>
      </c>
    </row>
    <row r="148" spans="1:5" x14ac:dyDescent="0.35">
      <c r="A148" s="5">
        <v>966.5</v>
      </c>
      <c r="B148" s="6">
        <v>2747771</v>
      </c>
      <c r="C148" s="6">
        <f t="shared" si="2"/>
        <v>4782771</v>
      </c>
      <c r="D148" s="6">
        <v>47012</v>
      </c>
      <c r="E148" s="2">
        <v>144</v>
      </c>
    </row>
    <row r="149" spans="1:5" x14ac:dyDescent="0.35">
      <c r="A149" s="5">
        <v>967</v>
      </c>
      <c r="B149" s="6">
        <v>2771306</v>
      </c>
      <c r="C149" s="6">
        <f t="shared" si="2"/>
        <v>4806306</v>
      </c>
      <c r="D149" s="6">
        <v>47131</v>
      </c>
      <c r="E149" s="2">
        <v>145</v>
      </c>
    </row>
    <row r="150" spans="1:5" x14ac:dyDescent="0.35">
      <c r="A150" s="5">
        <v>967.5</v>
      </c>
      <c r="B150" s="6">
        <v>2794901</v>
      </c>
      <c r="C150" s="6">
        <f t="shared" si="2"/>
        <v>4829901</v>
      </c>
      <c r="D150" s="6">
        <v>47249.999999899999</v>
      </c>
      <c r="E150" s="2">
        <v>146</v>
      </c>
    </row>
    <row r="151" spans="1:5" x14ac:dyDescent="0.35">
      <c r="A151" s="5">
        <v>968</v>
      </c>
      <c r="B151" s="6">
        <v>2818556</v>
      </c>
      <c r="C151" s="6">
        <f t="shared" si="2"/>
        <v>4853556</v>
      </c>
      <c r="D151" s="6">
        <v>47369.000000100001</v>
      </c>
      <c r="E151" s="2">
        <v>147</v>
      </c>
    </row>
    <row r="152" spans="1:5" x14ac:dyDescent="0.35">
      <c r="A152" s="5">
        <v>968.5</v>
      </c>
      <c r="B152" s="6">
        <v>2842271</v>
      </c>
      <c r="C152" s="6">
        <f t="shared" si="2"/>
        <v>4877271</v>
      </c>
      <c r="D152" s="6">
        <v>47488.999999899999</v>
      </c>
      <c r="E152" s="2">
        <v>148</v>
      </c>
    </row>
    <row r="153" spans="1:5" x14ac:dyDescent="0.35">
      <c r="A153" s="5">
        <v>969</v>
      </c>
      <c r="B153" s="6">
        <v>2866046</v>
      </c>
      <c r="C153" s="6">
        <f t="shared" si="2"/>
        <v>4901046</v>
      </c>
      <c r="D153" s="6">
        <v>47608.000000100001</v>
      </c>
      <c r="E153" s="2">
        <v>149</v>
      </c>
    </row>
    <row r="154" spans="1:5" x14ac:dyDescent="0.35">
      <c r="A154" s="5">
        <v>969.5</v>
      </c>
      <c r="B154" s="6">
        <v>2889878</v>
      </c>
      <c r="C154" s="6">
        <f t="shared" si="2"/>
        <v>4924878</v>
      </c>
      <c r="D154" s="6">
        <v>47727</v>
      </c>
      <c r="E154" s="2">
        <v>150</v>
      </c>
    </row>
    <row r="155" spans="1:5" x14ac:dyDescent="0.35">
      <c r="A155" s="5">
        <v>970</v>
      </c>
      <c r="B155" s="6">
        <v>2913772</v>
      </c>
      <c r="C155" s="6">
        <f t="shared" si="2"/>
        <v>4948772</v>
      </c>
      <c r="D155" s="6">
        <v>47847.000000100001</v>
      </c>
      <c r="E155" s="2">
        <v>151</v>
      </c>
    </row>
    <row r="156" spans="1:5" x14ac:dyDescent="0.35">
      <c r="A156" s="5">
        <v>970.5</v>
      </c>
      <c r="B156" s="6">
        <v>2937729</v>
      </c>
      <c r="C156" s="6">
        <f t="shared" si="2"/>
        <v>4972729</v>
      </c>
      <c r="D156" s="6">
        <v>47981</v>
      </c>
      <c r="E156" s="2">
        <v>152</v>
      </c>
    </row>
    <row r="157" spans="1:5" x14ac:dyDescent="0.35">
      <c r="A157" s="5">
        <v>971</v>
      </c>
      <c r="B157" s="6">
        <v>2961753</v>
      </c>
      <c r="C157" s="6">
        <f t="shared" si="2"/>
        <v>4996753</v>
      </c>
      <c r="D157" s="6">
        <v>48113.999999899999</v>
      </c>
      <c r="E157" s="2">
        <v>153</v>
      </c>
    </row>
    <row r="158" spans="1:5" x14ac:dyDescent="0.35">
      <c r="A158" s="5">
        <v>971.5</v>
      </c>
      <c r="B158" s="6">
        <v>2985843</v>
      </c>
      <c r="C158" s="6">
        <f t="shared" si="2"/>
        <v>5020843</v>
      </c>
      <c r="D158" s="6">
        <v>48248</v>
      </c>
      <c r="E158" s="2">
        <v>154</v>
      </c>
    </row>
    <row r="159" spans="1:5" x14ac:dyDescent="0.35">
      <c r="A159" s="5">
        <v>972</v>
      </c>
      <c r="B159" s="6">
        <v>3010001</v>
      </c>
      <c r="C159" s="6">
        <f t="shared" si="2"/>
        <v>5045001</v>
      </c>
      <c r="D159" s="6">
        <v>48382.000000100001</v>
      </c>
      <c r="E159" s="2">
        <v>155</v>
      </c>
    </row>
    <row r="160" spans="1:5" x14ac:dyDescent="0.35">
      <c r="A160" s="5">
        <v>972.5</v>
      </c>
      <c r="B160" s="6">
        <v>3034226</v>
      </c>
      <c r="C160" s="6">
        <f t="shared" si="2"/>
        <v>5069226</v>
      </c>
      <c r="D160" s="6">
        <v>48516</v>
      </c>
      <c r="E160" s="2">
        <v>156</v>
      </c>
    </row>
    <row r="161" spans="1:5" x14ac:dyDescent="0.35">
      <c r="A161" s="5">
        <v>973</v>
      </c>
      <c r="B161" s="6">
        <v>3058517</v>
      </c>
      <c r="C161" s="6">
        <f t="shared" si="2"/>
        <v>5093517</v>
      </c>
      <c r="D161" s="6">
        <v>48650.000000100001</v>
      </c>
      <c r="E161" s="2">
        <v>157</v>
      </c>
    </row>
    <row r="162" spans="1:5" x14ac:dyDescent="0.35">
      <c r="A162" s="5">
        <v>973.5</v>
      </c>
      <c r="B162" s="6">
        <v>3082876</v>
      </c>
      <c r="C162" s="6">
        <f t="shared" si="2"/>
        <v>5117876</v>
      </c>
      <c r="D162" s="6">
        <v>48783.999999899999</v>
      </c>
      <c r="E162" s="2">
        <v>158</v>
      </c>
    </row>
    <row r="163" spans="1:5" x14ac:dyDescent="0.35">
      <c r="A163" s="5">
        <v>974</v>
      </c>
      <c r="B163" s="6">
        <v>3107301</v>
      </c>
      <c r="C163" s="6">
        <f t="shared" si="2"/>
        <v>5142301</v>
      </c>
      <c r="D163" s="6">
        <v>48918</v>
      </c>
      <c r="E163" s="2">
        <v>159</v>
      </c>
    </row>
    <row r="164" spans="1:5" x14ac:dyDescent="0.35">
      <c r="A164" s="5">
        <v>974.5</v>
      </c>
      <c r="B164" s="6">
        <v>3131794</v>
      </c>
      <c r="C164" s="6">
        <f t="shared" si="2"/>
        <v>5166794</v>
      </c>
      <c r="D164" s="6">
        <v>49052.000000100001</v>
      </c>
      <c r="E164" s="2">
        <v>160</v>
      </c>
    </row>
    <row r="165" spans="1:5" x14ac:dyDescent="0.35">
      <c r="A165" s="5">
        <v>975</v>
      </c>
      <c r="B165" s="6">
        <v>3156353</v>
      </c>
      <c r="C165" s="6">
        <f t="shared" si="2"/>
        <v>5191353</v>
      </c>
      <c r="D165" s="6">
        <v>49186</v>
      </c>
      <c r="E165" s="2">
        <v>161</v>
      </c>
    </row>
    <row r="166" spans="1:5" x14ac:dyDescent="0.35">
      <c r="A166" s="5">
        <v>975.5</v>
      </c>
      <c r="B166" s="6">
        <v>3180979</v>
      </c>
      <c r="C166" s="6">
        <f t="shared" si="2"/>
        <v>5215979</v>
      </c>
      <c r="D166" s="6">
        <v>49320.000000100001</v>
      </c>
      <c r="E166" s="2">
        <v>162</v>
      </c>
    </row>
    <row r="167" spans="1:5" x14ac:dyDescent="0.35">
      <c r="A167" s="5">
        <v>976</v>
      </c>
      <c r="B167" s="6">
        <v>3205673</v>
      </c>
      <c r="C167" s="6">
        <f t="shared" si="2"/>
        <v>5240673</v>
      </c>
      <c r="D167" s="6">
        <v>49453.999999899999</v>
      </c>
      <c r="E167" s="2">
        <v>163</v>
      </c>
    </row>
    <row r="168" spans="1:5" x14ac:dyDescent="0.35">
      <c r="A168" s="5">
        <v>976.5</v>
      </c>
      <c r="B168" s="6">
        <v>3230433</v>
      </c>
      <c r="C168" s="6">
        <f t="shared" si="2"/>
        <v>5265433</v>
      </c>
      <c r="D168" s="6">
        <v>49587.000000100001</v>
      </c>
      <c r="E168" s="2">
        <v>164</v>
      </c>
    </row>
    <row r="169" spans="1:5" x14ac:dyDescent="0.35">
      <c r="A169" s="5">
        <v>977</v>
      </c>
      <c r="B169" s="6">
        <v>3255260</v>
      </c>
      <c r="C169" s="6">
        <f t="shared" si="2"/>
        <v>5290260</v>
      </c>
      <c r="D169" s="6">
        <v>49721</v>
      </c>
      <c r="E169" s="2">
        <v>165</v>
      </c>
    </row>
    <row r="170" spans="1:5" x14ac:dyDescent="0.35">
      <c r="A170" s="5">
        <v>977.5</v>
      </c>
      <c r="B170" s="6">
        <v>3280154</v>
      </c>
      <c r="C170" s="6">
        <f t="shared" si="2"/>
        <v>5315154</v>
      </c>
      <c r="D170" s="6">
        <v>49855.000000100001</v>
      </c>
      <c r="E170" s="2">
        <v>166</v>
      </c>
    </row>
    <row r="171" spans="1:5" x14ac:dyDescent="0.35">
      <c r="A171" s="5">
        <v>978</v>
      </c>
      <c r="B171" s="6">
        <v>3305115</v>
      </c>
      <c r="C171" s="6">
        <f t="shared" si="2"/>
        <v>5340115</v>
      </c>
      <c r="D171" s="6">
        <v>49988.999999899999</v>
      </c>
      <c r="E171" s="2">
        <v>167</v>
      </c>
    </row>
    <row r="172" spans="1:5" x14ac:dyDescent="0.35">
      <c r="A172" s="5">
        <v>978.5</v>
      </c>
      <c r="B172" s="6">
        <v>3330143</v>
      </c>
      <c r="C172" s="6">
        <f t="shared" si="2"/>
        <v>5365143</v>
      </c>
      <c r="D172" s="6">
        <v>50123</v>
      </c>
      <c r="E172" s="2">
        <v>168</v>
      </c>
    </row>
    <row r="173" spans="1:5" x14ac:dyDescent="0.35">
      <c r="A173" s="5">
        <v>979</v>
      </c>
      <c r="B173" s="6">
        <v>3355238</v>
      </c>
      <c r="C173" s="6">
        <f t="shared" si="2"/>
        <v>5390238</v>
      </c>
      <c r="D173" s="6">
        <v>50257.000000100001</v>
      </c>
      <c r="E173" s="2">
        <v>169</v>
      </c>
    </row>
    <row r="174" spans="1:5" x14ac:dyDescent="0.35">
      <c r="A174" s="5">
        <v>979.5</v>
      </c>
      <c r="B174" s="6">
        <v>3380401</v>
      </c>
      <c r="C174" s="6">
        <f t="shared" si="2"/>
        <v>5415401</v>
      </c>
      <c r="D174" s="6">
        <v>50391</v>
      </c>
      <c r="E174" s="2">
        <v>170</v>
      </c>
    </row>
    <row r="175" spans="1:5" x14ac:dyDescent="0.35">
      <c r="A175" s="5">
        <v>980</v>
      </c>
      <c r="B175" s="6">
        <v>3405630</v>
      </c>
      <c r="C175" s="6">
        <f t="shared" si="2"/>
        <v>5440630</v>
      </c>
      <c r="D175" s="6">
        <v>50525.000000100001</v>
      </c>
      <c r="E175" s="2">
        <v>171</v>
      </c>
    </row>
    <row r="176" spans="1:5" x14ac:dyDescent="0.35">
      <c r="A176" s="5">
        <v>980.5</v>
      </c>
      <c r="B176" s="6">
        <v>3430929</v>
      </c>
      <c r="C176" s="6">
        <f t="shared" si="2"/>
        <v>5465929</v>
      </c>
      <c r="D176" s="6">
        <v>50674.000000100001</v>
      </c>
      <c r="E176" s="2">
        <v>172</v>
      </c>
    </row>
    <row r="177" spans="1:5" x14ac:dyDescent="0.35">
      <c r="A177" s="5">
        <v>981</v>
      </c>
      <c r="B177" s="6">
        <v>3456303</v>
      </c>
      <c r="C177" s="6">
        <f t="shared" si="2"/>
        <v>5491303</v>
      </c>
      <c r="D177" s="6">
        <v>50824</v>
      </c>
      <c r="E177" s="2">
        <v>173</v>
      </c>
    </row>
    <row r="178" spans="1:5" x14ac:dyDescent="0.35">
      <c r="A178" s="5">
        <v>981.5</v>
      </c>
      <c r="B178" s="6">
        <v>3481753</v>
      </c>
      <c r="C178" s="6">
        <f t="shared" si="2"/>
        <v>5516753</v>
      </c>
      <c r="D178" s="6">
        <v>50973.999999899999</v>
      </c>
      <c r="E178" s="2">
        <v>174</v>
      </c>
    </row>
    <row r="179" spans="1:5" x14ac:dyDescent="0.35">
      <c r="A179" s="5">
        <v>982</v>
      </c>
      <c r="B179" s="6">
        <v>3507278</v>
      </c>
      <c r="C179" s="6">
        <f t="shared" si="2"/>
        <v>5542278</v>
      </c>
      <c r="D179" s="6">
        <v>51122.999999899999</v>
      </c>
      <c r="E179" s="2">
        <v>175</v>
      </c>
    </row>
    <row r="180" spans="1:5" x14ac:dyDescent="0.35">
      <c r="A180" s="5">
        <v>982.5</v>
      </c>
      <c r="B180" s="6">
        <v>3532877</v>
      </c>
      <c r="C180" s="6">
        <f t="shared" si="2"/>
        <v>5567877</v>
      </c>
      <c r="D180" s="6">
        <v>51273.000000100001</v>
      </c>
      <c r="E180" s="2">
        <v>176</v>
      </c>
    </row>
    <row r="181" spans="1:5" x14ac:dyDescent="0.35">
      <c r="A181" s="5">
        <v>983</v>
      </c>
      <c r="B181" s="6">
        <v>3558550</v>
      </c>
      <c r="C181" s="6">
        <f t="shared" si="2"/>
        <v>5593550</v>
      </c>
      <c r="D181" s="6">
        <v>51423</v>
      </c>
      <c r="E181" s="2">
        <v>177</v>
      </c>
    </row>
    <row r="182" spans="1:5" x14ac:dyDescent="0.35">
      <c r="A182" s="5">
        <v>983.5</v>
      </c>
      <c r="B182" s="6">
        <v>3584299</v>
      </c>
      <c r="C182" s="6">
        <f t="shared" si="2"/>
        <v>5619299</v>
      </c>
      <c r="D182" s="6">
        <v>51572</v>
      </c>
      <c r="E182" s="2">
        <v>178</v>
      </c>
    </row>
    <row r="183" spans="1:5" x14ac:dyDescent="0.35">
      <c r="A183" s="5">
        <v>984</v>
      </c>
      <c r="B183" s="6">
        <v>3610123</v>
      </c>
      <c r="C183" s="6">
        <f t="shared" si="2"/>
        <v>5645123</v>
      </c>
      <c r="D183" s="6">
        <v>51721.999999899999</v>
      </c>
      <c r="E183" s="2">
        <v>179</v>
      </c>
    </row>
    <row r="184" spans="1:5" x14ac:dyDescent="0.35">
      <c r="A184" s="5">
        <v>984.5</v>
      </c>
      <c r="B184" s="6">
        <v>3636021</v>
      </c>
      <c r="C184" s="6">
        <f t="shared" si="2"/>
        <v>5671021</v>
      </c>
      <c r="D184" s="6">
        <v>51872.000000100001</v>
      </c>
      <c r="E184" s="2">
        <v>180</v>
      </c>
    </row>
    <row r="185" spans="1:5" x14ac:dyDescent="0.35">
      <c r="A185" s="5">
        <v>985</v>
      </c>
      <c r="B185" s="6">
        <v>3661994</v>
      </c>
      <c r="C185" s="6">
        <f t="shared" si="2"/>
        <v>5696994</v>
      </c>
      <c r="D185" s="6">
        <v>52021.000000100001</v>
      </c>
      <c r="E185" s="2">
        <v>181</v>
      </c>
    </row>
    <row r="186" spans="1:5" x14ac:dyDescent="0.35">
      <c r="A186" s="5">
        <v>985.5</v>
      </c>
      <c r="B186" s="6">
        <v>3688042</v>
      </c>
      <c r="C186" s="6">
        <f t="shared" si="2"/>
        <v>5723042</v>
      </c>
      <c r="D186" s="6">
        <v>52171</v>
      </c>
      <c r="E186" s="2">
        <v>182</v>
      </c>
    </row>
    <row r="187" spans="1:5" x14ac:dyDescent="0.35">
      <c r="A187" s="5">
        <v>986</v>
      </c>
      <c r="B187" s="6">
        <v>3714165</v>
      </c>
      <c r="C187" s="6">
        <f t="shared" si="2"/>
        <v>5749165</v>
      </c>
      <c r="D187" s="6">
        <v>52320.999999899999</v>
      </c>
      <c r="E187" s="2">
        <v>183</v>
      </c>
    </row>
    <row r="188" spans="1:5" x14ac:dyDescent="0.35">
      <c r="A188" s="5">
        <v>986.5</v>
      </c>
      <c r="B188" s="6">
        <v>3740363</v>
      </c>
      <c r="C188" s="6">
        <f t="shared" si="2"/>
        <v>5775363</v>
      </c>
      <c r="D188" s="6">
        <v>52469.999999899999</v>
      </c>
      <c r="E188" s="2">
        <v>184</v>
      </c>
    </row>
    <row r="189" spans="1:5" x14ac:dyDescent="0.35">
      <c r="A189" s="5">
        <v>987</v>
      </c>
      <c r="B189" s="6">
        <v>3766635</v>
      </c>
      <c r="C189" s="6">
        <f t="shared" si="2"/>
        <v>5801635</v>
      </c>
      <c r="D189" s="6">
        <v>52620.000000100001</v>
      </c>
      <c r="E189" s="2">
        <v>185</v>
      </c>
    </row>
    <row r="190" spans="1:5" x14ac:dyDescent="0.35">
      <c r="A190" s="5">
        <v>987.5</v>
      </c>
      <c r="B190" s="6">
        <v>3792982</v>
      </c>
      <c r="C190" s="6">
        <f t="shared" si="2"/>
        <v>5827982</v>
      </c>
      <c r="D190" s="6">
        <v>52769.000000100001</v>
      </c>
      <c r="E190" s="2">
        <v>186</v>
      </c>
    </row>
    <row r="191" spans="1:5" x14ac:dyDescent="0.35">
      <c r="A191" s="5">
        <v>988</v>
      </c>
      <c r="B191" s="6">
        <v>3819405</v>
      </c>
      <c r="C191" s="6">
        <f t="shared" si="2"/>
        <v>5854405</v>
      </c>
      <c r="D191" s="6">
        <v>52919</v>
      </c>
      <c r="E191" s="2">
        <v>187</v>
      </c>
    </row>
    <row r="192" spans="1:5" x14ac:dyDescent="0.35">
      <c r="A192" s="5">
        <v>988.5</v>
      </c>
      <c r="B192" s="6">
        <v>3845902</v>
      </c>
      <c r="C192" s="6">
        <f t="shared" si="2"/>
        <v>5880902</v>
      </c>
      <c r="D192" s="6">
        <v>53068.999999899999</v>
      </c>
      <c r="E192" s="2">
        <v>188</v>
      </c>
    </row>
    <row r="193" spans="1:5" x14ac:dyDescent="0.35">
      <c r="A193" s="5">
        <v>989</v>
      </c>
      <c r="B193" s="6">
        <v>3872474</v>
      </c>
      <c r="C193" s="6">
        <f t="shared" si="2"/>
        <v>5907474</v>
      </c>
      <c r="D193" s="6">
        <v>53217.999999899999</v>
      </c>
      <c r="E193" s="2">
        <v>189</v>
      </c>
    </row>
    <row r="194" spans="1:5" x14ac:dyDescent="0.35">
      <c r="A194" s="5">
        <v>989.5</v>
      </c>
      <c r="B194" s="6">
        <v>3899120</v>
      </c>
      <c r="C194" s="6">
        <f t="shared" si="2"/>
        <v>5934120</v>
      </c>
      <c r="D194" s="6">
        <v>53368.000000100001</v>
      </c>
      <c r="E194" s="2">
        <v>190</v>
      </c>
    </row>
    <row r="195" spans="1:5" x14ac:dyDescent="0.35">
      <c r="A195" s="5">
        <v>990</v>
      </c>
      <c r="B195" s="6">
        <v>3925842</v>
      </c>
      <c r="C195" s="6">
        <f t="shared" si="2"/>
        <v>5960842</v>
      </c>
      <c r="D195" s="6">
        <v>53518</v>
      </c>
      <c r="E195" s="2">
        <v>191</v>
      </c>
    </row>
    <row r="196" spans="1:5" x14ac:dyDescent="0.35">
      <c r="A196" s="5">
        <v>990.5</v>
      </c>
      <c r="B196" s="6">
        <v>3952636</v>
      </c>
      <c r="C196" s="6">
        <f t="shared" si="2"/>
        <v>5987636</v>
      </c>
      <c r="D196" s="6">
        <v>53660</v>
      </c>
      <c r="E196" s="2">
        <v>192</v>
      </c>
    </row>
    <row r="197" spans="1:5" x14ac:dyDescent="0.35">
      <c r="A197" s="5">
        <v>991</v>
      </c>
      <c r="B197" s="6">
        <v>3979502</v>
      </c>
      <c r="C197" s="6">
        <f t="shared" si="2"/>
        <v>6014502</v>
      </c>
      <c r="D197" s="6">
        <v>53802.999999899999</v>
      </c>
      <c r="E197" s="2">
        <v>193</v>
      </c>
    </row>
    <row r="198" spans="1:5" x14ac:dyDescent="0.35">
      <c r="A198" s="5">
        <v>991.5</v>
      </c>
      <c r="B198" s="6">
        <v>4006440</v>
      </c>
      <c r="C198" s="6">
        <f t="shared" ref="C198:C261" si="3">B198+$C$3</f>
        <v>6041440</v>
      </c>
      <c r="D198" s="6">
        <v>53946.000000100001</v>
      </c>
      <c r="E198" s="2">
        <v>194</v>
      </c>
    </row>
    <row r="199" spans="1:5" x14ac:dyDescent="0.35">
      <c r="A199" s="5">
        <v>992</v>
      </c>
      <c r="B199" s="6">
        <v>4033448</v>
      </c>
      <c r="C199" s="6">
        <f t="shared" si="3"/>
        <v>6068448</v>
      </c>
      <c r="D199" s="6">
        <v>54089</v>
      </c>
      <c r="E199" s="2">
        <v>195</v>
      </c>
    </row>
    <row r="200" spans="1:5" x14ac:dyDescent="0.35">
      <c r="A200" s="5">
        <v>992.5</v>
      </c>
      <c r="B200" s="6">
        <v>4060528</v>
      </c>
      <c r="C200" s="6">
        <f t="shared" si="3"/>
        <v>6095528</v>
      </c>
      <c r="D200" s="6">
        <v>54232.000000100001</v>
      </c>
      <c r="E200" s="2">
        <v>196</v>
      </c>
    </row>
    <row r="201" spans="1:5" x14ac:dyDescent="0.35">
      <c r="A201" s="5">
        <v>993</v>
      </c>
      <c r="B201" s="6">
        <v>4087680</v>
      </c>
      <c r="C201" s="6">
        <f t="shared" si="3"/>
        <v>6122680</v>
      </c>
      <c r="D201" s="6">
        <v>54375</v>
      </c>
      <c r="E201" s="2">
        <v>197</v>
      </c>
    </row>
    <row r="202" spans="1:5" x14ac:dyDescent="0.35">
      <c r="A202" s="5">
        <v>993.5</v>
      </c>
      <c r="B202" s="6">
        <v>4114903</v>
      </c>
      <c r="C202" s="6">
        <f t="shared" si="3"/>
        <v>6149903</v>
      </c>
      <c r="D202" s="6">
        <v>54517</v>
      </c>
      <c r="E202" s="2">
        <v>198</v>
      </c>
    </row>
    <row r="203" spans="1:5" x14ac:dyDescent="0.35">
      <c r="A203" s="5">
        <v>994</v>
      </c>
      <c r="B203" s="6">
        <v>4142198</v>
      </c>
      <c r="C203" s="6">
        <f t="shared" si="3"/>
        <v>6177198</v>
      </c>
      <c r="D203" s="6">
        <v>54659.999999899999</v>
      </c>
      <c r="E203" s="2">
        <v>199</v>
      </c>
    </row>
    <row r="204" spans="1:5" x14ac:dyDescent="0.35">
      <c r="A204" s="5">
        <v>994.5</v>
      </c>
      <c r="B204" s="6">
        <v>4169563</v>
      </c>
      <c r="C204" s="6">
        <f t="shared" si="3"/>
        <v>6204563</v>
      </c>
      <c r="D204" s="6">
        <v>54803.000000100001</v>
      </c>
      <c r="E204" s="2">
        <v>200</v>
      </c>
    </row>
    <row r="205" spans="1:5" x14ac:dyDescent="0.35">
      <c r="A205" s="5">
        <v>995</v>
      </c>
      <c r="B205" s="6">
        <v>4197001</v>
      </c>
      <c r="C205" s="6">
        <f t="shared" si="3"/>
        <v>6232001</v>
      </c>
      <c r="D205" s="6">
        <v>54946</v>
      </c>
      <c r="E205" s="2">
        <v>201</v>
      </c>
    </row>
    <row r="206" spans="1:5" x14ac:dyDescent="0.35">
      <c r="A206" s="5">
        <v>995.5</v>
      </c>
      <c r="B206" s="6">
        <v>4224510</v>
      </c>
      <c r="C206" s="6">
        <f t="shared" si="3"/>
        <v>6259510</v>
      </c>
      <c r="D206" s="6">
        <v>55089.000000100001</v>
      </c>
      <c r="E206" s="2">
        <v>202</v>
      </c>
    </row>
    <row r="207" spans="1:5" x14ac:dyDescent="0.35">
      <c r="A207" s="5">
        <v>996</v>
      </c>
      <c r="B207" s="6">
        <v>4252089</v>
      </c>
      <c r="C207" s="6">
        <f t="shared" si="3"/>
        <v>6287089</v>
      </c>
      <c r="D207" s="6">
        <v>55232</v>
      </c>
      <c r="E207" s="2">
        <v>203</v>
      </c>
    </row>
    <row r="208" spans="1:5" x14ac:dyDescent="0.35">
      <c r="A208" s="5">
        <v>996.5</v>
      </c>
      <c r="B208" s="6">
        <v>4279741</v>
      </c>
      <c r="C208" s="6">
        <f t="shared" si="3"/>
        <v>6314741</v>
      </c>
      <c r="D208" s="6">
        <v>55374</v>
      </c>
      <c r="E208" s="2">
        <v>204</v>
      </c>
    </row>
    <row r="209" spans="1:5" x14ac:dyDescent="0.35">
      <c r="A209" s="5">
        <v>997</v>
      </c>
      <c r="B209" s="6">
        <v>4307464</v>
      </c>
      <c r="C209" s="6">
        <f t="shared" si="3"/>
        <v>6342464</v>
      </c>
      <c r="D209" s="6">
        <v>55516.999999899999</v>
      </c>
      <c r="E209" s="2">
        <v>205</v>
      </c>
    </row>
    <row r="210" spans="1:5" x14ac:dyDescent="0.35">
      <c r="A210" s="5">
        <v>997.5</v>
      </c>
      <c r="B210" s="6">
        <v>4335258</v>
      </c>
      <c r="C210" s="6">
        <f t="shared" si="3"/>
        <v>6370258</v>
      </c>
      <c r="D210" s="6">
        <v>55660.000000100001</v>
      </c>
      <c r="E210" s="2">
        <v>206</v>
      </c>
    </row>
    <row r="211" spans="1:5" x14ac:dyDescent="0.35">
      <c r="A211" s="5">
        <v>998</v>
      </c>
      <c r="B211" s="6">
        <v>4363125</v>
      </c>
      <c r="C211" s="6">
        <f t="shared" si="3"/>
        <v>6398125</v>
      </c>
      <c r="D211" s="6">
        <v>55803</v>
      </c>
      <c r="E211" s="2">
        <v>207</v>
      </c>
    </row>
    <row r="212" spans="1:5" x14ac:dyDescent="0.35">
      <c r="A212" s="5">
        <v>998.5</v>
      </c>
      <c r="B212" s="6">
        <v>4391061</v>
      </c>
      <c r="C212" s="6">
        <f t="shared" si="3"/>
        <v>6426061</v>
      </c>
      <c r="D212" s="6">
        <v>55946.000000100001</v>
      </c>
      <c r="E212" s="2">
        <v>208</v>
      </c>
    </row>
    <row r="213" spans="1:5" x14ac:dyDescent="0.35">
      <c r="A213" s="5">
        <v>999</v>
      </c>
      <c r="B213" s="6">
        <v>4419070</v>
      </c>
      <c r="C213" s="6">
        <f t="shared" si="3"/>
        <v>6454070</v>
      </c>
      <c r="D213" s="6">
        <v>56089</v>
      </c>
      <c r="E213" s="2">
        <v>209</v>
      </c>
    </row>
    <row r="214" spans="1:5" x14ac:dyDescent="0.35">
      <c r="A214" s="5">
        <v>999.5</v>
      </c>
      <c r="B214" s="6">
        <v>4447150</v>
      </c>
      <c r="C214" s="6">
        <f t="shared" si="3"/>
        <v>6482150</v>
      </c>
      <c r="D214" s="6">
        <v>56231</v>
      </c>
      <c r="E214" s="2">
        <v>210</v>
      </c>
    </row>
    <row r="215" spans="1:5" x14ac:dyDescent="0.35">
      <c r="A215" s="5">
        <v>1000</v>
      </c>
      <c r="B215" s="6">
        <v>4475301</v>
      </c>
      <c r="C215" s="6">
        <f t="shared" si="3"/>
        <v>6510301</v>
      </c>
      <c r="D215" s="6">
        <v>56373.999999899999</v>
      </c>
      <c r="E215" s="2">
        <v>211</v>
      </c>
    </row>
    <row r="216" spans="1:5" x14ac:dyDescent="0.35">
      <c r="A216" s="5">
        <v>1000.5</v>
      </c>
      <c r="B216" s="6">
        <v>4503527</v>
      </c>
      <c r="C216" s="6">
        <f t="shared" si="3"/>
        <v>6538527</v>
      </c>
      <c r="D216" s="6">
        <v>56529</v>
      </c>
      <c r="E216" s="2">
        <v>212</v>
      </c>
    </row>
    <row r="217" spans="1:5" x14ac:dyDescent="0.35">
      <c r="A217" s="5">
        <v>1001</v>
      </c>
      <c r="B217" s="6">
        <v>4531830</v>
      </c>
      <c r="C217" s="6">
        <f t="shared" si="3"/>
        <v>6566830</v>
      </c>
      <c r="D217" s="6">
        <v>56683.999999899999</v>
      </c>
      <c r="E217" s="2">
        <v>213</v>
      </c>
    </row>
    <row r="218" spans="1:5" x14ac:dyDescent="0.35">
      <c r="A218" s="5">
        <v>1001.5</v>
      </c>
      <c r="B218" s="6">
        <v>4560212</v>
      </c>
      <c r="C218" s="6">
        <f t="shared" si="3"/>
        <v>6595212</v>
      </c>
      <c r="D218" s="6">
        <v>56839.000000100001</v>
      </c>
      <c r="E218" s="2">
        <v>214</v>
      </c>
    </row>
    <row r="219" spans="1:5" x14ac:dyDescent="0.35">
      <c r="A219" s="5">
        <v>1002</v>
      </c>
      <c r="B219" s="6">
        <v>4588670</v>
      </c>
      <c r="C219" s="6">
        <f t="shared" si="3"/>
        <v>6623670</v>
      </c>
      <c r="D219" s="6">
        <v>56995.000000100001</v>
      </c>
      <c r="E219" s="2">
        <v>215</v>
      </c>
    </row>
    <row r="220" spans="1:5" x14ac:dyDescent="0.35">
      <c r="A220" s="5">
        <v>1002.5</v>
      </c>
      <c r="B220" s="6">
        <v>4617206</v>
      </c>
      <c r="C220" s="6">
        <f t="shared" si="3"/>
        <v>6652206</v>
      </c>
      <c r="D220" s="6">
        <v>57150</v>
      </c>
      <c r="E220" s="2">
        <v>216</v>
      </c>
    </row>
    <row r="221" spans="1:5" x14ac:dyDescent="0.35">
      <c r="A221" s="5">
        <v>1003</v>
      </c>
      <c r="B221" s="6">
        <v>4645820</v>
      </c>
      <c r="C221" s="6">
        <f t="shared" si="3"/>
        <v>6680820</v>
      </c>
      <c r="D221" s="6">
        <v>57305.000000100001</v>
      </c>
      <c r="E221" s="2">
        <v>217</v>
      </c>
    </row>
    <row r="222" spans="1:5" x14ac:dyDescent="0.35">
      <c r="A222" s="5">
        <v>1003.5</v>
      </c>
      <c r="B222" s="6">
        <v>4674511</v>
      </c>
      <c r="C222" s="6">
        <f t="shared" si="3"/>
        <v>6709511</v>
      </c>
      <c r="D222" s="6">
        <v>57460</v>
      </c>
      <c r="E222" s="2">
        <v>218</v>
      </c>
    </row>
    <row r="223" spans="1:5" x14ac:dyDescent="0.35">
      <c r="A223" s="5">
        <v>1004</v>
      </c>
      <c r="B223" s="6">
        <v>4703279</v>
      </c>
      <c r="C223" s="6">
        <f t="shared" si="3"/>
        <v>6738279</v>
      </c>
      <c r="D223" s="6">
        <v>57615.000000100001</v>
      </c>
      <c r="E223" s="2">
        <v>219</v>
      </c>
    </row>
    <row r="224" spans="1:5" x14ac:dyDescent="0.35">
      <c r="A224" s="5">
        <v>1004.5</v>
      </c>
      <c r="B224" s="6">
        <v>4732126</v>
      </c>
      <c r="C224" s="6">
        <f t="shared" si="3"/>
        <v>6767126</v>
      </c>
      <c r="D224" s="6">
        <v>57770</v>
      </c>
      <c r="E224" s="2">
        <v>220</v>
      </c>
    </row>
    <row r="225" spans="1:5" x14ac:dyDescent="0.35">
      <c r="A225" s="5">
        <v>1005</v>
      </c>
      <c r="B225" s="6">
        <v>4761049</v>
      </c>
      <c r="C225" s="6">
        <f t="shared" si="3"/>
        <v>6796049</v>
      </c>
      <c r="D225" s="6">
        <v>57925.000000100001</v>
      </c>
      <c r="E225" s="2">
        <v>221</v>
      </c>
    </row>
    <row r="226" spans="1:5" x14ac:dyDescent="0.35">
      <c r="A226" s="5">
        <v>1005.5</v>
      </c>
      <c r="B226" s="6">
        <v>4790050</v>
      </c>
      <c r="C226" s="6">
        <f t="shared" si="3"/>
        <v>6825050</v>
      </c>
      <c r="D226" s="6">
        <v>58080</v>
      </c>
      <c r="E226" s="2">
        <v>222</v>
      </c>
    </row>
    <row r="227" spans="1:5" x14ac:dyDescent="0.35">
      <c r="A227" s="5">
        <v>1006</v>
      </c>
      <c r="B227" s="6">
        <v>4819129</v>
      </c>
      <c r="C227" s="6">
        <f t="shared" si="3"/>
        <v>6854129</v>
      </c>
      <c r="D227" s="6">
        <v>58234.999999899999</v>
      </c>
      <c r="E227" s="2">
        <v>223</v>
      </c>
    </row>
    <row r="228" spans="1:5" x14ac:dyDescent="0.35">
      <c r="A228" s="5">
        <v>1006.5</v>
      </c>
      <c r="B228" s="6">
        <v>4848286</v>
      </c>
      <c r="C228" s="6">
        <f t="shared" si="3"/>
        <v>6883286</v>
      </c>
      <c r="D228" s="6">
        <v>58390</v>
      </c>
      <c r="E228" s="2">
        <v>224</v>
      </c>
    </row>
    <row r="229" spans="1:5" x14ac:dyDescent="0.35">
      <c r="A229" s="5">
        <v>1007</v>
      </c>
      <c r="B229" s="6">
        <v>4877519</v>
      </c>
      <c r="C229" s="6">
        <f t="shared" si="3"/>
        <v>6912519</v>
      </c>
      <c r="D229" s="6">
        <v>58544.999999899999</v>
      </c>
      <c r="E229" s="2">
        <v>225</v>
      </c>
    </row>
    <row r="230" spans="1:5" x14ac:dyDescent="0.35">
      <c r="A230" s="5">
        <v>1007.5</v>
      </c>
      <c r="B230" s="6">
        <v>4906831</v>
      </c>
      <c r="C230" s="6">
        <f t="shared" si="3"/>
        <v>6941831</v>
      </c>
      <c r="D230" s="6">
        <v>58700</v>
      </c>
      <c r="E230" s="2">
        <v>226</v>
      </c>
    </row>
    <row r="231" spans="1:5" x14ac:dyDescent="0.35">
      <c r="A231" s="5">
        <v>1008</v>
      </c>
      <c r="B231" s="6">
        <v>4936219</v>
      </c>
      <c r="C231" s="6">
        <f t="shared" si="3"/>
        <v>6971219</v>
      </c>
      <c r="D231" s="6">
        <v>58854.999999899999</v>
      </c>
      <c r="E231" s="2">
        <v>227</v>
      </c>
    </row>
    <row r="232" spans="1:5" x14ac:dyDescent="0.35">
      <c r="A232" s="5">
        <v>1008.5</v>
      </c>
      <c r="B232" s="6">
        <v>4965686</v>
      </c>
      <c r="C232" s="6">
        <f t="shared" si="3"/>
        <v>7000686</v>
      </c>
      <c r="D232" s="6">
        <v>59010</v>
      </c>
      <c r="E232" s="2">
        <v>228</v>
      </c>
    </row>
    <row r="233" spans="1:5" x14ac:dyDescent="0.35">
      <c r="A233" s="5">
        <v>1009</v>
      </c>
      <c r="B233" s="6">
        <v>4995230</v>
      </c>
      <c r="C233" s="6">
        <f t="shared" si="3"/>
        <v>7030230</v>
      </c>
      <c r="D233" s="6">
        <v>59164.999999899999</v>
      </c>
      <c r="E233" s="2">
        <v>229</v>
      </c>
    </row>
    <row r="234" spans="1:5" x14ac:dyDescent="0.35">
      <c r="A234" s="5">
        <v>1009.5</v>
      </c>
      <c r="B234" s="6">
        <v>5024851</v>
      </c>
      <c r="C234" s="6">
        <f t="shared" si="3"/>
        <v>7059851</v>
      </c>
      <c r="D234" s="6">
        <v>59320.000000100001</v>
      </c>
      <c r="E234" s="2">
        <v>230</v>
      </c>
    </row>
    <row r="235" spans="1:5" x14ac:dyDescent="0.35">
      <c r="A235" s="5">
        <v>1010</v>
      </c>
      <c r="B235" s="6">
        <v>5054550</v>
      </c>
      <c r="C235" s="6">
        <f t="shared" si="3"/>
        <v>7089550</v>
      </c>
      <c r="D235" s="6">
        <v>59474.999999899999</v>
      </c>
      <c r="E235" s="2">
        <v>231</v>
      </c>
    </row>
    <row r="236" spans="1:5" x14ac:dyDescent="0.35">
      <c r="A236" s="5">
        <v>1010.5</v>
      </c>
      <c r="B236" s="6">
        <v>5084326</v>
      </c>
      <c r="C236" s="6">
        <f t="shared" si="3"/>
        <v>7119326</v>
      </c>
      <c r="D236" s="6">
        <v>59628</v>
      </c>
      <c r="E236" s="2">
        <v>232</v>
      </c>
    </row>
    <row r="237" spans="1:5" x14ac:dyDescent="0.35">
      <c r="A237" s="5">
        <v>1011</v>
      </c>
      <c r="B237" s="6">
        <v>5114179</v>
      </c>
      <c r="C237" s="6">
        <f t="shared" si="3"/>
        <v>7149179</v>
      </c>
      <c r="D237" s="6">
        <v>59780.999999899999</v>
      </c>
      <c r="E237" s="2">
        <v>233</v>
      </c>
    </row>
    <row r="238" spans="1:5" x14ac:dyDescent="0.35">
      <c r="A238" s="5">
        <v>1011.5</v>
      </c>
      <c r="B238" s="6">
        <v>5144107</v>
      </c>
      <c r="C238" s="6">
        <f t="shared" si="3"/>
        <v>7179107</v>
      </c>
      <c r="D238" s="6">
        <v>59934</v>
      </c>
      <c r="E238" s="2">
        <v>234</v>
      </c>
    </row>
    <row r="239" spans="1:5" x14ac:dyDescent="0.35">
      <c r="A239" s="5">
        <v>1012</v>
      </c>
      <c r="B239" s="6">
        <v>5174113</v>
      </c>
      <c r="C239" s="6">
        <f t="shared" si="3"/>
        <v>7209113</v>
      </c>
      <c r="D239" s="6">
        <v>60087.000000100001</v>
      </c>
      <c r="E239" s="2">
        <v>235</v>
      </c>
    </row>
    <row r="240" spans="1:5" x14ac:dyDescent="0.35">
      <c r="A240" s="5">
        <v>1012.5</v>
      </c>
      <c r="B240" s="6">
        <v>5204194</v>
      </c>
      <c r="C240" s="6">
        <f t="shared" si="3"/>
        <v>7239194</v>
      </c>
      <c r="D240" s="6">
        <v>60239.999999899999</v>
      </c>
      <c r="E240" s="2">
        <v>236</v>
      </c>
    </row>
    <row r="241" spans="1:5" x14ac:dyDescent="0.35">
      <c r="A241" s="5">
        <v>1013</v>
      </c>
      <c r="B241" s="6">
        <v>5234353</v>
      </c>
      <c r="C241" s="6">
        <f t="shared" si="3"/>
        <v>7269353</v>
      </c>
      <c r="D241" s="6">
        <v>60393</v>
      </c>
      <c r="E241" s="2">
        <v>237</v>
      </c>
    </row>
    <row r="242" spans="1:5" x14ac:dyDescent="0.35">
      <c r="A242" s="5">
        <v>1013.5</v>
      </c>
      <c r="B242" s="6">
        <v>5264587</v>
      </c>
      <c r="C242" s="6">
        <f t="shared" si="3"/>
        <v>7299587</v>
      </c>
      <c r="D242" s="6">
        <v>60546.000000100001</v>
      </c>
      <c r="E242" s="2">
        <v>238</v>
      </c>
    </row>
    <row r="243" spans="1:5" x14ac:dyDescent="0.35">
      <c r="A243" s="5">
        <v>1014</v>
      </c>
      <c r="B243" s="6">
        <v>5294898</v>
      </c>
      <c r="C243" s="6">
        <f t="shared" si="3"/>
        <v>7329898</v>
      </c>
      <c r="D243" s="6">
        <v>60698.999999899999</v>
      </c>
      <c r="E243" s="2">
        <v>239</v>
      </c>
    </row>
    <row r="244" spans="1:5" x14ac:dyDescent="0.35">
      <c r="A244" s="5">
        <v>1014.5</v>
      </c>
      <c r="B244" s="6">
        <v>5325286</v>
      </c>
      <c r="C244" s="6">
        <f t="shared" si="3"/>
        <v>7360286</v>
      </c>
      <c r="D244" s="6">
        <v>60850.999999899999</v>
      </c>
      <c r="E244" s="2">
        <v>240</v>
      </c>
    </row>
    <row r="245" spans="1:5" x14ac:dyDescent="0.35">
      <c r="A245" s="5">
        <v>1015</v>
      </c>
      <c r="B245" s="6">
        <v>5355750</v>
      </c>
      <c r="C245" s="6">
        <f t="shared" si="3"/>
        <v>7390750</v>
      </c>
      <c r="D245" s="6">
        <v>61004</v>
      </c>
      <c r="E245" s="2">
        <v>241</v>
      </c>
    </row>
    <row r="246" spans="1:5" x14ac:dyDescent="0.35">
      <c r="A246" s="5">
        <v>1015.5</v>
      </c>
      <c r="B246" s="6">
        <v>5386290</v>
      </c>
      <c r="C246" s="6">
        <f t="shared" si="3"/>
        <v>7421290</v>
      </c>
      <c r="D246" s="6">
        <v>61157.000000100001</v>
      </c>
      <c r="E246" s="2">
        <v>242</v>
      </c>
    </row>
    <row r="247" spans="1:5" x14ac:dyDescent="0.35">
      <c r="A247" s="5">
        <v>1016</v>
      </c>
      <c r="B247" s="6">
        <v>5416907</v>
      </c>
      <c r="C247" s="6">
        <f t="shared" si="3"/>
        <v>7451907</v>
      </c>
      <c r="D247" s="6">
        <v>61309.999999899999</v>
      </c>
      <c r="E247" s="2">
        <v>243</v>
      </c>
    </row>
    <row r="248" spans="1:5" x14ac:dyDescent="0.35">
      <c r="A248" s="5">
        <v>1016.5</v>
      </c>
      <c r="B248" s="6">
        <v>5447600</v>
      </c>
      <c r="C248" s="6">
        <f t="shared" si="3"/>
        <v>7482600</v>
      </c>
      <c r="D248" s="6">
        <v>61463</v>
      </c>
      <c r="E248" s="2">
        <v>244</v>
      </c>
    </row>
    <row r="249" spans="1:5" x14ac:dyDescent="0.35">
      <c r="A249" s="5">
        <v>1017</v>
      </c>
      <c r="B249" s="6">
        <v>5478370</v>
      </c>
      <c r="C249" s="6">
        <f t="shared" si="3"/>
        <v>7513370</v>
      </c>
      <c r="D249" s="6">
        <v>61616.000000100001</v>
      </c>
      <c r="E249" s="2">
        <v>245</v>
      </c>
    </row>
    <row r="250" spans="1:5" x14ac:dyDescent="0.35">
      <c r="A250" s="5">
        <v>1017.5</v>
      </c>
      <c r="B250" s="6">
        <v>5509216</v>
      </c>
      <c r="C250" s="6">
        <f t="shared" si="3"/>
        <v>7544216</v>
      </c>
      <c r="D250" s="6">
        <v>61768.999999899999</v>
      </c>
      <c r="E250" s="2">
        <v>246</v>
      </c>
    </row>
    <row r="251" spans="1:5" x14ac:dyDescent="0.35">
      <c r="A251" s="5">
        <v>1018</v>
      </c>
      <c r="B251" s="6">
        <v>5540139</v>
      </c>
      <c r="C251" s="6">
        <f t="shared" si="3"/>
        <v>7575139</v>
      </c>
      <c r="D251" s="6">
        <v>61922</v>
      </c>
      <c r="E251" s="2">
        <v>247</v>
      </c>
    </row>
    <row r="252" spans="1:5" x14ac:dyDescent="0.35">
      <c r="A252" s="5">
        <v>1018.5</v>
      </c>
      <c r="B252" s="6">
        <v>5571138</v>
      </c>
      <c r="C252" s="6">
        <f t="shared" si="3"/>
        <v>7606138</v>
      </c>
      <c r="D252" s="6">
        <v>62074.999999899999</v>
      </c>
      <c r="E252" s="2">
        <v>248</v>
      </c>
    </row>
    <row r="253" spans="1:5" x14ac:dyDescent="0.35">
      <c r="A253" s="5">
        <v>1019</v>
      </c>
      <c r="B253" s="6">
        <v>5602213</v>
      </c>
      <c r="C253" s="6">
        <f t="shared" si="3"/>
        <v>7637213</v>
      </c>
      <c r="D253" s="6">
        <v>62227.000000100001</v>
      </c>
      <c r="E253" s="2">
        <v>249</v>
      </c>
    </row>
    <row r="254" spans="1:5" x14ac:dyDescent="0.35">
      <c r="A254" s="5">
        <v>1019.5</v>
      </c>
      <c r="B254" s="6">
        <v>5633365</v>
      </c>
      <c r="C254" s="6">
        <f t="shared" si="3"/>
        <v>7668365</v>
      </c>
      <c r="D254" s="6">
        <v>62379.999999899999</v>
      </c>
      <c r="E254" s="2">
        <v>250</v>
      </c>
    </row>
    <row r="255" spans="1:5" x14ac:dyDescent="0.35">
      <c r="A255" s="5">
        <v>1020</v>
      </c>
      <c r="B255" s="6">
        <v>5664593</v>
      </c>
      <c r="C255" s="6">
        <f t="shared" si="3"/>
        <v>7699593</v>
      </c>
      <c r="D255" s="6">
        <v>62533</v>
      </c>
      <c r="E255" s="2">
        <v>251</v>
      </c>
    </row>
    <row r="256" spans="1:5" x14ac:dyDescent="0.35">
      <c r="A256" s="5">
        <v>1020.5</v>
      </c>
      <c r="B256" s="6">
        <v>5695898</v>
      </c>
      <c r="C256" s="6">
        <f t="shared" si="3"/>
        <v>7730898</v>
      </c>
      <c r="D256" s="6">
        <v>62687.999999899999</v>
      </c>
      <c r="E256" s="2">
        <v>252</v>
      </c>
    </row>
    <row r="257" spans="1:5" x14ac:dyDescent="0.35">
      <c r="A257" s="5">
        <v>1021</v>
      </c>
      <c r="B257" s="6">
        <v>5727281</v>
      </c>
      <c r="C257" s="6">
        <f t="shared" si="3"/>
        <v>7762281</v>
      </c>
      <c r="D257" s="6">
        <v>62841.999999899999</v>
      </c>
      <c r="E257" s="2">
        <v>253</v>
      </c>
    </row>
    <row r="258" spans="1:5" x14ac:dyDescent="0.35">
      <c r="A258" s="5">
        <v>1021.5</v>
      </c>
      <c r="B258" s="6">
        <v>5758741</v>
      </c>
      <c r="C258" s="6">
        <f t="shared" si="3"/>
        <v>7793741</v>
      </c>
      <c r="D258" s="6">
        <v>62997</v>
      </c>
      <c r="E258" s="2">
        <v>254</v>
      </c>
    </row>
    <row r="259" spans="1:5" x14ac:dyDescent="0.35">
      <c r="A259" s="5">
        <v>1022</v>
      </c>
      <c r="B259" s="6">
        <v>5790278</v>
      </c>
      <c r="C259" s="6">
        <f t="shared" si="3"/>
        <v>7825278</v>
      </c>
      <c r="D259" s="6">
        <v>63151</v>
      </c>
      <c r="E259" s="2">
        <v>255</v>
      </c>
    </row>
    <row r="260" spans="1:5" x14ac:dyDescent="0.35">
      <c r="A260" s="5">
        <v>1022.5</v>
      </c>
      <c r="B260" s="6">
        <v>5821892</v>
      </c>
      <c r="C260" s="6">
        <f t="shared" si="3"/>
        <v>7856892</v>
      </c>
      <c r="D260" s="6">
        <v>63305.999999899999</v>
      </c>
      <c r="E260" s="2">
        <v>256</v>
      </c>
    </row>
    <row r="261" spans="1:5" x14ac:dyDescent="0.35">
      <c r="A261" s="5">
        <v>1023</v>
      </c>
      <c r="B261" s="6">
        <v>5853583</v>
      </c>
      <c r="C261" s="6">
        <f t="shared" si="3"/>
        <v>7888583</v>
      </c>
      <c r="D261" s="6">
        <v>63460.000000100001</v>
      </c>
      <c r="E261" s="2">
        <v>257</v>
      </c>
    </row>
    <row r="262" spans="1:5" x14ac:dyDescent="0.35">
      <c r="A262" s="5">
        <v>1023.5</v>
      </c>
      <c r="B262" s="6">
        <v>5885352</v>
      </c>
      <c r="C262" s="6">
        <f t="shared" ref="C262:C325" si="4">B262+$C$3</f>
        <v>7920352</v>
      </c>
      <c r="D262" s="6">
        <v>63615</v>
      </c>
      <c r="E262" s="2">
        <v>258</v>
      </c>
    </row>
    <row r="263" spans="1:5" x14ac:dyDescent="0.35">
      <c r="A263" s="5">
        <v>1024</v>
      </c>
      <c r="B263" s="6">
        <v>5917198</v>
      </c>
      <c r="C263" s="6">
        <f t="shared" si="4"/>
        <v>7952198</v>
      </c>
      <c r="D263" s="6">
        <v>63769</v>
      </c>
      <c r="E263" s="2">
        <v>259</v>
      </c>
    </row>
    <row r="264" spans="1:5" x14ac:dyDescent="0.35">
      <c r="A264" s="5">
        <v>1024.5</v>
      </c>
      <c r="B264" s="6">
        <v>5949121</v>
      </c>
      <c r="C264" s="6">
        <f t="shared" si="4"/>
        <v>7984121</v>
      </c>
      <c r="D264" s="6">
        <v>63923.999999899999</v>
      </c>
      <c r="E264" s="2">
        <v>260</v>
      </c>
    </row>
    <row r="265" spans="1:5" x14ac:dyDescent="0.35">
      <c r="A265" s="5">
        <v>1025</v>
      </c>
      <c r="B265" s="6">
        <v>5981122</v>
      </c>
      <c r="C265" s="6">
        <f t="shared" si="4"/>
        <v>8016122</v>
      </c>
      <c r="D265" s="6">
        <v>64078.000000100001</v>
      </c>
      <c r="E265" s="2">
        <v>261</v>
      </c>
    </row>
    <row r="266" spans="1:5" x14ac:dyDescent="0.35">
      <c r="A266" s="5">
        <v>1025.5</v>
      </c>
      <c r="B266" s="6">
        <v>6013200</v>
      </c>
      <c r="C266" s="6">
        <f t="shared" si="4"/>
        <v>8048200</v>
      </c>
      <c r="D266" s="6">
        <v>64233</v>
      </c>
      <c r="E266" s="2">
        <v>262</v>
      </c>
    </row>
    <row r="267" spans="1:5" x14ac:dyDescent="0.35">
      <c r="A267" s="5">
        <v>1026</v>
      </c>
      <c r="B267" s="6">
        <v>6045355</v>
      </c>
      <c r="C267" s="6">
        <f t="shared" si="4"/>
        <v>8080355</v>
      </c>
      <c r="D267" s="6">
        <v>64387</v>
      </c>
      <c r="E267" s="2">
        <v>263</v>
      </c>
    </row>
    <row r="268" spans="1:5" x14ac:dyDescent="0.35">
      <c r="A268" s="5">
        <v>1026.5</v>
      </c>
      <c r="B268" s="6">
        <v>6077587</v>
      </c>
      <c r="C268" s="6">
        <f t="shared" si="4"/>
        <v>8112587</v>
      </c>
      <c r="D268" s="6">
        <v>64542.000000100001</v>
      </c>
      <c r="E268" s="2">
        <v>264</v>
      </c>
    </row>
    <row r="269" spans="1:5" x14ac:dyDescent="0.35">
      <c r="A269" s="5">
        <v>1027</v>
      </c>
      <c r="B269" s="6">
        <v>6109897</v>
      </c>
      <c r="C269" s="6">
        <f t="shared" si="4"/>
        <v>8144897</v>
      </c>
      <c r="D269" s="6">
        <v>64696.000000100001</v>
      </c>
      <c r="E269" s="2">
        <v>265</v>
      </c>
    </row>
    <row r="270" spans="1:5" x14ac:dyDescent="0.35">
      <c r="A270" s="5">
        <v>1027.5</v>
      </c>
      <c r="B270" s="6">
        <v>6142284</v>
      </c>
      <c r="C270" s="6">
        <f t="shared" si="4"/>
        <v>8177284</v>
      </c>
      <c r="D270" s="6">
        <v>64851</v>
      </c>
      <c r="E270" s="2">
        <v>266</v>
      </c>
    </row>
    <row r="271" spans="1:5" x14ac:dyDescent="0.35">
      <c r="A271" s="5">
        <v>1028</v>
      </c>
      <c r="B271" s="6">
        <v>6174748</v>
      </c>
      <c r="C271" s="6">
        <f t="shared" si="4"/>
        <v>8209748</v>
      </c>
      <c r="D271" s="6">
        <v>65006.000000100001</v>
      </c>
      <c r="E271" s="2">
        <v>267</v>
      </c>
    </row>
    <row r="272" spans="1:5" x14ac:dyDescent="0.35">
      <c r="A272" s="5">
        <v>1028.5</v>
      </c>
      <c r="B272" s="6">
        <v>6207289</v>
      </c>
      <c r="C272" s="6">
        <f t="shared" si="4"/>
        <v>8242289</v>
      </c>
      <c r="D272" s="6">
        <v>65160.000000100001</v>
      </c>
      <c r="E272" s="2">
        <v>268</v>
      </c>
    </row>
    <row r="273" spans="1:5" x14ac:dyDescent="0.35">
      <c r="A273" s="5">
        <v>1029</v>
      </c>
      <c r="B273" s="6">
        <v>6239908</v>
      </c>
      <c r="C273" s="6">
        <f t="shared" si="4"/>
        <v>8274908</v>
      </c>
      <c r="D273" s="6">
        <v>65315</v>
      </c>
      <c r="E273" s="2">
        <v>269</v>
      </c>
    </row>
    <row r="274" spans="1:5" x14ac:dyDescent="0.35">
      <c r="A274" s="5">
        <v>1029.5</v>
      </c>
      <c r="B274" s="6">
        <v>6272604</v>
      </c>
      <c r="C274" s="6">
        <f t="shared" si="4"/>
        <v>8307604</v>
      </c>
      <c r="D274" s="6">
        <v>65469</v>
      </c>
      <c r="E274" s="2">
        <v>270</v>
      </c>
    </row>
    <row r="275" spans="1:5" x14ac:dyDescent="0.35">
      <c r="A275" s="5">
        <v>1030</v>
      </c>
      <c r="B275" s="6">
        <v>6305377</v>
      </c>
      <c r="C275" s="6">
        <f t="shared" si="4"/>
        <v>8340377</v>
      </c>
      <c r="D275" s="6">
        <v>65624.000000100001</v>
      </c>
      <c r="E275" s="2">
        <v>271</v>
      </c>
    </row>
    <row r="276" spans="1:5" x14ac:dyDescent="0.35">
      <c r="A276" s="5">
        <v>1030.5</v>
      </c>
      <c r="B276" s="6">
        <v>6338229</v>
      </c>
      <c r="C276" s="6">
        <f t="shared" si="4"/>
        <v>8373229</v>
      </c>
      <c r="D276" s="6">
        <v>65784</v>
      </c>
      <c r="E276" s="2">
        <v>272</v>
      </c>
    </row>
    <row r="277" spans="1:5" x14ac:dyDescent="0.35">
      <c r="A277" s="5">
        <v>1031</v>
      </c>
      <c r="B277" s="6">
        <v>6371161</v>
      </c>
      <c r="C277" s="6">
        <f t="shared" si="4"/>
        <v>8406161</v>
      </c>
      <c r="D277" s="6">
        <v>65945</v>
      </c>
      <c r="E277" s="2">
        <v>273</v>
      </c>
    </row>
    <row r="278" spans="1:5" x14ac:dyDescent="0.35">
      <c r="A278" s="5">
        <v>1031.5</v>
      </c>
      <c r="B278" s="6">
        <v>6404174</v>
      </c>
      <c r="C278" s="6">
        <f t="shared" si="4"/>
        <v>8439174</v>
      </c>
      <c r="D278" s="6">
        <v>66105.000000100001</v>
      </c>
      <c r="E278" s="2">
        <v>274</v>
      </c>
    </row>
    <row r="279" spans="1:5" x14ac:dyDescent="0.35">
      <c r="A279" s="5">
        <v>1032</v>
      </c>
      <c r="B279" s="6">
        <v>6437266</v>
      </c>
      <c r="C279" s="6">
        <f t="shared" si="4"/>
        <v>8472266</v>
      </c>
      <c r="D279" s="6">
        <v>66266.000000100001</v>
      </c>
      <c r="E279" s="2">
        <v>275</v>
      </c>
    </row>
    <row r="280" spans="1:5" x14ac:dyDescent="0.35">
      <c r="A280" s="5">
        <v>1032.5</v>
      </c>
      <c r="B280" s="6">
        <v>6470439</v>
      </c>
      <c r="C280" s="6">
        <f t="shared" si="4"/>
        <v>8505439</v>
      </c>
      <c r="D280" s="6">
        <v>66425.999999899999</v>
      </c>
      <c r="E280" s="2">
        <v>276</v>
      </c>
    </row>
    <row r="281" spans="1:5" x14ac:dyDescent="0.35">
      <c r="A281" s="5">
        <v>1033</v>
      </c>
      <c r="B281" s="6">
        <v>6503693</v>
      </c>
      <c r="C281" s="6">
        <f t="shared" si="4"/>
        <v>8538693</v>
      </c>
      <c r="D281" s="6">
        <v>66586.999999899999</v>
      </c>
      <c r="E281" s="2">
        <v>277</v>
      </c>
    </row>
    <row r="282" spans="1:5" x14ac:dyDescent="0.35">
      <c r="A282" s="5">
        <v>1033.5</v>
      </c>
      <c r="B282" s="6">
        <v>6537026</v>
      </c>
      <c r="C282" s="6">
        <f t="shared" si="4"/>
        <v>8572026</v>
      </c>
      <c r="D282" s="6">
        <v>66747</v>
      </c>
      <c r="E282" s="2">
        <v>278</v>
      </c>
    </row>
    <row r="283" spans="1:5" x14ac:dyDescent="0.35">
      <c r="A283" s="5">
        <v>1034</v>
      </c>
      <c r="B283" s="6">
        <v>6570440</v>
      </c>
      <c r="C283" s="6">
        <f t="shared" si="4"/>
        <v>8605440</v>
      </c>
      <c r="D283" s="6">
        <v>66908</v>
      </c>
      <c r="E283" s="2">
        <v>279</v>
      </c>
    </row>
    <row r="284" spans="1:5" x14ac:dyDescent="0.35">
      <c r="A284" s="5">
        <v>1034.5</v>
      </c>
      <c r="B284" s="6">
        <v>6603934</v>
      </c>
      <c r="C284" s="6">
        <f t="shared" si="4"/>
        <v>8638934</v>
      </c>
      <c r="D284" s="6">
        <v>67068.000000100001</v>
      </c>
      <c r="E284" s="2">
        <v>280</v>
      </c>
    </row>
    <row r="285" spans="1:5" x14ac:dyDescent="0.35">
      <c r="A285" s="5">
        <v>1035</v>
      </c>
      <c r="B285" s="6">
        <v>6637508</v>
      </c>
      <c r="C285" s="6">
        <f t="shared" si="4"/>
        <v>8672508</v>
      </c>
      <c r="D285" s="6">
        <v>67229.000000100001</v>
      </c>
      <c r="E285" s="2">
        <v>281</v>
      </c>
    </row>
    <row r="286" spans="1:5" x14ac:dyDescent="0.35">
      <c r="A286" s="5">
        <v>1035.5</v>
      </c>
      <c r="B286" s="6">
        <v>6671163</v>
      </c>
      <c r="C286" s="6">
        <f t="shared" si="4"/>
        <v>8706163</v>
      </c>
      <c r="D286" s="6">
        <v>67389</v>
      </c>
      <c r="E286" s="2">
        <v>282</v>
      </c>
    </row>
    <row r="287" spans="1:5" x14ac:dyDescent="0.35">
      <c r="A287" s="5">
        <v>1036</v>
      </c>
      <c r="B287" s="6">
        <v>6704897</v>
      </c>
      <c r="C287" s="6">
        <f t="shared" si="4"/>
        <v>8739897</v>
      </c>
      <c r="D287" s="6">
        <v>67550</v>
      </c>
      <c r="E287" s="2">
        <v>283</v>
      </c>
    </row>
    <row r="288" spans="1:5" x14ac:dyDescent="0.35">
      <c r="A288" s="5">
        <v>1036.5</v>
      </c>
      <c r="B288" s="6">
        <v>6738713</v>
      </c>
      <c r="C288" s="6">
        <f t="shared" si="4"/>
        <v>8773713</v>
      </c>
      <c r="D288" s="6">
        <v>67710.000000100001</v>
      </c>
      <c r="E288" s="2">
        <v>284</v>
      </c>
    </row>
    <row r="289" spans="1:5" x14ac:dyDescent="0.35">
      <c r="A289" s="5">
        <v>1037</v>
      </c>
      <c r="B289" s="6">
        <v>6772608</v>
      </c>
      <c r="C289" s="6">
        <f t="shared" si="4"/>
        <v>8807608</v>
      </c>
      <c r="D289" s="6">
        <v>67871.000000100001</v>
      </c>
      <c r="E289" s="2">
        <v>285</v>
      </c>
    </row>
    <row r="290" spans="1:5" x14ac:dyDescent="0.35">
      <c r="A290" s="5">
        <v>1037.5</v>
      </c>
      <c r="B290" s="6">
        <v>6806583</v>
      </c>
      <c r="C290" s="6">
        <f t="shared" si="4"/>
        <v>8841583</v>
      </c>
      <c r="D290" s="6">
        <v>68030.999999899999</v>
      </c>
      <c r="E290" s="2">
        <v>286</v>
      </c>
    </row>
    <row r="291" spans="1:5" x14ac:dyDescent="0.35">
      <c r="A291" s="5">
        <v>1038</v>
      </c>
      <c r="B291" s="6">
        <v>6840639</v>
      </c>
      <c r="C291" s="6">
        <f t="shared" si="4"/>
        <v>8875639</v>
      </c>
      <c r="D291" s="6">
        <v>68191.999999899999</v>
      </c>
      <c r="E291" s="2">
        <v>287</v>
      </c>
    </row>
    <row r="292" spans="1:5" x14ac:dyDescent="0.35">
      <c r="A292" s="5">
        <v>1038.5</v>
      </c>
      <c r="B292" s="6">
        <v>6874775</v>
      </c>
      <c r="C292" s="6">
        <f t="shared" si="4"/>
        <v>8909775</v>
      </c>
      <c r="D292" s="6">
        <v>68352</v>
      </c>
      <c r="E292" s="2">
        <v>288</v>
      </c>
    </row>
    <row r="293" spans="1:5" x14ac:dyDescent="0.35">
      <c r="A293" s="5">
        <v>1039</v>
      </c>
      <c r="B293" s="6">
        <v>6908992</v>
      </c>
      <c r="C293" s="6">
        <f t="shared" si="4"/>
        <v>8943992</v>
      </c>
      <c r="D293" s="6">
        <v>68513</v>
      </c>
      <c r="E293" s="2">
        <v>289</v>
      </c>
    </row>
    <row r="294" spans="1:5" x14ac:dyDescent="0.35">
      <c r="A294" s="5">
        <v>1039.5</v>
      </c>
      <c r="B294" s="6">
        <v>6943288</v>
      </c>
      <c r="C294" s="6">
        <f t="shared" si="4"/>
        <v>8978288</v>
      </c>
      <c r="D294" s="6">
        <v>68672.999999899999</v>
      </c>
      <c r="E294" s="2">
        <v>290</v>
      </c>
    </row>
    <row r="295" spans="1:5" x14ac:dyDescent="0.35">
      <c r="A295" s="5">
        <v>1040</v>
      </c>
      <c r="B295" s="6">
        <v>6977665</v>
      </c>
      <c r="C295" s="6">
        <f t="shared" si="4"/>
        <v>9012665</v>
      </c>
      <c r="D295" s="6">
        <v>68833.999999899999</v>
      </c>
      <c r="E295" s="2">
        <v>291</v>
      </c>
    </row>
    <row r="296" spans="1:5" x14ac:dyDescent="0.35">
      <c r="A296" s="5">
        <v>1040.5</v>
      </c>
      <c r="B296" s="6">
        <v>7012124</v>
      </c>
      <c r="C296" s="6">
        <f t="shared" si="4"/>
        <v>9047124</v>
      </c>
      <c r="D296" s="6">
        <v>69003</v>
      </c>
      <c r="E296" s="2">
        <v>292</v>
      </c>
    </row>
    <row r="297" spans="1:5" x14ac:dyDescent="0.35">
      <c r="A297" s="5">
        <v>1041</v>
      </c>
      <c r="B297" s="6">
        <v>7046668</v>
      </c>
      <c r="C297" s="6">
        <f t="shared" si="4"/>
        <v>9081668</v>
      </c>
      <c r="D297" s="6">
        <v>69171</v>
      </c>
      <c r="E297" s="2">
        <v>293</v>
      </c>
    </row>
    <row r="298" spans="1:5" x14ac:dyDescent="0.35">
      <c r="A298" s="5">
        <v>1041.5</v>
      </c>
      <c r="B298" s="6">
        <v>7081296</v>
      </c>
      <c r="C298" s="6">
        <f t="shared" si="4"/>
        <v>9116296</v>
      </c>
      <c r="D298" s="6">
        <v>69339.999999899999</v>
      </c>
      <c r="E298" s="2">
        <v>294</v>
      </c>
    </row>
    <row r="299" spans="1:5" x14ac:dyDescent="0.35">
      <c r="A299" s="5">
        <v>1042</v>
      </c>
      <c r="B299" s="6">
        <v>7116008</v>
      </c>
      <c r="C299" s="6">
        <f t="shared" si="4"/>
        <v>9151008</v>
      </c>
      <c r="D299" s="6">
        <v>69509.000000100001</v>
      </c>
      <c r="E299" s="2">
        <v>295</v>
      </c>
    </row>
    <row r="300" spans="1:5" x14ac:dyDescent="0.35">
      <c r="A300" s="5">
        <v>1042.5</v>
      </c>
      <c r="B300" s="6">
        <v>7150804</v>
      </c>
      <c r="C300" s="6">
        <f t="shared" si="4"/>
        <v>9185804</v>
      </c>
      <c r="D300" s="6">
        <v>69677.000000100001</v>
      </c>
      <c r="E300" s="2">
        <v>296</v>
      </c>
    </row>
    <row r="301" spans="1:5" x14ac:dyDescent="0.35">
      <c r="A301" s="5">
        <v>1043</v>
      </c>
      <c r="B301" s="6">
        <v>7185685</v>
      </c>
      <c r="C301" s="6">
        <f t="shared" si="4"/>
        <v>9220685</v>
      </c>
      <c r="D301" s="6">
        <v>69846</v>
      </c>
      <c r="E301" s="2">
        <v>297</v>
      </c>
    </row>
    <row r="302" spans="1:5" x14ac:dyDescent="0.35">
      <c r="A302" s="5">
        <v>1043.5</v>
      </c>
      <c r="B302" s="6">
        <v>7220651</v>
      </c>
      <c r="C302" s="6">
        <f t="shared" si="4"/>
        <v>9255651</v>
      </c>
      <c r="D302" s="6">
        <v>70014.999999899999</v>
      </c>
      <c r="E302" s="2">
        <v>298</v>
      </c>
    </row>
    <row r="303" spans="1:5" x14ac:dyDescent="0.35">
      <c r="A303" s="5">
        <v>1044</v>
      </c>
      <c r="B303" s="6">
        <v>7255700</v>
      </c>
      <c r="C303" s="6">
        <f t="shared" si="4"/>
        <v>9290700</v>
      </c>
      <c r="D303" s="6">
        <v>70184.000000100001</v>
      </c>
      <c r="E303" s="2">
        <v>299</v>
      </c>
    </row>
    <row r="304" spans="1:5" x14ac:dyDescent="0.35">
      <c r="A304" s="5">
        <v>1044.5</v>
      </c>
      <c r="B304" s="6">
        <v>7290834</v>
      </c>
      <c r="C304" s="6">
        <f t="shared" si="4"/>
        <v>9325834</v>
      </c>
      <c r="D304" s="6">
        <v>70352.000000100001</v>
      </c>
      <c r="E304" s="2">
        <v>300</v>
      </c>
    </row>
    <row r="305" spans="1:5" x14ac:dyDescent="0.35">
      <c r="A305" s="5">
        <v>1045</v>
      </c>
      <c r="B305" s="6">
        <v>7326052</v>
      </c>
      <c r="C305" s="6">
        <f t="shared" si="4"/>
        <v>9361052</v>
      </c>
      <c r="D305" s="6">
        <v>70521</v>
      </c>
      <c r="E305" s="2">
        <v>301</v>
      </c>
    </row>
    <row r="306" spans="1:5" x14ac:dyDescent="0.35">
      <c r="A306" s="5">
        <v>1045.5</v>
      </c>
      <c r="B306" s="6">
        <v>7361355</v>
      </c>
      <c r="C306" s="6">
        <f t="shared" si="4"/>
        <v>9396355</v>
      </c>
      <c r="D306" s="6">
        <v>70689.999999899999</v>
      </c>
      <c r="E306" s="2">
        <v>302</v>
      </c>
    </row>
    <row r="307" spans="1:5" x14ac:dyDescent="0.35">
      <c r="A307" s="5">
        <v>1046</v>
      </c>
      <c r="B307" s="6">
        <v>7396742</v>
      </c>
      <c r="C307" s="6">
        <f t="shared" si="4"/>
        <v>9431742</v>
      </c>
      <c r="D307" s="6">
        <v>70857.999999899999</v>
      </c>
      <c r="E307" s="2">
        <v>303</v>
      </c>
    </row>
    <row r="308" spans="1:5" x14ac:dyDescent="0.35">
      <c r="A308" s="5">
        <v>1046.5</v>
      </c>
      <c r="B308" s="6">
        <v>7432213</v>
      </c>
      <c r="C308" s="6">
        <f t="shared" si="4"/>
        <v>9467213</v>
      </c>
      <c r="D308" s="6">
        <v>71027</v>
      </c>
      <c r="E308" s="2">
        <v>304</v>
      </c>
    </row>
    <row r="309" spans="1:5" x14ac:dyDescent="0.35">
      <c r="A309" s="5">
        <v>1047</v>
      </c>
      <c r="B309" s="6">
        <v>7467768</v>
      </c>
      <c r="C309" s="6">
        <f t="shared" si="4"/>
        <v>9502768</v>
      </c>
      <c r="D309" s="6">
        <v>71196</v>
      </c>
      <c r="E309" s="2">
        <v>305</v>
      </c>
    </row>
    <row r="310" spans="1:5" x14ac:dyDescent="0.35">
      <c r="A310" s="5">
        <v>1047.5</v>
      </c>
      <c r="B310" s="6">
        <v>7503408</v>
      </c>
      <c r="C310" s="6">
        <f t="shared" si="4"/>
        <v>9538408</v>
      </c>
      <c r="D310" s="6">
        <v>71364</v>
      </c>
      <c r="E310" s="2">
        <v>306</v>
      </c>
    </row>
    <row r="311" spans="1:5" x14ac:dyDescent="0.35">
      <c r="A311" s="5">
        <v>1048</v>
      </c>
      <c r="B311" s="6">
        <v>7539138</v>
      </c>
      <c r="C311" s="6">
        <f t="shared" si="4"/>
        <v>9574138</v>
      </c>
      <c r="D311" s="6">
        <v>71533.000000100001</v>
      </c>
      <c r="E311" s="2">
        <v>307</v>
      </c>
    </row>
    <row r="312" spans="1:5" x14ac:dyDescent="0.35">
      <c r="A312" s="5">
        <v>1048.5</v>
      </c>
      <c r="B312" s="6">
        <v>7574938</v>
      </c>
      <c r="C312" s="6">
        <f t="shared" si="4"/>
        <v>9609938</v>
      </c>
      <c r="D312" s="6">
        <v>71702</v>
      </c>
      <c r="E312" s="2">
        <v>308</v>
      </c>
    </row>
    <row r="313" spans="1:5" x14ac:dyDescent="0.35">
      <c r="A313" s="5">
        <v>1049</v>
      </c>
      <c r="B313" s="6">
        <v>7610838</v>
      </c>
      <c r="C313" s="6">
        <f t="shared" si="4"/>
        <v>9645838</v>
      </c>
      <c r="D313" s="6">
        <v>71870.999999899999</v>
      </c>
      <c r="E313" s="2">
        <v>309</v>
      </c>
    </row>
    <row r="314" spans="1:5" x14ac:dyDescent="0.35">
      <c r="A314" s="5">
        <v>1049.5</v>
      </c>
      <c r="B314" s="6">
        <v>7646818</v>
      </c>
      <c r="C314" s="6">
        <f t="shared" si="4"/>
        <v>9681818</v>
      </c>
      <c r="D314" s="6">
        <v>72038.999999899999</v>
      </c>
      <c r="E314" s="2">
        <v>310</v>
      </c>
    </row>
    <row r="315" spans="1:5" x14ac:dyDescent="0.35">
      <c r="A315" s="5">
        <v>1050</v>
      </c>
      <c r="B315" s="6">
        <v>7682878</v>
      </c>
      <c r="C315" s="6">
        <f t="shared" si="4"/>
        <v>9717878</v>
      </c>
      <c r="D315" s="6">
        <v>72208.000000100001</v>
      </c>
      <c r="E315" s="2">
        <v>311</v>
      </c>
    </row>
    <row r="316" spans="1:5" x14ac:dyDescent="0.35">
      <c r="A316" s="5">
        <v>1050.5</v>
      </c>
      <c r="B316" s="6">
        <v>7719018</v>
      </c>
      <c r="C316" s="6">
        <f t="shared" si="4"/>
        <v>9754018</v>
      </c>
      <c r="D316" s="6">
        <v>72393</v>
      </c>
      <c r="E316" s="2">
        <v>312</v>
      </c>
    </row>
    <row r="317" spans="1:5" x14ac:dyDescent="0.35">
      <c r="A317" s="5">
        <v>1051</v>
      </c>
      <c r="B317" s="6">
        <v>7755258</v>
      </c>
      <c r="C317" s="6">
        <f t="shared" si="4"/>
        <v>9790258</v>
      </c>
      <c r="D317" s="6">
        <v>72573.999999899999</v>
      </c>
      <c r="E317" s="2">
        <v>313</v>
      </c>
    </row>
    <row r="318" spans="1:5" x14ac:dyDescent="0.35">
      <c r="A318" s="5">
        <v>1051.5</v>
      </c>
      <c r="B318" s="6">
        <v>7791588</v>
      </c>
      <c r="C318" s="6">
        <f t="shared" si="4"/>
        <v>9826588</v>
      </c>
      <c r="D318" s="6">
        <v>72755.000000100001</v>
      </c>
      <c r="E318" s="2">
        <v>314</v>
      </c>
    </row>
    <row r="319" spans="1:5" x14ac:dyDescent="0.35">
      <c r="A319" s="5">
        <v>1052</v>
      </c>
      <c r="B319" s="6">
        <v>7828018</v>
      </c>
      <c r="C319" s="6">
        <f t="shared" si="4"/>
        <v>9863018</v>
      </c>
      <c r="D319" s="6">
        <v>72936</v>
      </c>
      <c r="E319" s="2">
        <v>315</v>
      </c>
    </row>
    <row r="320" spans="1:5" x14ac:dyDescent="0.35">
      <c r="A320" s="5">
        <v>1052.5</v>
      </c>
      <c r="B320" s="6">
        <v>7864528</v>
      </c>
      <c r="C320" s="6">
        <f t="shared" si="4"/>
        <v>9899528</v>
      </c>
      <c r="D320" s="6">
        <v>73117.000000100001</v>
      </c>
      <c r="E320" s="2">
        <v>316</v>
      </c>
    </row>
    <row r="321" spans="1:5" x14ac:dyDescent="0.35">
      <c r="A321" s="5">
        <v>1053</v>
      </c>
      <c r="B321" s="6">
        <v>7901128</v>
      </c>
      <c r="C321" s="6">
        <f t="shared" si="4"/>
        <v>9936128</v>
      </c>
      <c r="D321" s="6">
        <v>73298</v>
      </c>
      <c r="E321" s="2">
        <v>317</v>
      </c>
    </row>
    <row r="322" spans="1:5" x14ac:dyDescent="0.35">
      <c r="A322" s="5">
        <v>1053.5</v>
      </c>
      <c r="B322" s="6">
        <v>7937828</v>
      </c>
      <c r="C322" s="6">
        <f t="shared" si="4"/>
        <v>9972828</v>
      </c>
      <c r="D322" s="6">
        <v>73479.000000100001</v>
      </c>
      <c r="E322" s="2">
        <v>318</v>
      </c>
    </row>
    <row r="323" spans="1:5" x14ac:dyDescent="0.35">
      <c r="A323" s="5">
        <v>1054</v>
      </c>
      <c r="B323" s="6">
        <v>7974608</v>
      </c>
      <c r="C323" s="6">
        <f t="shared" si="4"/>
        <v>10009608</v>
      </c>
      <c r="D323" s="6">
        <v>73660</v>
      </c>
      <c r="E323" s="2">
        <v>319</v>
      </c>
    </row>
    <row r="324" spans="1:5" x14ac:dyDescent="0.35">
      <c r="A324" s="5">
        <v>1054.5</v>
      </c>
      <c r="B324" s="6">
        <v>8011488</v>
      </c>
      <c r="C324" s="6">
        <f t="shared" si="4"/>
        <v>10046488</v>
      </c>
      <c r="D324" s="6">
        <v>73840.999999899999</v>
      </c>
      <c r="E324" s="2">
        <v>320</v>
      </c>
    </row>
    <row r="325" spans="1:5" x14ac:dyDescent="0.35">
      <c r="A325" s="5">
        <v>1055</v>
      </c>
      <c r="B325" s="6">
        <v>8048458</v>
      </c>
      <c r="C325" s="6">
        <f t="shared" si="4"/>
        <v>10083458</v>
      </c>
      <c r="D325" s="6">
        <v>74022</v>
      </c>
      <c r="E325" s="2">
        <v>321</v>
      </c>
    </row>
    <row r="326" spans="1:5" x14ac:dyDescent="0.35">
      <c r="A326" s="5">
        <v>1055.5</v>
      </c>
      <c r="B326" s="6">
        <v>8085508</v>
      </c>
      <c r="C326" s="6">
        <f t="shared" ref="C326:C389" si="5">B326+$C$3</f>
        <v>10120508</v>
      </c>
      <c r="D326" s="6">
        <v>74202.999999899999</v>
      </c>
      <c r="E326" s="2">
        <v>322</v>
      </c>
    </row>
    <row r="327" spans="1:5" x14ac:dyDescent="0.35">
      <c r="A327" s="5">
        <v>1056</v>
      </c>
      <c r="B327" s="6">
        <v>8122657.9999900004</v>
      </c>
      <c r="C327" s="6">
        <f t="shared" si="5"/>
        <v>10157657.999990001</v>
      </c>
      <c r="D327" s="6">
        <v>74384</v>
      </c>
      <c r="E327" s="2">
        <v>323</v>
      </c>
    </row>
    <row r="328" spans="1:5" x14ac:dyDescent="0.35">
      <c r="A328" s="5">
        <v>1056.5</v>
      </c>
      <c r="B328" s="6">
        <v>8159897.9999700002</v>
      </c>
      <c r="C328" s="6">
        <f t="shared" si="5"/>
        <v>10194897.99997</v>
      </c>
      <c r="D328" s="6">
        <v>74564.999999899999</v>
      </c>
      <c r="E328" s="2">
        <v>324</v>
      </c>
    </row>
    <row r="329" spans="1:5" x14ac:dyDescent="0.35">
      <c r="A329" s="5">
        <v>1057</v>
      </c>
      <c r="B329" s="6">
        <v>8197217.9999900004</v>
      </c>
      <c r="C329" s="6">
        <f t="shared" si="5"/>
        <v>10232217.999990001</v>
      </c>
      <c r="D329" s="6">
        <v>74746.000000100001</v>
      </c>
      <c r="E329" s="2">
        <v>325</v>
      </c>
    </row>
    <row r="330" spans="1:5" x14ac:dyDescent="0.35">
      <c r="A330" s="5">
        <v>1057.5</v>
      </c>
      <c r="B330" s="6">
        <v>8234638.0000200002</v>
      </c>
      <c r="C330" s="6">
        <f t="shared" si="5"/>
        <v>10269638.000020001</v>
      </c>
      <c r="D330" s="6">
        <v>74927</v>
      </c>
      <c r="E330" s="2">
        <v>326</v>
      </c>
    </row>
    <row r="331" spans="1:5" x14ac:dyDescent="0.35">
      <c r="A331" s="5">
        <v>1058</v>
      </c>
      <c r="B331" s="6">
        <v>8272148</v>
      </c>
      <c r="C331" s="6">
        <f t="shared" si="5"/>
        <v>10307148</v>
      </c>
      <c r="D331" s="6">
        <v>75108.000000100001</v>
      </c>
      <c r="E331" s="2">
        <v>327</v>
      </c>
    </row>
    <row r="332" spans="1:5" x14ac:dyDescent="0.35">
      <c r="A332" s="5">
        <v>1058.5</v>
      </c>
      <c r="B332" s="6">
        <v>8309748</v>
      </c>
      <c r="C332" s="6">
        <f t="shared" si="5"/>
        <v>10344748</v>
      </c>
      <c r="D332" s="6">
        <v>75289</v>
      </c>
      <c r="E332" s="2">
        <v>328</v>
      </c>
    </row>
    <row r="333" spans="1:5" x14ac:dyDescent="0.35">
      <c r="A333" s="5">
        <v>1059</v>
      </c>
      <c r="B333" s="6">
        <v>8347438.0000400003</v>
      </c>
      <c r="C333" s="6">
        <f t="shared" si="5"/>
        <v>10382438.00004</v>
      </c>
      <c r="D333" s="6">
        <v>75470.000000100001</v>
      </c>
      <c r="E333" s="2">
        <v>329</v>
      </c>
    </row>
    <row r="334" spans="1:5" x14ac:dyDescent="0.35">
      <c r="A334" s="5">
        <v>1059.5</v>
      </c>
      <c r="B334" s="6">
        <v>8385218.0000200002</v>
      </c>
      <c r="C334" s="6">
        <f t="shared" si="5"/>
        <v>10420218.000020001</v>
      </c>
      <c r="D334" s="6">
        <v>75651</v>
      </c>
      <c r="E334" s="2">
        <v>330</v>
      </c>
    </row>
    <row r="335" spans="1:5" x14ac:dyDescent="0.35">
      <c r="A335" s="5">
        <v>1060</v>
      </c>
      <c r="B335" s="6">
        <v>8423088.0000299998</v>
      </c>
      <c r="C335" s="6">
        <f t="shared" si="5"/>
        <v>10458088.00003</v>
      </c>
      <c r="D335" s="6">
        <v>75831.999999899999</v>
      </c>
      <c r="E335" s="2">
        <v>331</v>
      </c>
    </row>
    <row r="336" spans="1:5" x14ac:dyDescent="0.35">
      <c r="A336" s="5">
        <v>1060.5</v>
      </c>
      <c r="B336" s="6">
        <v>8461047.9999899995</v>
      </c>
      <c r="C336" s="6">
        <f t="shared" si="5"/>
        <v>10496047.999989999</v>
      </c>
      <c r="D336" s="6">
        <v>76013</v>
      </c>
      <c r="E336" s="2">
        <v>332</v>
      </c>
    </row>
    <row r="337" spans="1:5" x14ac:dyDescent="0.35">
      <c r="A337" s="5">
        <v>1061</v>
      </c>
      <c r="B337" s="6">
        <v>8499097.9999700002</v>
      </c>
      <c r="C337" s="6">
        <f t="shared" si="5"/>
        <v>10534097.99997</v>
      </c>
      <c r="D337" s="6">
        <v>76193.999999899999</v>
      </c>
      <c r="E337" s="2">
        <v>333</v>
      </c>
    </row>
    <row r="338" spans="1:5" x14ac:dyDescent="0.35">
      <c r="A338" s="5">
        <v>1061.5</v>
      </c>
      <c r="B338" s="6">
        <v>8537247.9999700002</v>
      </c>
      <c r="C338" s="6">
        <f t="shared" si="5"/>
        <v>10572247.99997</v>
      </c>
      <c r="D338" s="6">
        <v>76375</v>
      </c>
      <c r="E338" s="2">
        <v>334</v>
      </c>
    </row>
    <row r="339" spans="1:5" x14ac:dyDescent="0.35">
      <c r="A339" s="5">
        <v>1062</v>
      </c>
      <c r="B339" s="6">
        <v>8575478.0000100005</v>
      </c>
      <c r="C339" s="6">
        <f t="shared" si="5"/>
        <v>10610478.000010001</v>
      </c>
      <c r="D339" s="6">
        <v>76555.999999899999</v>
      </c>
      <c r="E339" s="2">
        <v>335</v>
      </c>
    </row>
    <row r="340" spans="1:5" x14ac:dyDescent="0.35">
      <c r="A340" s="5">
        <v>1062.5</v>
      </c>
      <c r="B340" s="6">
        <v>8613798</v>
      </c>
      <c r="C340" s="6">
        <f t="shared" si="5"/>
        <v>10648798</v>
      </c>
      <c r="D340" s="6">
        <v>76737.000000100001</v>
      </c>
      <c r="E340" s="2">
        <v>336</v>
      </c>
    </row>
    <row r="341" spans="1:5" x14ac:dyDescent="0.35">
      <c r="A341" s="5">
        <v>1063</v>
      </c>
      <c r="B341" s="6">
        <v>8652218</v>
      </c>
      <c r="C341" s="6">
        <f t="shared" si="5"/>
        <v>10687218</v>
      </c>
      <c r="D341" s="6">
        <v>76918</v>
      </c>
      <c r="E341" s="2">
        <v>337</v>
      </c>
    </row>
    <row r="342" spans="1:5" x14ac:dyDescent="0.35">
      <c r="A342" s="5">
        <v>1063.5</v>
      </c>
      <c r="B342" s="6">
        <v>8690717.9999599997</v>
      </c>
      <c r="C342" s="6">
        <f t="shared" si="5"/>
        <v>10725717.99996</v>
      </c>
      <c r="D342" s="6">
        <v>77099.000000100001</v>
      </c>
      <c r="E342" s="2">
        <v>338</v>
      </c>
    </row>
    <row r="343" spans="1:5" x14ac:dyDescent="0.35">
      <c r="A343" s="5">
        <v>1064</v>
      </c>
      <c r="B343" s="6">
        <v>8729308.0000299998</v>
      </c>
      <c r="C343" s="6">
        <f t="shared" si="5"/>
        <v>10764308.00003</v>
      </c>
      <c r="D343" s="6">
        <v>77280</v>
      </c>
      <c r="E343" s="2">
        <v>339</v>
      </c>
    </row>
    <row r="344" spans="1:5" x14ac:dyDescent="0.35">
      <c r="A344" s="5">
        <v>1064.5</v>
      </c>
      <c r="B344" s="6">
        <v>8767998.0000400003</v>
      </c>
      <c r="C344" s="6">
        <f t="shared" si="5"/>
        <v>10802998.00004</v>
      </c>
      <c r="D344" s="6">
        <v>77461.000000100001</v>
      </c>
      <c r="E344" s="2">
        <v>340</v>
      </c>
    </row>
    <row r="345" spans="1:5" x14ac:dyDescent="0.35">
      <c r="A345" s="5">
        <v>1065</v>
      </c>
      <c r="B345" s="6">
        <v>8806768</v>
      </c>
      <c r="C345" s="6">
        <f t="shared" si="5"/>
        <v>10841768</v>
      </c>
      <c r="D345" s="6">
        <v>77642</v>
      </c>
      <c r="E345" s="2">
        <v>341</v>
      </c>
    </row>
    <row r="346" spans="1:5" x14ac:dyDescent="0.35">
      <c r="A346" s="5">
        <v>1065.5</v>
      </c>
      <c r="B346" s="6">
        <v>8845637.9999800008</v>
      </c>
      <c r="C346" s="6">
        <f t="shared" si="5"/>
        <v>10880637.999980001</v>
      </c>
      <c r="D346" s="6">
        <v>77822.999999899999</v>
      </c>
      <c r="E346" s="2">
        <v>342</v>
      </c>
    </row>
    <row r="347" spans="1:5" x14ac:dyDescent="0.35">
      <c r="A347" s="5">
        <v>1066</v>
      </c>
      <c r="B347" s="6">
        <v>8884597.9999899995</v>
      </c>
      <c r="C347" s="6">
        <f t="shared" si="5"/>
        <v>10919597.999989999</v>
      </c>
      <c r="D347" s="6">
        <v>78004</v>
      </c>
      <c r="E347" s="2">
        <v>343</v>
      </c>
    </row>
    <row r="348" spans="1:5" x14ac:dyDescent="0.35">
      <c r="A348" s="5">
        <v>1066.5</v>
      </c>
      <c r="B348" s="6">
        <v>8923637.9999599997</v>
      </c>
      <c r="C348" s="6">
        <f t="shared" si="5"/>
        <v>10958637.99996</v>
      </c>
      <c r="D348" s="6">
        <v>78184.999999899999</v>
      </c>
      <c r="E348" s="2">
        <v>344</v>
      </c>
    </row>
    <row r="349" spans="1:5" x14ac:dyDescent="0.35">
      <c r="A349" s="5">
        <v>1067</v>
      </c>
      <c r="B349" s="6">
        <v>8962778.0000199992</v>
      </c>
      <c r="C349" s="6">
        <f t="shared" si="5"/>
        <v>10997778.000019999</v>
      </c>
      <c r="D349" s="6">
        <v>78366</v>
      </c>
      <c r="E349" s="2">
        <v>345</v>
      </c>
    </row>
    <row r="350" spans="1:5" x14ac:dyDescent="0.35">
      <c r="A350" s="5">
        <v>1067.5</v>
      </c>
      <c r="B350" s="6">
        <v>9002008.0000299998</v>
      </c>
      <c r="C350" s="6">
        <f t="shared" si="5"/>
        <v>11037008.00003</v>
      </c>
      <c r="D350" s="6">
        <v>78546.999999899999</v>
      </c>
      <c r="E350" s="2">
        <v>346</v>
      </c>
    </row>
    <row r="351" spans="1:5" x14ac:dyDescent="0.35">
      <c r="A351" s="5">
        <v>1068</v>
      </c>
      <c r="B351" s="6">
        <v>9041327.9999899995</v>
      </c>
      <c r="C351" s="6">
        <f t="shared" si="5"/>
        <v>11076327.999989999</v>
      </c>
      <c r="D351" s="6">
        <v>78726.999999899999</v>
      </c>
      <c r="E351" s="2">
        <v>347</v>
      </c>
    </row>
    <row r="352" spans="1:5" x14ac:dyDescent="0.35">
      <c r="A352" s="5">
        <v>1068.5</v>
      </c>
      <c r="B352" s="6">
        <v>9080737.9999800008</v>
      </c>
      <c r="C352" s="6">
        <f t="shared" si="5"/>
        <v>11115737.999980001</v>
      </c>
      <c r="D352" s="6">
        <v>78908.000000100001</v>
      </c>
      <c r="E352" s="2">
        <v>348</v>
      </c>
    </row>
    <row r="353" spans="1:5" x14ac:dyDescent="0.35">
      <c r="A353" s="5">
        <v>1069</v>
      </c>
      <c r="B353" s="6">
        <v>9120237.9999899995</v>
      </c>
      <c r="C353" s="6">
        <f t="shared" si="5"/>
        <v>11155237.999989999</v>
      </c>
      <c r="D353" s="6">
        <v>79089</v>
      </c>
      <c r="E353" s="2">
        <v>349</v>
      </c>
    </row>
    <row r="354" spans="1:5" x14ac:dyDescent="0.35">
      <c r="A354" s="5">
        <v>1069.5</v>
      </c>
      <c r="B354" s="6">
        <v>9159828.0000299998</v>
      </c>
      <c r="C354" s="6">
        <f t="shared" si="5"/>
        <v>11194828.00003</v>
      </c>
      <c r="D354" s="6">
        <v>79270.000000100001</v>
      </c>
      <c r="E354" s="2">
        <v>350</v>
      </c>
    </row>
    <row r="355" spans="1:5" x14ac:dyDescent="0.35">
      <c r="A355" s="5">
        <v>1070</v>
      </c>
      <c r="B355" s="6">
        <v>9199508.0000199992</v>
      </c>
      <c r="C355" s="6">
        <f t="shared" si="5"/>
        <v>11234508.000019999</v>
      </c>
      <c r="D355" s="6">
        <v>79451</v>
      </c>
      <c r="E355" s="2">
        <v>351</v>
      </c>
    </row>
    <row r="356" spans="1:5" x14ac:dyDescent="0.35">
      <c r="A356" s="5">
        <v>1070.5</v>
      </c>
      <c r="B356" s="6">
        <v>9239267.9999700002</v>
      </c>
      <c r="C356" s="6">
        <f t="shared" si="5"/>
        <v>11274267.99997</v>
      </c>
      <c r="D356" s="6">
        <v>79616.999999899999</v>
      </c>
      <c r="E356" s="2">
        <v>352</v>
      </c>
    </row>
    <row r="357" spans="1:5" x14ac:dyDescent="0.35">
      <c r="A357" s="5">
        <v>1071</v>
      </c>
      <c r="B357" s="6">
        <v>9279118.0000299998</v>
      </c>
      <c r="C357" s="6">
        <f t="shared" si="5"/>
        <v>11314118.00003</v>
      </c>
      <c r="D357" s="6">
        <v>79787</v>
      </c>
      <c r="E357" s="2">
        <v>353</v>
      </c>
    </row>
    <row r="358" spans="1:5" x14ac:dyDescent="0.35">
      <c r="A358" s="5">
        <v>1071.5</v>
      </c>
      <c r="B358" s="6">
        <v>9319047.9999700002</v>
      </c>
      <c r="C358" s="6">
        <f t="shared" si="5"/>
        <v>11354047.99997</v>
      </c>
      <c r="D358" s="6">
        <v>79957</v>
      </c>
      <c r="E358" s="2">
        <v>354</v>
      </c>
    </row>
    <row r="359" spans="1:5" x14ac:dyDescent="0.35">
      <c r="A359" s="5">
        <v>1072</v>
      </c>
      <c r="B359" s="6">
        <v>9359068.0000199992</v>
      </c>
      <c r="C359" s="6">
        <f t="shared" si="5"/>
        <v>11394068.000019999</v>
      </c>
      <c r="D359" s="6">
        <v>80127.000000100001</v>
      </c>
      <c r="E359" s="2">
        <v>355</v>
      </c>
    </row>
    <row r="360" spans="1:5" x14ac:dyDescent="0.35">
      <c r="A360" s="5">
        <v>1072.5</v>
      </c>
      <c r="B360" s="6">
        <v>9399178.0000199992</v>
      </c>
      <c r="C360" s="6">
        <f t="shared" si="5"/>
        <v>11434178.000019999</v>
      </c>
      <c r="D360" s="6">
        <v>80296.999999899999</v>
      </c>
      <c r="E360" s="2">
        <v>356</v>
      </c>
    </row>
    <row r="361" spans="1:5" x14ac:dyDescent="0.35">
      <c r="A361" s="5">
        <v>1073</v>
      </c>
      <c r="B361" s="6">
        <v>9439367.9999800008</v>
      </c>
      <c r="C361" s="6">
        <f t="shared" si="5"/>
        <v>11474367.999980001</v>
      </c>
      <c r="D361" s="6">
        <v>80468.000000100001</v>
      </c>
      <c r="E361" s="2">
        <v>357</v>
      </c>
    </row>
    <row r="362" spans="1:5" x14ac:dyDescent="0.35">
      <c r="A362" s="5">
        <v>1073.5</v>
      </c>
      <c r="B362" s="6">
        <v>9479647.9999599997</v>
      </c>
      <c r="C362" s="6">
        <f t="shared" si="5"/>
        <v>11514647.99996</v>
      </c>
      <c r="D362" s="6">
        <v>80637.999999899999</v>
      </c>
      <c r="E362" s="2">
        <v>358</v>
      </c>
    </row>
    <row r="363" spans="1:5" x14ac:dyDescent="0.35">
      <c r="A363" s="5">
        <v>1074</v>
      </c>
      <c r="B363" s="6">
        <v>9520007.9999899995</v>
      </c>
      <c r="C363" s="6">
        <f t="shared" si="5"/>
        <v>11555007.999989999</v>
      </c>
      <c r="D363" s="6">
        <v>80807.999999899999</v>
      </c>
      <c r="E363" s="2">
        <v>359</v>
      </c>
    </row>
    <row r="364" spans="1:5" x14ac:dyDescent="0.35">
      <c r="A364" s="5">
        <v>1074.5</v>
      </c>
      <c r="B364" s="6">
        <v>9560447.9999899995</v>
      </c>
      <c r="C364" s="6">
        <f t="shared" si="5"/>
        <v>11595447.999989999</v>
      </c>
      <c r="D364" s="6">
        <v>80978</v>
      </c>
      <c r="E364" s="2">
        <v>360</v>
      </c>
    </row>
    <row r="365" spans="1:5" x14ac:dyDescent="0.35">
      <c r="A365" s="5">
        <v>1075</v>
      </c>
      <c r="B365" s="6">
        <v>9600987.9999899995</v>
      </c>
      <c r="C365" s="6">
        <f t="shared" si="5"/>
        <v>11635987.999989999</v>
      </c>
      <c r="D365" s="6">
        <v>81148</v>
      </c>
      <c r="E365" s="2">
        <v>361</v>
      </c>
    </row>
    <row r="366" spans="1:5" x14ac:dyDescent="0.35">
      <c r="A366" s="5">
        <v>1075.5</v>
      </c>
      <c r="B366" s="6">
        <v>9641597.9999700002</v>
      </c>
      <c r="C366" s="6">
        <f t="shared" si="5"/>
        <v>11676597.99997</v>
      </c>
      <c r="D366" s="6">
        <v>81318.000000100001</v>
      </c>
      <c r="E366" s="2">
        <v>362</v>
      </c>
    </row>
    <row r="367" spans="1:5" x14ac:dyDescent="0.35">
      <c r="A367" s="5">
        <v>1076</v>
      </c>
      <c r="B367" s="6">
        <v>9682297.9999800008</v>
      </c>
      <c r="C367" s="6">
        <f t="shared" si="5"/>
        <v>11717297.999980001</v>
      </c>
      <c r="D367" s="6">
        <v>81488.000000100001</v>
      </c>
      <c r="E367" s="2">
        <v>363</v>
      </c>
    </row>
    <row r="368" spans="1:5" x14ac:dyDescent="0.35">
      <c r="A368" s="5">
        <v>1076.5</v>
      </c>
      <c r="B368" s="6">
        <v>9723088.0000199992</v>
      </c>
      <c r="C368" s="6">
        <f t="shared" si="5"/>
        <v>11758088.000019999</v>
      </c>
      <c r="D368" s="6">
        <v>81657.999999899999</v>
      </c>
      <c r="E368" s="2">
        <v>364</v>
      </c>
    </row>
    <row r="369" spans="1:5" x14ac:dyDescent="0.35">
      <c r="A369" s="5">
        <v>1077</v>
      </c>
      <c r="B369" s="6">
        <v>9763958.0000199992</v>
      </c>
      <c r="C369" s="6">
        <f t="shared" si="5"/>
        <v>11798958.000019999</v>
      </c>
      <c r="D369" s="6">
        <v>81828</v>
      </c>
      <c r="E369" s="2">
        <v>365</v>
      </c>
    </row>
    <row r="370" spans="1:5" x14ac:dyDescent="0.35">
      <c r="A370" s="5">
        <v>1077.5</v>
      </c>
      <c r="B370" s="6">
        <v>9804917.9999700002</v>
      </c>
      <c r="C370" s="6">
        <f t="shared" si="5"/>
        <v>11839917.99997</v>
      </c>
      <c r="D370" s="6">
        <v>81998.999999899999</v>
      </c>
      <c r="E370" s="2">
        <v>366</v>
      </c>
    </row>
    <row r="371" spans="1:5" x14ac:dyDescent="0.35">
      <c r="A371" s="5">
        <v>1078</v>
      </c>
      <c r="B371" s="6">
        <v>9845958.0000400003</v>
      </c>
      <c r="C371" s="6">
        <f t="shared" si="5"/>
        <v>11880958.00004</v>
      </c>
      <c r="D371" s="6">
        <v>82169</v>
      </c>
      <c r="E371" s="2">
        <v>367</v>
      </c>
    </row>
    <row r="372" spans="1:5" x14ac:dyDescent="0.35">
      <c r="A372" s="5">
        <v>1078.5</v>
      </c>
      <c r="B372" s="6">
        <v>9887087.9999700002</v>
      </c>
      <c r="C372" s="6">
        <f t="shared" si="5"/>
        <v>11922087.99997</v>
      </c>
      <c r="D372" s="6">
        <v>82339</v>
      </c>
      <c r="E372" s="2">
        <v>368</v>
      </c>
    </row>
    <row r="373" spans="1:5" x14ac:dyDescent="0.35">
      <c r="A373" s="5">
        <v>1079</v>
      </c>
      <c r="B373" s="6">
        <v>9928298.0000299998</v>
      </c>
      <c r="C373" s="6">
        <f t="shared" si="5"/>
        <v>11963298.00003</v>
      </c>
      <c r="D373" s="6">
        <v>82509</v>
      </c>
      <c r="E373" s="2">
        <v>369</v>
      </c>
    </row>
    <row r="374" spans="1:5" x14ac:dyDescent="0.35">
      <c r="A374" s="5">
        <v>1079.5</v>
      </c>
      <c r="B374" s="6">
        <v>9969598.0000400003</v>
      </c>
      <c r="C374" s="6">
        <f t="shared" si="5"/>
        <v>12004598.00004</v>
      </c>
      <c r="D374" s="6">
        <v>82679.000000100001</v>
      </c>
      <c r="E374" s="2">
        <v>370</v>
      </c>
    </row>
    <row r="375" spans="1:5" x14ac:dyDescent="0.35">
      <c r="A375" s="5">
        <v>1080</v>
      </c>
      <c r="B375" s="6">
        <v>10010978</v>
      </c>
      <c r="C375" s="6">
        <f t="shared" si="5"/>
        <v>12045978</v>
      </c>
      <c r="D375" s="6">
        <v>82848.999999899999</v>
      </c>
      <c r="E375" s="2">
        <v>371</v>
      </c>
    </row>
    <row r="376" spans="1:5" x14ac:dyDescent="0.35">
      <c r="A376" s="5">
        <v>1080.5</v>
      </c>
      <c r="B376" s="6">
        <v>10052448</v>
      </c>
      <c r="C376" s="6">
        <f t="shared" si="5"/>
        <v>12087448</v>
      </c>
      <c r="D376" s="6">
        <v>83007.899999999994</v>
      </c>
      <c r="E376" s="2">
        <v>372</v>
      </c>
    </row>
    <row r="377" spans="1:5" x14ac:dyDescent="0.35">
      <c r="A377" s="5">
        <v>1081</v>
      </c>
      <c r="B377" s="6">
        <v>10093998</v>
      </c>
      <c r="C377" s="6">
        <f t="shared" si="5"/>
        <v>12128998</v>
      </c>
      <c r="D377" s="6">
        <v>83166.799999900002</v>
      </c>
      <c r="E377" s="2">
        <v>373</v>
      </c>
    </row>
    <row r="378" spans="1:5" x14ac:dyDescent="0.35">
      <c r="A378" s="5">
        <v>1081.5</v>
      </c>
      <c r="B378" s="6">
        <v>10135648</v>
      </c>
      <c r="C378" s="6">
        <f t="shared" si="5"/>
        <v>12170648</v>
      </c>
      <c r="D378" s="6">
        <v>83325.7</v>
      </c>
      <c r="E378" s="2">
        <v>374</v>
      </c>
    </row>
    <row r="379" spans="1:5" x14ac:dyDescent="0.35">
      <c r="A379" s="5">
        <v>1082</v>
      </c>
      <c r="B379" s="6">
        <v>10177378</v>
      </c>
      <c r="C379" s="6">
        <f t="shared" si="5"/>
        <v>12212378</v>
      </c>
      <c r="D379" s="6">
        <v>83484.599999900005</v>
      </c>
      <c r="E379" s="2">
        <v>375</v>
      </c>
    </row>
    <row r="380" spans="1:5" x14ac:dyDescent="0.35">
      <c r="A380" s="5">
        <v>1082.5</v>
      </c>
      <c r="B380" s="6">
        <v>10219198</v>
      </c>
      <c r="C380" s="6">
        <f t="shared" si="5"/>
        <v>12254198</v>
      </c>
      <c r="D380" s="6">
        <v>83643.5</v>
      </c>
      <c r="E380" s="2">
        <v>376</v>
      </c>
    </row>
    <row r="381" spans="1:5" x14ac:dyDescent="0.35">
      <c r="A381" s="5">
        <v>1083</v>
      </c>
      <c r="B381" s="6">
        <v>10261098</v>
      </c>
      <c r="C381" s="6">
        <f t="shared" si="5"/>
        <v>12296098</v>
      </c>
      <c r="D381" s="6">
        <v>83802.400000099995</v>
      </c>
      <c r="E381" s="2">
        <v>377</v>
      </c>
    </row>
    <row r="382" spans="1:5" x14ac:dyDescent="0.35">
      <c r="A382" s="5">
        <v>1083.5</v>
      </c>
      <c r="B382" s="6">
        <v>10303098</v>
      </c>
      <c r="C382" s="6">
        <f t="shared" si="5"/>
        <v>12338098</v>
      </c>
      <c r="D382" s="6">
        <v>83961.3</v>
      </c>
      <c r="E382" s="2">
        <v>378</v>
      </c>
    </row>
    <row r="383" spans="1:5" x14ac:dyDescent="0.35">
      <c r="A383" s="5">
        <v>1084</v>
      </c>
      <c r="B383" s="6">
        <v>10345178</v>
      </c>
      <c r="C383" s="6">
        <f t="shared" si="5"/>
        <v>12380178</v>
      </c>
      <c r="D383" s="6">
        <v>84120.200000099998</v>
      </c>
      <c r="E383" s="2">
        <v>379</v>
      </c>
    </row>
    <row r="384" spans="1:5" x14ac:dyDescent="0.35">
      <c r="A384" s="5">
        <v>1084.5</v>
      </c>
      <c r="B384" s="6">
        <v>10387348</v>
      </c>
      <c r="C384" s="6">
        <f t="shared" si="5"/>
        <v>12422348</v>
      </c>
      <c r="D384" s="6">
        <v>84279.1</v>
      </c>
      <c r="E384" s="2">
        <v>380</v>
      </c>
    </row>
    <row r="385" spans="1:5" x14ac:dyDescent="0.35">
      <c r="A385" s="5">
        <v>1085</v>
      </c>
      <c r="B385" s="6">
        <v>10429608</v>
      </c>
      <c r="C385" s="6">
        <f t="shared" si="5"/>
        <v>12464608</v>
      </c>
      <c r="D385" s="6">
        <v>84438.000000100001</v>
      </c>
      <c r="E385" s="2">
        <v>381</v>
      </c>
    </row>
    <row r="386" spans="1:5" x14ac:dyDescent="0.35">
      <c r="A386" s="5">
        <v>1085.5</v>
      </c>
      <c r="B386" s="6">
        <v>10471948</v>
      </c>
      <c r="C386" s="6">
        <f t="shared" si="5"/>
        <v>12506948</v>
      </c>
      <c r="D386" s="6">
        <v>84596.9</v>
      </c>
      <c r="E386" s="2">
        <v>382</v>
      </c>
    </row>
    <row r="387" spans="1:5" x14ac:dyDescent="0.35">
      <c r="A387" s="5">
        <v>1086</v>
      </c>
      <c r="B387" s="6">
        <v>10514388</v>
      </c>
      <c r="C387" s="6">
        <f t="shared" si="5"/>
        <v>12549388</v>
      </c>
      <c r="D387" s="6">
        <v>84755.800000100004</v>
      </c>
      <c r="E387" s="2">
        <v>383</v>
      </c>
    </row>
    <row r="388" spans="1:5" x14ac:dyDescent="0.35">
      <c r="A388" s="5">
        <v>1086.5</v>
      </c>
      <c r="B388" s="6">
        <v>10556908</v>
      </c>
      <c r="C388" s="6">
        <f t="shared" si="5"/>
        <v>12591908</v>
      </c>
      <c r="D388" s="6">
        <v>84914.7</v>
      </c>
      <c r="E388" s="2">
        <v>384</v>
      </c>
    </row>
    <row r="389" spans="1:5" x14ac:dyDescent="0.35">
      <c r="A389" s="5">
        <v>1087</v>
      </c>
      <c r="B389" s="6">
        <v>10599518</v>
      </c>
      <c r="C389" s="6">
        <f t="shared" si="5"/>
        <v>12634518</v>
      </c>
      <c r="D389" s="6">
        <v>85073.600000100007</v>
      </c>
      <c r="E389" s="2">
        <v>385</v>
      </c>
    </row>
    <row r="390" spans="1:5" x14ac:dyDescent="0.35">
      <c r="A390" s="5">
        <v>1087.5</v>
      </c>
      <c r="B390" s="6">
        <v>10642218</v>
      </c>
      <c r="C390" s="6">
        <f t="shared" ref="C390:C453" si="6">B390+$C$3</f>
        <v>12677218</v>
      </c>
      <c r="D390" s="6">
        <v>85232.499999899999</v>
      </c>
      <c r="E390" s="2">
        <v>386</v>
      </c>
    </row>
    <row r="391" spans="1:5" x14ac:dyDescent="0.35">
      <c r="A391" s="5">
        <v>1088</v>
      </c>
      <c r="B391" s="6">
        <v>10684998</v>
      </c>
      <c r="C391" s="6">
        <f t="shared" si="6"/>
        <v>12719998</v>
      </c>
      <c r="D391" s="6">
        <v>85391.400000099995</v>
      </c>
      <c r="E391" s="2">
        <v>387</v>
      </c>
    </row>
    <row r="392" spans="1:5" x14ac:dyDescent="0.35">
      <c r="A392" s="5">
        <v>1088.5</v>
      </c>
      <c r="B392" s="6">
        <v>10727868</v>
      </c>
      <c r="C392" s="6">
        <f t="shared" si="6"/>
        <v>12762868</v>
      </c>
      <c r="D392" s="6">
        <v>85550.299999900002</v>
      </c>
      <c r="E392" s="2">
        <v>388</v>
      </c>
    </row>
    <row r="393" spans="1:5" x14ac:dyDescent="0.35">
      <c r="A393" s="5">
        <v>1089</v>
      </c>
      <c r="B393" s="6">
        <v>10770828</v>
      </c>
      <c r="C393" s="6">
        <f t="shared" si="6"/>
        <v>12805828</v>
      </c>
      <c r="D393" s="6">
        <v>85709.200000099998</v>
      </c>
      <c r="E393" s="2">
        <v>389</v>
      </c>
    </row>
    <row r="394" spans="1:5" x14ac:dyDescent="0.35">
      <c r="A394" s="5">
        <v>1089.5</v>
      </c>
      <c r="B394" s="6">
        <v>10813878</v>
      </c>
      <c r="C394" s="6">
        <f t="shared" si="6"/>
        <v>12848878</v>
      </c>
      <c r="D394" s="6">
        <v>85868.099999900005</v>
      </c>
      <c r="E394" s="2">
        <v>390</v>
      </c>
    </row>
    <row r="395" spans="1:5" x14ac:dyDescent="0.35">
      <c r="A395" s="5">
        <v>1090</v>
      </c>
      <c r="B395" s="6">
        <v>10857008</v>
      </c>
      <c r="C395" s="6">
        <f t="shared" si="6"/>
        <v>12892008</v>
      </c>
      <c r="D395" s="6">
        <v>86027</v>
      </c>
      <c r="E395" s="2">
        <v>391</v>
      </c>
    </row>
    <row r="396" spans="1:5" x14ac:dyDescent="0.35">
      <c r="A396" s="5">
        <v>1090.5</v>
      </c>
      <c r="B396" s="6">
        <v>10900238</v>
      </c>
      <c r="C396" s="6">
        <f t="shared" si="6"/>
        <v>12935238</v>
      </c>
      <c r="D396" s="6">
        <v>86185.899999899993</v>
      </c>
      <c r="E396" s="2">
        <v>392</v>
      </c>
    </row>
    <row r="397" spans="1:5" x14ac:dyDescent="0.35">
      <c r="A397" s="5">
        <v>1091</v>
      </c>
      <c r="B397" s="6">
        <v>10943548</v>
      </c>
      <c r="C397" s="6">
        <f t="shared" si="6"/>
        <v>12978548</v>
      </c>
      <c r="D397" s="6">
        <v>86344.8</v>
      </c>
      <c r="E397" s="2">
        <v>393</v>
      </c>
    </row>
    <row r="398" spans="1:5" x14ac:dyDescent="0.35">
      <c r="A398" s="5">
        <v>1091.5</v>
      </c>
      <c r="B398" s="6">
        <v>10986938</v>
      </c>
      <c r="C398" s="6">
        <f t="shared" si="6"/>
        <v>13021938</v>
      </c>
      <c r="D398" s="6">
        <v>86503.699999899996</v>
      </c>
      <c r="E398" s="2">
        <v>394</v>
      </c>
    </row>
    <row r="399" spans="1:5" x14ac:dyDescent="0.35">
      <c r="A399" s="5">
        <v>1092</v>
      </c>
      <c r="B399" s="6">
        <v>11030418</v>
      </c>
      <c r="C399" s="6">
        <f t="shared" si="6"/>
        <v>13065418</v>
      </c>
      <c r="D399" s="6">
        <v>86662.6</v>
      </c>
      <c r="E399" s="2">
        <v>395</v>
      </c>
    </row>
    <row r="400" spans="1:5" x14ac:dyDescent="0.35">
      <c r="A400" s="5">
        <v>1092.5</v>
      </c>
      <c r="B400" s="6">
        <v>11073988</v>
      </c>
      <c r="C400" s="6">
        <f t="shared" si="6"/>
        <v>13108988</v>
      </c>
      <c r="D400" s="6">
        <v>86821.499999899999</v>
      </c>
      <c r="E400" s="2">
        <v>396</v>
      </c>
    </row>
    <row r="401" spans="1:5" x14ac:dyDescent="0.35">
      <c r="A401" s="5">
        <v>1093</v>
      </c>
      <c r="B401" s="6">
        <v>11117638</v>
      </c>
      <c r="C401" s="6">
        <f t="shared" si="6"/>
        <v>13152638</v>
      </c>
      <c r="D401" s="6">
        <v>86980.4</v>
      </c>
      <c r="E401" s="2">
        <v>397</v>
      </c>
    </row>
    <row r="402" spans="1:5" x14ac:dyDescent="0.35">
      <c r="A402" s="5">
        <v>1093.5</v>
      </c>
      <c r="B402" s="6">
        <v>11161378</v>
      </c>
      <c r="C402" s="6">
        <f t="shared" si="6"/>
        <v>13196378</v>
      </c>
      <c r="D402" s="6">
        <v>87139.299999900002</v>
      </c>
      <c r="E402" s="2">
        <v>398</v>
      </c>
    </row>
    <row r="403" spans="1:5" x14ac:dyDescent="0.35">
      <c r="A403" s="5">
        <v>1094</v>
      </c>
      <c r="B403" s="6">
        <v>11205208</v>
      </c>
      <c r="C403" s="6">
        <f t="shared" si="6"/>
        <v>13240208</v>
      </c>
      <c r="D403" s="6">
        <v>87298.2</v>
      </c>
      <c r="E403" s="2">
        <v>399</v>
      </c>
    </row>
    <row r="404" spans="1:5" x14ac:dyDescent="0.35">
      <c r="A404" s="5">
        <v>1094.5</v>
      </c>
      <c r="B404" s="6">
        <v>11249118</v>
      </c>
      <c r="C404" s="6">
        <f t="shared" si="6"/>
        <v>13284118</v>
      </c>
      <c r="D404" s="6">
        <v>87457.099999900005</v>
      </c>
      <c r="E404" s="2">
        <v>400</v>
      </c>
    </row>
    <row r="405" spans="1:5" x14ac:dyDescent="0.35">
      <c r="A405" s="5">
        <v>1095</v>
      </c>
      <c r="B405" s="6">
        <v>11293118</v>
      </c>
      <c r="C405" s="6">
        <f t="shared" si="6"/>
        <v>13328118</v>
      </c>
      <c r="D405" s="6">
        <v>87616.062980500006</v>
      </c>
      <c r="E405" s="2">
        <v>401</v>
      </c>
    </row>
    <row r="406" spans="1:5" x14ac:dyDescent="0.35">
      <c r="A406" s="5">
        <v>1095.5</v>
      </c>
      <c r="B406" s="6">
        <v>11336955.1197</v>
      </c>
      <c r="C406" s="6">
        <f t="shared" si="6"/>
        <v>13371955.1197</v>
      </c>
      <c r="D406" s="6">
        <v>87761.053272899997</v>
      </c>
      <c r="E406" s="2">
        <v>402</v>
      </c>
    </row>
    <row r="407" spans="1:5" x14ac:dyDescent="0.35">
      <c r="A407" s="5">
        <v>1096</v>
      </c>
      <c r="B407" s="6">
        <v>11380872.807499999</v>
      </c>
      <c r="C407" s="6">
        <f t="shared" si="6"/>
        <v>13415872.807499999</v>
      </c>
      <c r="D407" s="6">
        <v>87923.729009600007</v>
      </c>
      <c r="E407" s="2">
        <v>403</v>
      </c>
    </row>
    <row r="408" spans="1:5" x14ac:dyDescent="0.35">
      <c r="A408" s="5">
        <v>1096.5</v>
      </c>
      <c r="B408" s="6">
        <v>11424872.4439</v>
      </c>
      <c r="C408" s="6">
        <f t="shared" si="6"/>
        <v>13459872.4439</v>
      </c>
      <c r="D408" s="6">
        <v>88069.740139799993</v>
      </c>
      <c r="E408" s="2">
        <v>404</v>
      </c>
    </row>
    <row r="409" spans="1:5" x14ac:dyDescent="0.35">
      <c r="A409" s="5">
        <v>1097</v>
      </c>
      <c r="B409" s="6">
        <v>11468946.247500001</v>
      </c>
      <c r="C409" s="6">
        <f t="shared" si="6"/>
        <v>13503946.247500001</v>
      </c>
      <c r="D409" s="6">
        <v>88240.769954999996</v>
      </c>
      <c r="E409" s="2">
        <v>405</v>
      </c>
    </row>
    <row r="410" spans="1:5" x14ac:dyDescent="0.35">
      <c r="A410" s="5">
        <v>1097.5</v>
      </c>
      <c r="B410" s="6">
        <v>11513107.081700001</v>
      </c>
      <c r="C410" s="6">
        <f t="shared" si="6"/>
        <v>13548107.081700001</v>
      </c>
      <c r="D410" s="6">
        <v>88399.776258600003</v>
      </c>
      <c r="E410" s="2">
        <v>406</v>
      </c>
    </row>
    <row r="411" spans="1:5" x14ac:dyDescent="0.35">
      <c r="A411" s="5">
        <v>1098</v>
      </c>
      <c r="B411" s="6">
        <v>11557346.991699999</v>
      </c>
      <c r="C411" s="6">
        <f t="shared" si="6"/>
        <v>13592346.991699999</v>
      </c>
      <c r="D411" s="6">
        <v>88574.128721999994</v>
      </c>
      <c r="E411" s="2">
        <v>407</v>
      </c>
    </row>
    <row r="412" spans="1:5" x14ac:dyDescent="0.35">
      <c r="A412" s="5">
        <v>1098.5</v>
      </c>
      <c r="B412" s="6">
        <v>11601673.657600001</v>
      </c>
      <c r="C412" s="6">
        <f t="shared" si="6"/>
        <v>13636673.657600001</v>
      </c>
      <c r="D412" s="6">
        <v>88726.568862600005</v>
      </c>
      <c r="E412" s="2">
        <v>408</v>
      </c>
    </row>
    <row r="413" spans="1:5" x14ac:dyDescent="0.35">
      <c r="A413" s="5">
        <v>1099</v>
      </c>
      <c r="B413" s="6">
        <v>11646067.2685</v>
      </c>
      <c r="C413" s="6">
        <f t="shared" si="6"/>
        <v>13681067.2685</v>
      </c>
      <c r="D413" s="6">
        <v>88904.057824899995</v>
      </c>
      <c r="E413" s="2">
        <v>409</v>
      </c>
    </row>
    <row r="414" spans="1:5" x14ac:dyDescent="0.35">
      <c r="A414" s="5">
        <v>1099.5</v>
      </c>
      <c r="B414" s="6">
        <v>11690576.885399999</v>
      </c>
      <c r="C414" s="6">
        <f t="shared" si="6"/>
        <v>13725576.885399999</v>
      </c>
      <c r="D414" s="6">
        <v>89117.533987300005</v>
      </c>
      <c r="E414" s="2">
        <v>410</v>
      </c>
    </row>
    <row r="415" spans="1:5" x14ac:dyDescent="0.35">
      <c r="A415" s="5">
        <v>1100</v>
      </c>
      <c r="B415" s="6">
        <v>11735176.051100001</v>
      </c>
      <c r="C415" s="6">
        <f t="shared" si="6"/>
        <v>13770176.051100001</v>
      </c>
      <c r="D415" s="6">
        <v>89299.865594600007</v>
      </c>
      <c r="E415" s="2">
        <v>411</v>
      </c>
    </row>
    <row r="416" spans="1:5" x14ac:dyDescent="0.35">
      <c r="A416" s="5">
        <v>1100.5</v>
      </c>
      <c r="B416" s="6">
        <v>11779866.8136</v>
      </c>
      <c r="C416" s="6">
        <f t="shared" si="6"/>
        <v>13814866.8136</v>
      </c>
      <c r="D416" s="6">
        <v>89457.946666500007</v>
      </c>
      <c r="E416" s="2">
        <v>412</v>
      </c>
    </row>
    <row r="417" spans="1:5" x14ac:dyDescent="0.35">
      <c r="A417" s="5">
        <v>1101</v>
      </c>
      <c r="B417" s="6">
        <v>11824637.101500001</v>
      </c>
      <c r="C417" s="6">
        <f t="shared" si="6"/>
        <v>13859637.101500001</v>
      </c>
      <c r="D417" s="6">
        <v>89646.317581399999</v>
      </c>
      <c r="E417" s="2">
        <v>413</v>
      </c>
    </row>
    <row r="418" spans="1:5" x14ac:dyDescent="0.35">
      <c r="A418" s="5">
        <v>1101.5</v>
      </c>
      <c r="B418" s="6">
        <v>11869502.2729</v>
      </c>
      <c r="C418" s="6">
        <f t="shared" si="6"/>
        <v>13904502.2729</v>
      </c>
      <c r="D418" s="6">
        <v>89808.464859600004</v>
      </c>
      <c r="E418" s="2">
        <v>414</v>
      </c>
    </row>
    <row r="419" spans="1:5" x14ac:dyDescent="0.35">
      <c r="A419" s="5">
        <v>1102</v>
      </c>
      <c r="B419" s="6">
        <v>11914439.127599999</v>
      </c>
      <c r="C419" s="6">
        <f t="shared" si="6"/>
        <v>13949439.127599999</v>
      </c>
      <c r="D419" s="6">
        <v>89969.500727399995</v>
      </c>
      <c r="E419" s="2">
        <v>415</v>
      </c>
    </row>
    <row r="420" spans="1:5" x14ac:dyDescent="0.35">
      <c r="A420" s="5">
        <v>1102.5</v>
      </c>
      <c r="B420" s="6">
        <v>11959478.534499999</v>
      </c>
      <c r="C420" s="6">
        <f t="shared" si="6"/>
        <v>13994478.534499999</v>
      </c>
      <c r="D420" s="6">
        <v>90157.210661000005</v>
      </c>
      <c r="E420" s="2">
        <v>416</v>
      </c>
    </row>
    <row r="421" spans="1:5" x14ac:dyDescent="0.35">
      <c r="A421" s="5">
        <v>1103</v>
      </c>
      <c r="B421" s="6">
        <v>12004602.443299999</v>
      </c>
      <c r="C421" s="6">
        <f t="shared" si="6"/>
        <v>14039602.443299999</v>
      </c>
      <c r="D421" s="6">
        <v>90358.926894899996</v>
      </c>
      <c r="E421" s="2">
        <v>417</v>
      </c>
    </row>
    <row r="422" spans="1:5" x14ac:dyDescent="0.35">
      <c r="A422" s="5">
        <v>1103.5</v>
      </c>
      <c r="B422" s="6">
        <v>12049826.630100001</v>
      </c>
      <c r="C422" s="6">
        <f t="shared" si="6"/>
        <v>14084826.630100001</v>
      </c>
      <c r="D422" s="6">
        <v>90532.379639699997</v>
      </c>
      <c r="E422" s="2">
        <v>418</v>
      </c>
    </row>
    <row r="423" spans="1:5" x14ac:dyDescent="0.35">
      <c r="A423" s="5">
        <v>1104</v>
      </c>
      <c r="B423" s="6">
        <v>12095140.259</v>
      </c>
      <c r="C423" s="6">
        <f t="shared" si="6"/>
        <v>14130140.259</v>
      </c>
      <c r="D423" s="6">
        <v>90742.850395999994</v>
      </c>
      <c r="E423" s="2">
        <v>419</v>
      </c>
    </row>
    <row r="424" spans="1:5" x14ac:dyDescent="0.35">
      <c r="A424" s="5">
        <v>1104.5</v>
      </c>
      <c r="B424" s="6">
        <v>12140560.319599999</v>
      </c>
      <c r="C424" s="6">
        <f t="shared" si="6"/>
        <v>14175560.319599999</v>
      </c>
      <c r="D424" s="6">
        <v>90940.022114899999</v>
      </c>
      <c r="E424" s="2">
        <v>420</v>
      </c>
    </row>
    <row r="425" spans="1:5" x14ac:dyDescent="0.35">
      <c r="A425" s="5">
        <v>1105</v>
      </c>
      <c r="B425" s="6">
        <v>12186069.168</v>
      </c>
      <c r="C425" s="6">
        <f t="shared" si="6"/>
        <v>14221069.168</v>
      </c>
      <c r="D425" s="6">
        <v>91125.863008300003</v>
      </c>
      <c r="E425" s="2">
        <v>421</v>
      </c>
    </row>
    <row r="426" spans="1:5" x14ac:dyDescent="0.35">
      <c r="A426" s="5">
        <v>1105.5</v>
      </c>
      <c r="B426" s="6">
        <v>12231691.055400001</v>
      </c>
      <c r="C426" s="6">
        <f t="shared" si="6"/>
        <v>14266691.055400001</v>
      </c>
      <c r="D426" s="6">
        <v>91336.5630083</v>
      </c>
      <c r="E426" s="2">
        <v>422</v>
      </c>
    </row>
    <row r="427" spans="1:5" x14ac:dyDescent="0.35">
      <c r="A427" s="5">
        <v>1106</v>
      </c>
      <c r="B427" s="6">
        <v>12277410.0627</v>
      </c>
      <c r="C427" s="6">
        <f t="shared" si="6"/>
        <v>14312410.0627</v>
      </c>
      <c r="D427" s="6">
        <v>91559.714252499994</v>
      </c>
      <c r="E427" s="2">
        <v>423</v>
      </c>
    </row>
    <row r="428" spans="1:5" x14ac:dyDescent="0.35">
      <c r="A428" s="5">
        <v>1106.5</v>
      </c>
      <c r="B428" s="6">
        <v>12323247.800799999</v>
      </c>
      <c r="C428" s="6">
        <f t="shared" si="6"/>
        <v>14358247.800799999</v>
      </c>
      <c r="D428" s="6">
        <v>91788.0772631</v>
      </c>
      <c r="E428" s="2">
        <v>424</v>
      </c>
    </row>
    <row r="429" spans="1:5" x14ac:dyDescent="0.35">
      <c r="A429" s="5">
        <v>1107</v>
      </c>
      <c r="B429" s="6">
        <v>12369192.2433</v>
      </c>
      <c r="C429" s="6">
        <f t="shared" si="6"/>
        <v>14404192.2433</v>
      </c>
      <c r="D429" s="6">
        <v>92005.5959515</v>
      </c>
      <c r="E429" s="2">
        <v>425</v>
      </c>
    </row>
    <row r="430" spans="1:5" x14ac:dyDescent="0.35">
      <c r="A430" s="5">
        <v>1107.5</v>
      </c>
      <c r="B430" s="6">
        <v>12415245.856000001</v>
      </c>
      <c r="C430" s="6">
        <f t="shared" si="6"/>
        <v>14450245.856000001</v>
      </c>
      <c r="D430" s="6">
        <v>92205.349480799996</v>
      </c>
      <c r="E430" s="2">
        <v>426</v>
      </c>
    </row>
    <row r="431" spans="1:5" x14ac:dyDescent="0.35">
      <c r="A431" s="5">
        <v>1108</v>
      </c>
      <c r="B431" s="6">
        <v>12461401.661499999</v>
      </c>
      <c r="C431" s="6">
        <f t="shared" si="6"/>
        <v>14496401.661499999</v>
      </c>
      <c r="D431" s="6">
        <v>92446.709155799996</v>
      </c>
      <c r="E431" s="2">
        <v>427</v>
      </c>
    </row>
    <row r="432" spans="1:5" x14ac:dyDescent="0.35">
      <c r="A432" s="5">
        <v>1108.5</v>
      </c>
      <c r="B432" s="6">
        <v>12507673.6086</v>
      </c>
      <c r="C432" s="6">
        <f t="shared" si="6"/>
        <v>14542673.6086</v>
      </c>
      <c r="D432" s="6">
        <v>92678.404242599994</v>
      </c>
      <c r="E432" s="2">
        <v>428</v>
      </c>
    </row>
    <row r="433" spans="1:5" x14ac:dyDescent="0.35">
      <c r="A433" s="5">
        <v>1109</v>
      </c>
      <c r="B433" s="6">
        <v>12554079.816299999</v>
      </c>
      <c r="C433" s="6">
        <f t="shared" si="6"/>
        <v>14589079.816299999</v>
      </c>
      <c r="D433" s="6">
        <v>92962.604733300002</v>
      </c>
      <c r="E433" s="2">
        <v>429</v>
      </c>
    </row>
    <row r="434" spans="1:5" x14ac:dyDescent="0.35">
      <c r="A434" s="5">
        <v>1109.5</v>
      </c>
      <c r="B434" s="6">
        <v>12600613.938300001</v>
      </c>
      <c r="C434" s="6">
        <f t="shared" si="6"/>
        <v>14635613.938300001</v>
      </c>
      <c r="D434" s="6">
        <v>93165.856599999999</v>
      </c>
      <c r="E434" s="2">
        <v>430</v>
      </c>
    </row>
    <row r="435" spans="1:5" x14ac:dyDescent="0.35">
      <c r="A435" s="5">
        <v>1110</v>
      </c>
      <c r="B435" s="6">
        <v>12647247.2783</v>
      </c>
      <c r="C435" s="6">
        <f t="shared" si="6"/>
        <v>14682247.2783</v>
      </c>
      <c r="D435" s="6">
        <v>93419.180100700003</v>
      </c>
      <c r="E435" s="2">
        <v>431</v>
      </c>
    </row>
    <row r="436" spans="1:5" x14ac:dyDescent="0.35">
      <c r="A436" s="5">
        <v>1110.5</v>
      </c>
      <c r="B436" s="6">
        <v>12694010.344699999</v>
      </c>
      <c r="C436" s="6">
        <f t="shared" si="6"/>
        <v>14729010.344699999</v>
      </c>
      <c r="D436" s="6">
        <v>93634.546067100004</v>
      </c>
      <c r="E436" s="2">
        <v>432</v>
      </c>
    </row>
    <row r="437" spans="1:5" x14ac:dyDescent="0.35">
      <c r="A437" s="5">
        <v>1111</v>
      </c>
      <c r="B437" s="6">
        <v>12740876.285800001</v>
      </c>
      <c r="C437" s="6">
        <f t="shared" si="6"/>
        <v>14775876.285800001</v>
      </c>
      <c r="D437" s="6">
        <v>93886.105813899994</v>
      </c>
      <c r="E437" s="2">
        <v>433</v>
      </c>
    </row>
    <row r="438" spans="1:5" x14ac:dyDescent="0.35">
      <c r="A438" s="5">
        <v>1111.5</v>
      </c>
      <c r="B438" s="6">
        <v>12787856.3157</v>
      </c>
      <c r="C438" s="6">
        <f t="shared" si="6"/>
        <v>14822856.3157</v>
      </c>
      <c r="D438" s="6">
        <v>94064.288130600005</v>
      </c>
      <c r="E438" s="2">
        <v>434</v>
      </c>
    </row>
    <row r="439" spans="1:5" x14ac:dyDescent="0.35">
      <c r="A439" s="5">
        <v>1112</v>
      </c>
      <c r="B439" s="6">
        <v>12834932.789000001</v>
      </c>
      <c r="C439" s="6">
        <f t="shared" si="6"/>
        <v>14869932.789000001</v>
      </c>
      <c r="D439" s="6">
        <v>94285.056626899997</v>
      </c>
      <c r="E439" s="2">
        <v>435</v>
      </c>
    </row>
    <row r="440" spans="1:5" x14ac:dyDescent="0.35">
      <c r="A440" s="5">
        <v>1112.5</v>
      </c>
      <c r="B440" s="6">
        <v>12882121.668400001</v>
      </c>
      <c r="C440" s="6">
        <f t="shared" si="6"/>
        <v>14917121.668400001</v>
      </c>
      <c r="D440" s="6">
        <v>94473.640432800006</v>
      </c>
      <c r="E440" s="2">
        <v>436</v>
      </c>
    </row>
    <row r="441" spans="1:5" x14ac:dyDescent="0.35">
      <c r="A441" s="5">
        <v>1113</v>
      </c>
      <c r="B441" s="6">
        <v>12929400.759400001</v>
      </c>
      <c r="C441" s="6">
        <f t="shared" si="6"/>
        <v>14964400.759400001</v>
      </c>
      <c r="D441" s="6">
        <v>94686.0490498</v>
      </c>
      <c r="E441" s="2">
        <v>437</v>
      </c>
    </row>
    <row r="442" spans="1:5" x14ac:dyDescent="0.35">
      <c r="A442" s="5">
        <v>1113.5</v>
      </c>
      <c r="B442" s="6">
        <v>12976786.5714</v>
      </c>
      <c r="C442" s="6">
        <f t="shared" si="6"/>
        <v>15011786.5714</v>
      </c>
      <c r="D442" s="6">
        <v>94850.912689000004</v>
      </c>
      <c r="E442" s="2">
        <v>438</v>
      </c>
    </row>
    <row r="443" spans="1:5" x14ac:dyDescent="0.35">
      <c r="A443" s="5">
        <v>1114</v>
      </c>
      <c r="B443" s="6">
        <v>13024254.897399999</v>
      </c>
      <c r="C443" s="6">
        <f t="shared" si="6"/>
        <v>15059254.897399999</v>
      </c>
      <c r="D443" s="6">
        <v>95055.888297800004</v>
      </c>
      <c r="E443" s="2">
        <v>439</v>
      </c>
    </row>
    <row r="444" spans="1:5" x14ac:dyDescent="0.35">
      <c r="A444" s="5">
        <v>1114.5</v>
      </c>
      <c r="B444" s="6">
        <v>13071819.6612</v>
      </c>
      <c r="C444" s="6">
        <f t="shared" si="6"/>
        <v>15106819.6612</v>
      </c>
      <c r="D444" s="6">
        <v>95243.583003699998</v>
      </c>
      <c r="E444" s="2">
        <v>440</v>
      </c>
    </row>
    <row r="445" spans="1:5" x14ac:dyDescent="0.35">
      <c r="A445" s="5">
        <v>1115</v>
      </c>
      <c r="B445" s="6">
        <v>13119488.208699999</v>
      </c>
      <c r="C445" s="6">
        <f t="shared" si="6"/>
        <v>15154488.208699999</v>
      </c>
      <c r="D445" s="6">
        <v>95459.938013000006</v>
      </c>
      <c r="E445" s="2">
        <v>441</v>
      </c>
    </row>
    <row r="446" spans="1:5" x14ac:dyDescent="0.35">
      <c r="A446" s="5">
        <v>1115.5</v>
      </c>
      <c r="B446" s="6">
        <v>13167265.487299999</v>
      </c>
      <c r="C446" s="6">
        <f t="shared" si="6"/>
        <v>15202265.487299999</v>
      </c>
      <c r="D446" s="6">
        <v>95643.994737100002</v>
      </c>
      <c r="E446" s="2">
        <v>442</v>
      </c>
    </row>
    <row r="447" spans="1:5" x14ac:dyDescent="0.35">
      <c r="A447" s="5">
        <v>1116</v>
      </c>
      <c r="B447" s="6">
        <v>13215135.3925</v>
      </c>
      <c r="C447" s="6">
        <f t="shared" si="6"/>
        <v>15250135.3925</v>
      </c>
      <c r="D447" s="6">
        <v>95858.778650699998</v>
      </c>
      <c r="E447" s="2">
        <v>443</v>
      </c>
    </row>
    <row r="448" spans="1:5" x14ac:dyDescent="0.35">
      <c r="A448" s="5">
        <v>1116.5</v>
      </c>
      <c r="B448" s="6">
        <v>13263113.8442</v>
      </c>
      <c r="C448" s="6">
        <f t="shared" si="6"/>
        <v>15298113.8442</v>
      </c>
      <c r="D448" s="6">
        <v>96057.271431100002</v>
      </c>
      <c r="E448" s="2">
        <v>444</v>
      </c>
    </row>
    <row r="449" spans="1:5" x14ac:dyDescent="0.35">
      <c r="A449" s="5">
        <v>1117</v>
      </c>
      <c r="B449" s="6">
        <v>13311186.671800001</v>
      </c>
      <c r="C449" s="6">
        <f t="shared" si="6"/>
        <v>15346186.671800001</v>
      </c>
      <c r="D449" s="6">
        <v>96253.025926000002</v>
      </c>
      <c r="E449" s="2">
        <v>445</v>
      </c>
    </row>
    <row r="450" spans="1:5" x14ac:dyDescent="0.35">
      <c r="A450" s="5">
        <v>1117.5</v>
      </c>
      <c r="B450" s="6">
        <v>13359355.630100001</v>
      </c>
      <c r="C450" s="6">
        <f t="shared" si="6"/>
        <v>15394355.630100001</v>
      </c>
      <c r="D450" s="6">
        <v>96415.246936900003</v>
      </c>
      <c r="E450" s="2">
        <v>446</v>
      </c>
    </row>
    <row r="451" spans="1:5" x14ac:dyDescent="0.35">
      <c r="A451" s="5">
        <v>1118</v>
      </c>
      <c r="B451" s="6">
        <v>13407594.2182</v>
      </c>
      <c r="C451" s="6">
        <f t="shared" si="6"/>
        <v>15442594.2182</v>
      </c>
      <c r="D451" s="6">
        <v>96571.050221800004</v>
      </c>
      <c r="E451" s="2">
        <v>447</v>
      </c>
    </row>
    <row r="452" spans="1:5" x14ac:dyDescent="0.35">
      <c r="A452" s="5">
        <v>1118.5</v>
      </c>
      <c r="B452" s="6">
        <v>13455931.7601</v>
      </c>
      <c r="C452" s="6">
        <f t="shared" si="6"/>
        <v>15490931.7601</v>
      </c>
      <c r="D452" s="6">
        <v>96749.281383599999</v>
      </c>
      <c r="E452" s="2">
        <v>448</v>
      </c>
    </row>
    <row r="453" spans="1:5" x14ac:dyDescent="0.35">
      <c r="A453" s="5">
        <v>1119</v>
      </c>
      <c r="B453" s="6">
        <v>13504347.202199999</v>
      </c>
      <c r="C453" s="6">
        <f t="shared" si="6"/>
        <v>15539347.202199999</v>
      </c>
      <c r="D453" s="6">
        <v>96928.449282999994</v>
      </c>
      <c r="E453" s="2">
        <v>449</v>
      </c>
    </row>
    <row r="454" spans="1:5" x14ac:dyDescent="0.35">
      <c r="A454" s="5">
        <v>1119.5</v>
      </c>
      <c r="B454" s="6">
        <v>13552852.0615</v>
      </c>
      <c r="C454" s="6">
        <f t="shared" ref="C454:C517" si="7">B454+$C$3</f>
        <v>15587852.0615</v>
      </c>
      <c r="D454" s="6">
        <v>97084.764578600007</v>
      </c>
      <c r="E454" s="2">
        <v>450</v>
      </c>
    </row>
    <row r="455" spans="1:5" x14ac:dyDescent="0.35">
      <c r="A455" s="5">
        <v>1120</v>
      </c>
      <c r="B455" s="6">
        <v>13601435.3455</v>
      </c>
      <c r="C455" s="6">
        <f t="shared" si="7"/>
        <v>15636435.3455</v>
      </c>
      <c r="D455" s="6">
        <v>97261.276808199997</v>
      </c>
      <c r="E455" s="2">
        <v>451</v>
      </c>
    </row>
    <row r="456" spans="1:5" x14ac:dyDescent="0.35">
      <c r="A456" s="5">
        <v>1120.5</v>
      </c>
      <c r="B456" s="6">
        <v>13650107.556600001</v>
      </c>
      <c r="C456" s="6">
        <f t="shared" si="7"/>
        <v>15685107.556600001</v>
      </c>
      <c r="D456" s="6">
        <v>97422.114923300003</v>
      </c>
      <c r="E456" s="2">
        <v>452</v>
      </c>
    </row>
    <row r="457" spans="1:5" x14ac:dyDescent="0.35">
      <c r="A457" s="5">
        <v>1121</v>
      </c>
      <c r="B457" s="6">
        <v>13698851.756100001</v>
      </c>
      <c r="C457" s="6">
        <f t="shared" si="7"/>
        <v>15733851.756100001</v>
      </c>
      <c r="D457" s="6">
        <v>97588.7930891</v>
      </c>
      <c r="E457" s="2">
        <v>453</v>
      </c>
    </row>
    <row r="458" spans="1:5" x14ac:dyDescent="0.35">
      <c r="A458" s="5">
        <v>1121.5</v>
      </c>
      <c r="B458" s="6">
        <v>13747698.8181</v>
      </c>
      <c r="C458" s="6">
        <f t="shared" si="7"/>
        <v>15782698.8181</v>
      </c>
      <c r="D458" s="6">
        <v>97777.972846499993</v>
      </c>
      <c r="E458" s="2">
        <v>454</v>
      </c>
    </row>
    <row r="459" spans="1:5" x14ac:dyDescent="0.35">
      <c r="A459" s="5">
        <v>1122</v>
      </c>
      <c r="B459" s="6">
        <v>13796635.7687</v>
      </c>
      <c r="C459" s="6">
        <f t="shared" si="7"/>
        <v>15831635.7687</v>
      </c>
      <c r="D459" s="6">
        <v>97983.236039299998</v>
      </c>
      <c r="E459" s="2">
        <v>455</v>
      </c>
    </row>
    <row r="460" spans="1:5" x14ac:dyDescent="0.35">
      <c r="A460" s="5">
        <v>1122.5</v>
      </c>
      <c r="B460" s="6">
        <v>13845676.006899999</v>
      </c>
      <c r="C460" s="6">
        <f t="shared" si="7"/>
        <v>15880676.006899999</v>
      </c>
      <c r="D460" s="6">
        <v>98172.408885600002</v>
      </c>
      <c r="E460" s="2">
        <v>456</v>
      </c>
    </row>
    <row r="461" spans="1:5" x14ac:dyDescent="0.35">
      <c r="A461" s="5">
        <v>1123</v>
      </c>
      <c r="B461" s="6">
        <v>13894813.1592</v>
      </c>
      <c r="C461" s="6">
        <f t="shared" si="7"/>
        <v>15929813.1592</v>
      </c>
      <c r="D461" s="6">
        <v>98389.2402955</v>
      </c>
      <c r="E461" s="2">
        <v>457</v>
      </c>
    </row>
    <row r="462" spans="1:5" x14ac:dyDescent="0.35">
      <c r="A462" s="5">
        <v>1123.5</v>
      </c>
      <c r="B462" s="6">
        <v>13944059.6885</v>
      </c>
      <c r="C462" s="6">
        <f t="shared" si="7"/>
        <v>15979059.6885</v>
      </c>
      <c r="D462" s="6">
        <v>98588.430028999996</v>
      </c>
      <c r="E462" s="2">
        <v>458</v>
      </c>
    </row>
    <row r="463" spans="1:5" x14ac:dyDescent="0.35">
      <c r="A463" s="5">
        <v>1124</v>
      </c>
      <c r="B463" s="6">
        <v>13993404.4922</v>
      </c>
      <c r="C463" s="6">
        <f t="shared" si="7"/>
        <v>16028404.4922</v>
      </c>
      <c r="D463" s="6">
        <v>98804.532014500001</v>
      </c>
      <c r="E463" s="2">
        <v>459</v>
      </c>
    </row>
    <row r="464" spans="1:5" x14ac:dyDescent="0.35">
      <c r="A464" s="5">
        <v>1124.5</v>
      </c>
      <c r="B464" s="6">
        <v>14042853.475</v>
      </c>
      <c r="C464" s="6">
        <f t="shared" si="7"/>
        <v>16077853.475</v>
      </c>
      <c r="D464" s="6">
        <v>99042.734826300002</v>
      </c>
      <c r="E464" s="2">
        <v>460</v>
      </c>
    </row>
    <row r="465" spans="1:5" x14ac:dyDescent="0.35">
      <c r="A465" s="5">
        <v>1125</v>
      </c>
      <c r="B465" s="6">
        <v>14092429.2477</v>
      </c>
      <c r="C465" s="6">
        <f t="shared" si="7"/>
        <v>16127429.2477</v>
      </c>
      <c r="D465" s="6">
        <v>99275.413635699995</v>
      </c>
      <c r="E465" s="2">
        <v>461</v>
      </c>
    </row>
    <row r="466" spans="1:5" x14ac:dyDescent="0.35">
      <c r="A466" s="5">
        <v>1125.5</v>
      </c>
      <c r="B466" s="6">
        <v>14142122.008400001</v>
      </c>
      <c r="C466" s="6">
        <f t="shared" si="7"/>
        <v>16177122.008400001</v>
      </c>
      <c r="D466" s="6">
        <v>99488.648161699995</v>
      </c>
      <c r="E466" s="2">
        <v>462</v>
      </c>
    </row>
    <row r="467" spans="1:5" x14ac:dyDescent="0.35">
      <c r="A467" s="5">
        <v>1126</v>
      </c>
      <c r="B467" s="6">
        <v>14191920.524700001</v>
      </c>
      <c r="C467" s="6">
        <f t="shared" si="7"/>
        <v>16226920.524700001</v>
      </c>
      <c r="D467" s="6">
        <v>99720.660600699994</v>
      </c>
      <c r="E467" s="2">
        <v>463</v>
      </c>
    </row>
    <row r="468" spans="1:5" x14ac:dyDescent="0.35">
      <c r="A468" s="5">
        <v>1126.5</v>
      </c>
      <c r="B468" s="6">
        <v>14241840.7448</v>
      </c>
      <c r="C468" s="6">
        <f t="shared" si="7"/>
        <v>16276840.7448</v>
      </c>
      <c r="D468" s="6">
        <v>99967.917126400003</v>
      </c>
      <c r="E468" s="2">
        <v>464</v>
      </c>
    </row>
    <row r="469" spans="1:5" x14ac:dyDescent="0.35">
      <c r="A469" s="5">
        <v>1127</v>
      </c>
      <c r="B469" s="6">
        <v>14291876.409399999</v>
      </c>
      <c r="C469" s="6">
        <f t="shared" si="7"/>
        <v>16326876.409399999</v>
      </c>
      <c r="D469" s="6">
        <v>100191.84464700001</v>
      </c>
      <c r="E469" s="2">
        <v>465</v>
      </c>
    </row>
    <row r="470" spans="1:5" x14ac:dyDescent="0.35">
      <c r="A470" s="5">
        <v>1127.5</v>
      </c>
      <c r="B470" s="6">
        <v>14342013.776000001</v>
      </c>
      <c r="C470" s="6">
        <f t="shared" si="7"/>
        <v>16377013.776000001</v>
      </c>
      <c r="D470" s="6">
        <v>100391.343458</v>
      </c>
      <c r="E470" s="2">
        <v>466</v>
      </c>
    </row>
    <row r="471" spans="1:5" x14ac:dyDescent="0.35">
      <c r="A471" s="5">
        <v>1128</v>
      </c>
      <c r="B471" s="6">
        <v>14392260.851199999</v>
      </c>
      <c r="C471" s="6">
        <f t="shared" si="7"/>
        <v>16427260.851199999</v>
      </c>
      <c r="D471" s="6">
        <v>100617.153401</v>
      </c>
      <c r="E471" s="2">
        <v>467</v>
      </c>
    </row>
    <row r="472" spans="1:5" x14ac:dyDescent="0.35">
      <c r="A472" s="5">
        <v>1128.5</v>
      </c>
      <c r="B472" s="6">
        <v>14442623.555199999</v>
      </c>
      <c r="C472" s="6">
        <f t="shared" si="7"/>
        <v>16477623.555199999</v>
      </c>
      <c r="D472" s="6">
        <v>100840.93205800001</v>
      </c>
      <c r="E472" s="2">
        <v>468</v>
      </c>
    </row>
    <row r="473" spans="1:5" x14ac:dyDescent="0.35">
      <c r="A473" s="5">
        <v>1129</v>
      </c>
      <c r="B473" s="6">
        <v>14493095.249700001</v>
      </c>
      <c r="C473" s="6">
        <f t="shared" si="7"/>
        <v>16528095.249700001</v>
      </c>
      <c r="D473" s="6">
        <v>101062.553629</v>
      </c>
      <c r="E473" s="2">
        <v>469</v>
      </c>
    </row>
    <row r="474" spans="1:5" x14ac:dyDescent="0.35">
      <c r="A474" s="5">
        <v>1129.5</v>
      </c>
      <c r="B474" s="6">
        <v>14543676.0746</v>
      </c>
      <c r="C474" s="6">
        <f t="shared" si="7"/>
        <v>16578676.0746</v>
      </c>
      <c r="D474" s="6">
        <v>101254.79573899999</v>
      </c>
      <c r="E474" s="2">
        <v>470</v>
      </c>
    </row>
    <row r="475" spans="1:5" x14ac:dyDescent="0.35">
      <c r="A475" s="5">
        <v>1130</v>
      </c>
      <c r="B475" s="6">
        <v>14594353.5141</v>
      </c>
      <c r="C475" s="6">
        <f t="shared" si="7"/>
        <v>16629353.5141</v>
      </c>
      <c r="D475" s="6">
        <v>101477.267989</v>
      </c>
      <c r="E475" s="2">
        <v>471</v>
      </c>
    </row>
    <row r="476" spans="1:5" x14ac:dyDescent="0.35">
      <c r="A476" s="5">
        <v>1130.5</v>
      </c>
      <c r="B476" s="6">
        <v>14645137.2698</v>
      </c>
      <c r="C476" s="6">
        <f t="shared" si="7"/>
        <v>16680137.2698</v>
      </c>
      <c r="D476" s="6">
        <v>101703.973143</v>
      </c>
      <c r="E476" s="2">
        <v>472</v>
      </c>
    </row>
    <row r="477" spans="1:5" x14ac:dyDescent="0.35">
      <c r="A477" s="5">
        <v>1131</v>
      </c>
      <c r="B477" s="6">
        <v>14696039.588</v>
      </c>
      <c r="C477" s="6">
        <f t="shared" si="7"/>
        <v>16731039.588</v>
      </c>
      <c r="D477" s="6">
        <v>101926.941828</v>
      </c>
      <c r="E477" s="2">
        <v>473</v>
      </c>
    </row>
    <row r="478" spans="1:5" x14ac:dyDescent="0.35">
      <c r="A478" s="5">
        <v>1131.5</v>
      </c>
      <c r="B478" s="6">
        <v>14747053.1205</v>
      </c>
      <c r="C478" s="6">
        <f t="shared" si="7"/>
        <v>16782053.120499998</v>
      </c>
      <c r="D478" s="6">
        <v>102120.59304199999</v>
      </c>
      <c r="E478" s="2">
        <v>474</v>
      </c>
    </row>
    <row r="479" spans="1:5" x14ac:dyDescent="0.35">
      <c r="A479" s="5">
        <v>1132</v>
      </c>
      <c r="B479" s="6">
        <v>14798163.2633</v>
      </c>
      <c r="C479" s="6">
        <f t="shared" si="7"/>
        <v>16833163.263300002</v>
      </c>
      <c r="D479" s="6">
        <v>102349.99333300001</v>
      </c>
      <c r="E479" s="2">
        <v>475</v>
      </c>
    </row>
    <row r="480" spans="1:5" x14ac:dyDescent="0.35">
      <c r="A480" s="5">
        <v>1132.5</v>
      </c>
      <c r="B480" s="6">
        <v>14849388.4966</v>
      </c>
      <c r="C480" s="6">
        <f t="shared" si="7"/>
        <v>16884388.496600002</v>
      </c>
      <c r="D480" s="6">
        <v>102544.430029</v>
      </c>
      <c r="E480" s="2">
        <v>476</v>
      </c>
    </row>
    <row r="481" spans="1:5" x14ac:dyDescent="0.35">
      <c r="A481" s="5">
        <v>1133</v>
      </c>
      <c r="B481" s="6">
        <v>14900711.0277</v>
      </c>
      <c r="C481" s="6">
        <f t="shared" si="7"/>
        <v>16935711.0277</v>
      </c>
      <c r="D481" s="6">
        <v>102784.16117599999</v>
      </c>
      <c r="E481" s="2">
        <v>477</v>
      </c>
    </row>
    <row r="482" spans="1:5" x14ac:dyDescent="0.35">
      <c r="A482" s="5">
        <v>1133.5</v>
      </c>
      <c r="B482" s="6">
        <v>14952154.560699999</v>
      </c>
      <c r="C482" s="6">
        <f t="shared" si="7"/>
        <v>16987154.560699999</v>
      </c>
      <c r="D482" s="6">
        <v>102983.93573500001</v>
      </c>
      <c r="E482" s="2">
        <v>478</v>
      </c>
    </row>
    <row r="483" spans="1:5" x14ac:dyDescent="0.35">
      <c r="A483" s="5">
        <v>1134</v>
      </c>
      <c r="B483" s="6">
        <v>15003688.792300001</v>
      </c>
      <c r="C483" s="6">
        <f t="shared" si="7"/>
        <v>17038688.792300001</v>
      </c>
      <c r="D483" s="6">
        <v>103188.82687999999</v>
      </c>
      <c r="E483" s="2">
        <v>479</v>
      </c>
    </row>
    <row r="484" spans="1:5" x14ac:dyDescent="0.35">
      <c r="A484" s="5">
        <v>1134.5</v>
      </c>
      <c r="B484" s="6">
        <v>15055351.329500001</v>
      </c>
      <c r="C484" s="6">
        <f t="shared" si="7"/>
        <v>17090351.329500001</v>
      </c>
      <c r="D484" s="6">
        <v>103426.221726</v>
      </c>
      <c r="E484" s="2">
        <v>480</v>
      </c>
    </row>
    <row r="485" spans="1:5" x14ac:dyDescent="0.35">
      <c r="A485" s="5">
        <v>1135</v>
      </c>
      <c r="B485" s="6">
        <v>15107118.9739</v>
      </c>
      <c r="C485" s="6">
        <f t="shared" si="7"/>
        <v>17142118.973899998</v>
      </c>
      <c r="D485" s="6">
        <v>103670.290905</v>
      </c>
      <c r="E485" s="2">
        <v>481</v>
      </c>
    </row>
    <row r="486" spans="1:5" x14ac:dyDescent="0.35">
      <c r="A486" s="5">
        <v>1135.5</v>
      </c>
      <c r="B486" s="6">
        <v>15159012.9738</v>
      </c>
      <c r="C486" s="6">
        <f t="shared" si="7"/>
        <v>17194012.9738</v>
      </c>
      <c r="D486" s="6">
        <v>104284.72633799999</v>
      </c>
      <c r="E486" s="2">
        <v>482</v>
      </c>
    </row>
    <row r="487" spans="1:5" x14ac:dyDescent="0.35">
      <c r="A487" s="5">
        <v>1136</v>
      </c>
      <c r="B487" s="6">
        <v>15211315.5726</v>
      </c>
      <c r="C487" s="6">
        <f t="shared" si="7"/>
        <v>17246315.5726</v>
      </c>
      <c r="D487" s="6">
        <v>104815.910237</v>
      </c>
      <c r="E487" s="2">
        <v>483</v>
      </c>
    </row>
    <row r="488" spans="1:5" x14ac:dyDescent="0.35">
      <c r="A488" s="5">
        <v>1136.5</v>
      </c>
      <c r="B488" s="6">
        <v>15263817.568299999</v>
      </c>
      <c r="C488" s="6">
        <f t="shared" si="7"/>
        <v>17298817.568300001</v>
      </c>
      <c r="D488" s="6">
        <v>105182.988367</v>
      </c>
      <c r="E488" s="2">
        <v>484</v>
      </c>
    </row>
    <row r="489" spans="1:5" x14ac:dyDescent="0.35">
      <c r="A489" s="5">
        <v>1137</v>
      </c>
      <c r="B489" s="6">
        <v>15316471.2952</v>
      </c>
      <c r="C489" s="6">
        <f t="shared" si="7"/>
        <v>17351471.295199998</v>
      </c>
      <c r="D489" s="6">
        <v>105460.398235</v>
      </c>
      <c r="E489" s="2">
        <v>485</v>
      </c>
    </row>
    <row r="490" spans="1:5" x14ac:dyDescent="0.35">
      <c r="A490" s="5">
        <v>1137.5</v>
      </c>
      <c r="B490" s="6">
        <v>15369288.286499999</v>
      </c>
      <c r="C490" s="6">
        <f t="shared" si="7"/>
        <v>17404288.286499999</v>
      </c>
      <c r="D490" s="6">
        <v>105757.998597</v>
      </c>
      <c r="E490" s="2">
        <v>486</v>
      </c>
    </row>
    <row r="491" spans="1:5" x14ac:dyDescent="0.35">
      <c r="A491" s="5">
        <v>1138</v>
      </c>
      <c r="B491" s="6">
        <v>15422233.171</v>
      </c>
      <c r="C491" s="6">
        <f t="shared" si="7"/>
        <v>17457233.171</v>
      </c>
      <c r="D491" s="6">
        <v>106073.211346</v>
      </c>
      <c r="E491" s="2">
        <v>487</v>
      </c>
    </row>
    <row r="492" spans="1:5" x14ac:dyDescent="0.35">
      <c r="A492" s="5">
        <v>1138.5</v>
      </c>
      <c r="B492" s="6">
        <v>15475338.099099999</v>
      </c>
      <c r="C492" s="6">
        <f t="shared" si="7"/>
        <v>17510338.099100001</v>
      </c>
      <c r="D492" s="6">
        <v>106345.387856</v>
      </c>
      <c r="E492" s="2">
        <v>488</v>
      </c>
    </row>
    <row r="493" spans="1:5" x14ac:dyDescent="0.35">
      <c r="A493" s="5">
        <v>1139</v>
      </c>
      <c r="B493" s="6">
        <v>15528574.404899999</v>
      </c>
      <c r="C493" s="6">
        <f t="shared" si="7"/>
        <v>17563574.404899999</v>
      </c>
      <c r="D493" s="6">
        <v>106649.22394</v>
      </c>
      <c r="E493" s="2">
        <v>489</v>
      </c>
    </row>
    <row r="494" spans="1:5" x14ac:dyDescent="0.35">
      <c r="A494" s="5">
        <v>1139.5</v>
      </c>
      <c r="B494" s="6">
        <v>15581958.2837</v>
      </c>
      <c r="C494" s="6">
        <f t="shared" si="7"/>
        <v>17616958.2837</v>
      </c>
      <c r="D494" s="6">
        <v>106878.598919</v>
      </c>
      <c r="E494" s="2">
        <v>490</v>
      </c>
    </row>
    <row r="495" spans="1:5" x14ac:dyDescent="0.35">
      <c r="A495" s="5">
        <v>1140</v>
      </c>
      <c r="B495" s="6">
        <v>15635449.398700001</v>
      </c>
      <c r="C495" s="6">
        <f t="shared" si="7"/>
        <v>17670449.398699999</v>
      </c>
      <c r="D495" s="6">
        <v>107119.538279</v>
      </c>
      <c r="E495" s="2">
        <v>491</v>
      </c>
    </row>
    <row r="496" spans="1:5" x14ac:dyDescent="0.35">
      <c r="A496" s="5">
        <v>1140.5</v>
      </c>
      <c r="B496" s="6">
        <v>15689102.627</v>
      </c>
      <c r="C496" s="6">
        <f t="shared" si="7"/>
        <v>17724102.627</v>
      </c>
      <c r="D496" s="6">
        <v>107440.358998</v>
      </c>
      <c r="E496" s="2">
        <v>492</v>
      </c>
    </row>
    <row r="497" spans="1:5" x14ac:dyDescent="0.35">
      <c r="A497" s="5">
        <v>1141</v>
      </c>
      <c r="B497" s="6">
        <v>15742879.3814</v>
      </c>
      <c r="C497" s="6">
        <f t="shared" si="7"/>
        <v>17777879.3814</v>
      </c>
      <c r="D497" s="6">
        <v>107706.705134</v>
      </c>
      <c r="E497" s="2">
        <v>493</v>
      </c>
    </row>
    <row r="498" spans="1:5" x14ac:dyDescent="0.35">
      <c r="A498" s="5">
        <v>1141.5</v>
      </c>
      <c r="B498" s="6">
        <v>15796788.639699999</v>
      </c>
      <c r="C498" s="6">
        <f t="shared" si="7"/>
        <v>17831788.639699999</v>
      </c>
      <c r="D498" s="6">
        <v>107924.46806</v>
      </c>
      <c r="E498" s="2">
        <v>494</v>
      </c>
    </row>
    <row r="499" spans="1:5" x14ac:dyDescent="0.35">
      <c r="A499" s="5">
        <v>1142</v>
      </c>
      <c r="B499" s="6">
        <v>15850807.860400001</v>
      </c>
      <c r="C499" s="6">
        <f t="shared" si="7"/>
        <v>17885807.860399999</v>
      </c>
      <c r="D499" s="6">
        <v>108202.970678</v>
      </c>
      <c r="E499" s="2">
        <v>495</v>
      </c>
    </row>
    <row r="500" spans="1:5" x14ac:dyDescent="0.35">
      <c r="A500" s="5">
        <v>1142.5</v>
      </c>
      <c r="B500" s="6">
        <v>15904969.400800001</v>
      </c>
      <c r="C500" s="6">
        <f t="shared" si="7"/>
        <v>17939969.400800001</v>
      </c>
      <c r="D500" s="6">
        <v>108439.693394</v>
      </c>
      <c r="E500" s="2">
        <v>496</v>
      </c>
    </row>
    <row r="501" spans="1:5" x14ac:dyDescent="0.35">
      <c r="A501" s="5">
        <v>1143</v>
      </c>
      <c r="B501" s="6">
        <v>15959245.869200001</v>
      </c>
      <c r="C501" s="6">
        <f t="shared" si="7"/>
        <v>17994245.869199999</v>
      </c>
      <c r="D501" s="6">
        <v>108713.03703799999</v>
      </c>
      <c r="E501" s="2">
        <v>497</v>
      </c>
    </row>
    <row r="502" spans="1:5" x14ac:dyDescent="0.35">
      <c r="A502" s="5">
        <v>1143.5</v>
      </c>
      <c r="B502" s="6">
        <v>16013645.587300001</v>
      </c>
      <c r="C502" s="6">
        <f t="shared" si="7"/>
        <v>18048645.587300003</v>
      </c>
      <c r="D502" s="6">
        <v>108922.239126</v>
      </c>
      <c r="E502" s="2">
        <v>498</v>
      </c>
    </row>
    <row r="503" spans="1:5" x14ac:dyDescent="0.35">
      <c r="A503" s="5">
        <v>1144</v>
      </c>
      <c r="B503" s="6">
        <v>16068161.4319</v>
      </c>
      <c r="C503" s="6">
        <f t="shared" si="7"/>
        <v>18103161.431900002</v>
      </c>
      <c r="D503" s="6">
        <v>109197.800411</v>
      </c>
      <c r="E503" s="2">
        <v>499</v>
      </c>
    </row>
    <row r="504" spans="1:5" x14ac:dyDescent="0.35">
      <c r="A504" s="5">
        <v>1144.5</v>
      </c>
      <c r="B504" s="6">
        <v>16122822.008300001</v>
      </c>
      <c r="C504" s="6">
        <f t="shared" si="7"/>
        <v>18157822.008299999</v>
      </c>
      <c r="D504" s="6">
        <v>109439.029502</v>
      </c>
      <c r="E504" s="2">
        <v>500</v>
      </c>
    </row>
    <row r="505" spans="1:5" x14ac:dyDescent="0.35">
      <c r="A505" s="5">
        <v>1145</v>
      </c>
      <c r="B505" s="6">
        <v>16177600.8697</v>
      </c>
      <c r="C505" s="6">
        <f t="shared" si="7"/>
        <v>18212600.8697</v>
      </c>
      <c r="D505" s="6">
        <v>109719.21845499999</v>
      </c>
      <c r="E505" s="2">
        <v>501</v>
      </c>
    </row>
    <row r="506" spans="1:5" x14ac:dyDescent="0.35">
      <c r="A506" s="5">
        <v>1145.5</v>
      </c>
      <c r="B506" s="6">
        <v>16232520.5802</v>
      </c>
      <c r="C506" s="6">
        <f t="shared" si="7"/>
        <v>18267520.580200002</v>
      </c>
      <c r="D506" s="6">
        <v>109952.862981</v>
      </c>
      <c r="E506" s="2">
        <v>502</v>
      </c>
    </row>
    <row r="507" spans="1:5" x14ac:dyDescent="0.35">
      <c r="A507" s="5">
        <v>1146</v>
      </c>
      <c r="B507" s="6">
        <v>16287557.66</v>
      </c>
      <c r="C507" s="6">
        <f t="shared" si="7"/>
        <v>18322557.66</v>
      </c>
      <c r="D507" s="6">
        <v>110242.033605</v>
      </c>
      <c r="E507" s="2">
        <v>503</v>
      </c>
    </row>
    <row r="508" spans="1:5" x14ac:dyDescent="0.35">
      <c r="A508" s="5">
        <v>1146.5</v>
      </c>
      <c r="B508" s="6">
        <v>16342736.1664</v>
      </c>
      <c r="C508" s="6">
        <f t="shared" si="7"/>
        <v>18377736.1664</v>
      </c>
      <c r="D508" s="6">
        <v>110505.880967</v>
      </c>
      <c r="E508" s="2">
        <v>504</v>
      </c>
    </row>
    <row r="509" spans="1:5" x14ac:dyDescent="0.35">
      <c r="A509" s="5">
        <v>1147</v>
      </c>
      <c r="B509" s="6">
        <v>16398050.2093</v>
      </c>
      <c r="C509" s="6">
        <f t="shared" si="7"/>
        <v>18433050.2093</v>
      </c>
      <c r="D509" s="6">
        <v>110789.935828</v>
      </c>
      <c r="E509" s="2">
        <v>505</v>
      </c>
    </row>
    <row r="510" spans="1:5" x14ac:dyDescent="0.35">
      <c r="A510" s="5">
        <v>1147.5</v>
      </c>
      <c r="B510" s="6">
        <v>16453505.4476</v>
      </c>
      <c r="C510" s="6">
        <f t="shared" si="7"/>
        <v>18488505.4476</v>
      </c>
      <c r="D510" s="6">
        <v>111023.090087</v>
      </c>
      <c r="E510" s="2">
        <v>506</v>
      </c>
    </row>
    <row r="511" spans="1:5" x14ac:dyDescent="0.35">
      <c r="A511" s="5">
        <v>1148</v>
      </c>
      <c r="B511" s="6">
        <v>16509077.2315</v>
      </c>
      <c r="C511" s="6">
        <f t="shared" si="7"/>
        <v>18544077.2315</v>
      </c>
      <c r="D511" s="6">
        <v>111305.98201399999</v>
      </c>
      <c r="E511" s="2">
        <v>507</v>
      </c>
    </row>
    <row r="512" spans="1:5" x14ac:dyDescent="0.35">
      <c r="A512" s="5">
        <v>1148.5</v>
      </c>
      <c r="B512" s="6">
        <v>16564795.915999999</v>
      </c>
      <c r="C512" s="6">
        <f t="shared" si="7"/>
        <v>18599795.916000001</v>
      </c>
      <c r="D512" s="6">
        <v>111557.380729</v>
      </c>
      <c r="E512" s="2">
        <v>508</v>
      </c>
    </row>
    <row r="513" spans="1:5" x14ac:dyDescent="0.35">
      <c r="A513" s="5">
        <v>1149</v>
      </c>
      <c r="B513" s="6">
        <v>16620634.951099999</v>
      </c>
      <c r="C513" s="6">
        <f t="shared" si="7"/>
        <v>18655634.951099999</v>
      </c>
      <c r="D513" s="6">
        <v>111838.762519</v>
      </c>
      <c r="E513" s="2">
        <v>509</v>
      </c>
    </row>
    <row r="514" spans="1:5" x14ac:dyDescent="0.35">
      <c r="A514" s="5">
        <v>1149.5</v>
      </c>
      <c r="B514" s="6">
        <v>16676615.5473</v>
      </c>
      <c r="C514" s="6">
        <f t="shared" si="7"/>
        <v>18711615.5473</v>
      </c>
      <c r="D514" s="6">
        <v>112076.574224</v>
      </c>
      <c r="E514" s="2">
        <v>510</v>
      </c>
    </row>
    <row r="515" spans="1:5" x14ac:dyDescent="0.35">
      <c r="A515" s="5">
        <v>1150</v>
      </c>
      <c r="B515" s="6">
        <v>16732705.187899999</v>
      </c>
      <c r="C515" s="6">
        <f t="shared" si="7"/>
        <v>18767705.187899999</v>
      </c>
      <c r="D515" s="6">
        <v>112323.061057</v>
      </c>
      <c r="E515" s="2">
        <v>511</v>
      </c>
    </row>
    <row r="516" spans="1:5" x14ac:dyDescent="0.35">
      <c r="A516" s="5">
        <v>1150.5</v>
      </c>
      <c r="B516" s="6">
        <v>16788954.337099999</v>
      </c>
      <c r="C516" s="6">
        <f t="shared" si="7"/>
        <v>18823954.337099999</v>
      </c>
      <c r="D516" s="6">
        <v>112626.388706</v>
      </c>
      <c r="E516" s="2">
        <v>512</v>
      </c>
    </row>
    <row r="517" spans="1:5" x14ac:dyDescent="0.35">
      <c r="A517" s="5">
        <v>1151</v>
      </c>
      <c r="B517" s="6">
        <v>16845331.890900001</v>
      </c>
      <c r="C517" s="6">
        <f t="shared" si="7"/>
        <v>18880331.890900001</v>
      </c>
      <c r="D517" s="6">
        <v>112916.817767</v>
      </c>
      <c r="E517" s="2">
        <v>513</v>
      </c>
    </row>
    <row r="518" spans="1:5" x14ac:dyDescent="0.35">
      <c r="A518" s="5">
        <v>1151.5</v>
      </c>
      <c r="B518" s="6">
        <v>16901855.936000001</v>
      </c>
      <c r="C518" s="6">
        <f t="shared" ref="C518:C581" si="8">B518+$C$3</f>
        <v>18936855.936000001</v>
      </c>
      <c r="D518" s="6">
        <v>113194.370027</v>
      </c>
      <c r="E518" s="2">
        <v>514</v>
      </c>
    </row>
    <row r="519" spans="1:5" x14ac:dyDescent="0.35">
      <c r="A519" s="5">
        <v>1152</v>
      </c>
      <c r="B519" s="6">
        <v>16958547.835000001</v>
      </c>
      <c r="C519" s="6">
        <f t="shared" si="8"/>
        <v>18993547.835000001</v>
      </c>
      <c r="D519" s="6">
        <v>113557.451682</v>
      </c>
      <c r="E519" s="2">
        <v>515</v>
      </c>
    </row>
    <row r="520" spans="1:5" x14ac:dyDescent="0.35">
      <c r="A520" s="5">
        <v>1152.5</v>
      </c>
      <c r="B520" s="6">
        <v>17015394.7454</v>
      </c>
      <c r="C520" s="6">
        <f t="shared" si="8"/>
        <v>19050394.7454</v>
      </c>
      <c r="D520" s="6">
        <v>113820.31935600001</v>
      </c>
      <c r="E520" s="2">
        <v>516</v>
      </c>
    </row>
    <row r="521" spans="1:5" x14ac:dyDescent="0.35">
      <c r="A521" s="5">
        <v>1153</v>
      </c>
      <c r="B521" s="6">
        <v>17072358.413199998</v>
      </c>
      <c r="C521" s="6">
        <f t="shared" si="8"/>
        <v>19107358.413199998</v>
      </c>
      <c r="D521" s="6">
        <v>114072.098205</v>
      </c>
      <c r="E521" s="2">
        <v>517</v>
      </c>
    </row>
    <row r="522" spans="1:5" x14ac:dyDescent="0.35">
      <c r="A522" s="5">
        <v>1153.5</v>
      </c>
      <c r="B522" s="6">
        <v>17129472.741700001</v>
      </c>
      <c r="C522" s="6">
        <f t="shared" si="8"/>
        <v>19164472.741700001</v>
      </c>
      <c r="D522" s="6">
        <v>114344.89046900001</v>
      </c>
      <c r="E522" s="2">
        <v>518</v>
      </c>
    </row>
    <row r="523" spans="1:5" x14ac:dyDescent="0.35">
      <c r="A523" s="5">
        <v>1154</v>
      </c>
      <c r="B523" s="6">
        <v>17186706.5317</v>
      </c>
      <c r="C523" s="6">
        <f t="shared" si="8"/>
        <v>19221706.5317</v>
      </c>
      <c r="D523" s="6">
        <v>114616.37527800001</v>
      </c>
      <c r="E523" s="2">
        <v>519</v>
      </c>
    </row>
    <row r="524" spans="1:5" x14ac:dyDescent="0.35">
      <c r="A524" s="5">
        <v>1154.5</v>
      </c>
      <c r="B524" s="6">
        <v>17244078.8737</v>
      </c>
      <c r="C524" s="6">
        <f t="shared" si="8"/>
        <v>19279078.8737</v>
      </c>
      <c r="D524" s="6">
        <v>114873.169855</v>
      </c>
      <c r="E524" s="2">
        <v>520</v>
      </c>
    </row>
    <row r="525" spans="1:5" x14ac:dyDescent="0.35">
      <c r="A525" s="5">
        <v>1155</v>
      </c>
      <c r="B525" s="6">
        <v>17301581.601100001</v>
      </c>
      <c r="C525" s="6">
        <f t="shared" si="8"/>
        <v>19336581.601100001</v>
      </c>
      <c r="D525" s="6">
        <v>115153.16231699999</v>
      </c>
      <c r="E525" s="2">
        <v>521</v>
      </c>
    </row>
    <row r="526" spans="1:5" x14ac:dyDescent="0.35">
      <c r="A526" s="5">
        <v>1155.5</v>
      </c>
      <c r="B526" s="6">
        <v>17359218.671500001</v>
      </c>
      <c r="C526" s="6">
        <f t="shared" si="8"/>
        <v>19394218.671500001</v>
      </c>
      <c r="D526" s="6">
        <v>115387.190214</v>
      </c>
      <c r="E526" s="2">
        <v>522</v>
      </c>
    </row>
    <row r="527" spans="1:5" x14ac:dyDescent="0.35">
      <c r="A527" s="5">
        <v>1156</v>
      </c>
      <c r="B527" s="6">
        <v>17416961.400400002</v>
      </c>
      <c r="C527" s="6">
        <f t="shared" si="8"/>
        <v>19451961.400400002</v>
      </c>
      <c r="D527" s="6">
        <v>115624.363371</v>
      </c>
      <c r="E527" s="2">
        <v>523</v>
      </c>
    </row>
    <row r="528" spans="1:5" x14ac:dyDescent="0.35">
      <c r="A528" s="5">
        <v>1156.5</v>
      </c>
      <c r="B528" s="6">
        <v>17474858.093600001</v>
      </c>
      <c r="C528" s="6">
        <f t="shared" si="8"/>
        <v>19509858.093600001</v>
      </c>
      <c r="D528" s="6">
        <v>115912.138903</v>
      </c>
      <c r="E528" s="2">
        <v>524</v>
      </c>
    </row>
    <row r="529" spans="1:5" x14ac:dyDescent="0.35">
      <c r="A529" s="5">
        <v>1157</v>
      </c>
      <c r="B529" s="6">
        <v>17532876.9881</v>
      </c>
      <c r="C529" s="6">
        <f t="shared" si="8"/>
        <v>19567876.9881</v>
      </c>
      <c r="D529" s="6">
        <v>116204.792031</v>
      </c>
      <c r="E529" s="2">
        <v>525</v>
      </c>
    </row>
    <row r="530" spans="1:5" x14ac:dyDescent="0.35">
      <c r="A530" s="5">
        <v>1157.5</v>
      </c>
      <c r="B530" s="6">
        <v>17591045.054099999</v>
      </c>
      <c r="C530" s="6">
        <f t="shared" si="8"/>
        <v>19626045.054099999</v>
      </c>
      <c r="D530" s="6">
        <v>116466.08469800001</v>
      </c>
      <c r="E530" s="2">
        <v>526</v>
      </c>
    </row>
    <row r="531" spans="1:5" x14ac:dyDescent="0.35">
      <c r="A531" s="5">
        <v>1158</v>
      </c>
      <c r="B531" s="6">
        <v>17649368.798999999</v>
      </c>
      <c r="C531" s="6">
        <f t="shared" si="8"/>
        <v>19684368.798999999</v>
      </c>
      <c r="D531" s="6">
        <v>116849.036052</v>
      </c>
      <c r="E531" s="2">
        <v>527</v>
      </c>
    </row>
    <row r="532" spans="1:5" x14ac:dyDescent="0.35">
      <c r="A532" s="5">
        <v>1158.5</v>
      </c>
      <c r="B532" s="6">
        <v>17707859.773699999</v>
      </c>
      <c r="C532" s="6">
        <f t="shared" si="8"/>
        <v>19742859.773699999</v>
      </c>
      <c r="D532" s="6">
        <v>117105.458411</v>
      </c>
      <c r="E532" s="2">
        <v>528</v>
      </c>
    </row>
    <row r="533" spans="1:5" x14ac:dyDescent="0.35">
      <c r="A533" s="5">
        <v>1159</v>
      </c>
      <c r="B533" s="6">
        <v>17766478.315499999</v>
      </c>
      <c r="C533" s="6">
        <f t="shared" si="8"/>
        <v>19801478.315499999</v>
      </c>
      <c r="D533" s="6">
        <v>117410.21838200001</v>
      </c>
      <c r="E533" s="2">
        <v>529</v>
      </c>
    </row>
    <row r="534" spans="1:5" x14ac:dyDescent="0.35">
      <c r="A534" s="5">
        <v>1159.5</v>
      </c>
      <c r="B534" s="6">
        <v>17825242.887699999</v>
      </c>
      <c r="C534" s="6">
        <f t="shared" si="8"/>
        <v>19860242.887699999</v>
      </c>
      <c r="D534" s="6">
        <v>117683.37018300001</v>
      </c>
      <c r="E534" s="2">
        <v>530</v>
      </c>
    </row>
    <row r="535" spans="1:5" x14ac:dyDescent="0.35">
      <c r="A535" s="5">
        <v>1160</v>
      </c>
      <c r="B535" s="6">
        <v>17884154.129500002</v>
      </c>
      <c r="C535" s="6">
        <f t="shared" si="8"/>
        <v>19919154.129500002</v>
      </c>
      <c r="D535" s="6">
        <v>117993.74399</v>
      </c>
      <c r="E535" s="2">
        <v>531</v>
      </c>
    </row>
    <row r="536" spans="1:5" x14ac:dyDescent="0.35">
      <c r="A536" s="5">
        <v>1160.5</v>
      </c>
      <c r="B536" s="6">
        <v>17943222.914500002</v>
      </c>
      <c r="C536" s="6">
        <f t="shared" si="8"/>
        <v>19978222.914500002</v>
      </c>
      <c r="D536" s="6">
        <v>118275.071603</v>
      </c>
      <c r="E536" s="2">
        <v>532</v>
      </c>
    </row>
    <row r="537" spans="1:5" x14ac:dyDescent="0.35">
      <c r="A537" s="5">
        <v>1161</v>
      </c>
      <c r="B537" s="6">
        <v>18002431.845800001</v>
      </c>
      <c r="C537" s="6">
        <f t="shared" si="8"/>
        <v>20037431.845800001</v>
      </c>
      <c r="D537" s="6">
        <v>118592.58556000001</v>
      </c>
      <c r="E537" s="2">
        <v>533</v>
      </c>
    </row>
    <row r="538" spans="1:5" x14ac:dyDescent="0.35">
      <c r="A538" s="5">
        <v>1161.5</v>
      </c>
      <c r="B538" s="6">
        <v>18061799.8462</v>
      </c>
      <c r="C538" s="6">
        <f t="shared" si="8"/>
        <v>20096799.8462</v>
      </c>
      <c r="D538" s="6">
        <v>118870.49462899999</v>
      </c>
      <c r="E538" s="2">
        <v>534</v>
      </c>
    </row>
    <row r="539" spans="1:5" x14ac:dyDescent="0.35">
      <c r="A539" s="5">
        <v>1162</v>
      </c>
      <c r="B539" s="6">
        <v>18121306.956900001</v>
      </c>
      <c r="C539" s="6">
        <f t="shared" si="8"/>
        <v>20156306.956900001</v>
      </c>
      <c r="D539" s="6">
        <v>119191.525198</v>
      </c>
      <c r="E539" s="2">
        <v>535</v>
      </c>
    </row>
    <row r="540" spans="1:5" x14ac:dyDescent="0.35">
      <c r="A540" s="5">
        <v>1162.5</v>
      </c>
      <c r="B540" s="6">
        <v>18180962.6822</v>
      </c>
      <c r="C540" s="6">
        <f t="shared" si="8"/>
        <v>20215962.6822</v>
      </c>
      <c r="D540" s="6">
        <v>119472.058569</v>
      </c>
      <c r="E540" s="2">
        <v>536</v>
      </c>
    </row>
    <row r="541" spans="1:5" x14ac:dyDescent="0.35">
      <c r="A541" s="5">
        <v>1163</v>
      </c>
      <c r="B541" s="6">
        <v>18240770.931000002</v>
      </c>
      <c r="C541" s="6">
        <f t="shared" si="8"/>
        <v>20275770.931000002</v>
      </c>
      <c r="D541" s="6">
        <v>119795.113163</v>
      </c>
      <c r="E541" s="2">
        <v>537</v>
      </c>
    </row>
    <row r="542" spans="1:5" x14ac:dyDescent="0.35">
      <c r="A542" s="5">
        <v>1163.5</v>
      </c>
      <c r="B542" s="6">
        <v>18300740.141600002</v>
      </c>
      <c r="C542" s="6">
        <f t="shared" si="8"/>
        <v>20335740.141600002</v>
      </c>
      <c r="D542" s="6">
        <v>120072.55273</v>
      </c>
      <c r="E542" s="2">
        <v>538</v>
      </c>
    </row>
    <row r="543" spans="1:5" x14ac:dyDescent="0.35">
      <c r="A543" s="5">
        <v>1164</v>
      </c>
      <c r="B543" s="6">
        <v>18360848.994399998</v>
      </c>
      <c r="C543" s="6">
        <f t="shared" si="8"/>
        <v>20395848.994399998</v>
      </c>
      <c r="D543" s="6">
        <v>120422.264786</v>
      </c>
      <c r="E543" s="2">
        <v>539</v>
      </c>
    </row>
    <row r="544" spans="1:5" x14ac:dyDescent="0.35">
      <c r="A544" s="5">
        <v>1164.5</v>
      </c>
      <c r="B544" s="6">
        <v>18421137.7005</v>
      </c>
      <c r="C544" s="6">
        <f t="shared" si="8"/>
        <v>20456137.7005</v>
      </c>
      <c r="D544" s="6">
        <v>120716.517697</v>
      </c>
      <c r="E544" s="2">
        <v>540</v>
      </c>
    </row>
    <row r="545" spans="1:5" x14ac:dyDescent="0.35">
      <c r="A545" s="5">
        <v>1165</v>
      </c>
      <c r="B545" s="6">
        <v>18481577.945099998</v>
      </c>
      <c r="C545" s="6">
        <f t="shared" si="8"/>
        <v>20516577.945099998</v>
      </c>
      <c r="D545" s="6">
        <v>121098.954457</v>
      </c>
      <c r="E545" s="2">
        <v>541</v>
      </c>
    </row>
    <row r="546" spans="1:5" x14ac:dyDescent="0.35">
      <c r="A546" s="5">
        <v>1165.5</v>
      </c>
      <c r="B546" s="6">
        <v>18542191.956799999</v>
      </c>
      <c r="C546" s="6">
        <f t="shared" si="8"/>
        <v>20577191.956799999</v>
      </c>
      <c r="D546" s="6">
        <v>121398.15025000001</v>
      </c>
      <c r="E546" s="2">
        <v>542</v>
      </c>
    </row>
    <row r="547" spans="1:5" x14ac:dyDescent="0.35">
      <c r="A547" s="5">
        <v>1166</v>
      </c>
      <c r="B547" s="6">
        <v>18602971.719900001</v>
      </c>
      <c r="C547" s="6">
        <f t="shared" si="8"/>
        <v>20637971.719900001</v>
      </c>
      <c r="D547" s="6">
        <v>121792.767756</v>
      </c>
      <c r="E547" s="2">
        <v>543</v>
      </c>
    </row>
    <row r="548" spans="1:5" x14ac:dyDescent="0.35">
      <c r="A548" s="5">
        <v>1166.5</v>
      </c>
      <c r="B548" s="6">
        <v>18663947.105799999</v>
      </c>
      <c r="C548" s="6">
        <f t="shared" si="8"/>
        <v>20698947.105799999</v>
      </c>
      <c r="D548" s="6">
        <v>122102.448561</v>
      </c>
      <c r="E548" s="2">
        <v>544</v>
      </c>
    </row>
    <row r="549" spans="1:5" x14ac:dyDescent="0.35">
      <c r="A549" s="5">
        <v>1167</v>
      </c>
      <c r="B549" s="6">
        <v>18725078.323600002</v>
      </c>
      <c r="C549" s="6">
        <f t="shared" si="8"/>
        <v>20760078.323600002</v>
      </c>
      <c r="D549" s="6">
        <v>122473.7162</v>
      </c>
      <c r="E549" s="2">
        <v>545</v>
      </c>
    </row>
    <row r="550" spans="1:5" x14ac:dyDescent="0.35">
      <c r="A550" s="5">
        <v>1167.5</v>
      </c>
      <c r="B550" s="6">
        <v>18786395.090300001</v>
      </c>
      <c r="C550" s="6">
        <f t="shared" si="8"/>
        <v>20821395.090300001</v>
      </c>
      <c r="D550" s="6">
        <v>122787.17680099999</v>
      </c>
      <c r="E550" s="2">
        <v>546</v>
      </c>
    </row>
    <row r="551" spans="1:5" x14ac:dyDescent="0.35">
      <c r="A551" s="5">
        <v>1168</v>
      </c>
      <c r="B551" s="6">
        <v>18847874.487199999</v>
      </c>
      <c r="C551" s="6">
        <f t="shared" si="8"/>
        <v>20882874.487199999</v>
      </c>
      <c r="D551" s="6">
        <v>123167.88604899999</v>
      </c>
      <c r="E551" s="2">
        <v>547</v>
      </c>
    </row>
    <row r="552" spans="1:5" x14ac:dyDescent="0.35">
      <c r="A552" s="5">
        <v>1168.5</v>
      </c>
      <c r="B552" s="6">
        <v>18909540.416200001</v>
      </c>
      <c r="C552" s="6">
        <f t="shared" si="8"/>
        <v>20944540.416200001</v>
      </c>
      <c r="D552" s="6">
        <v>123492.05166300001</v>
      </c>
      <c r="E552" s="2">
        <v>548</v>
      </c>
    </row>
    <row r="553" spans="1:5" x14ac:dyDescent="0.35">
      <c r="A553" s="5">
        <v>1169</v>
      </c>
      <c r="B553" s="6">
        <v>18971359.9056</v>
      </c>
      <c r="C553" s="6">
        <f t="shared" si="8"/>
        <v>21006359.9056</v>
      </c>
      <c r="D553" s="6">
        <v>123829.42245100001</v>
      </c>
      <c r="E553" s="2">
        <v>549</v>
      </c>
    </row>
    <row r="554" spans="1:5" x14ac:dyDescent="0.35">
      <c r="A554" s="5">
        <v>1169.5</v>
      </c>
      <c r="B554" s="6">
        <v>19033395.601599999</v>
      </c>
      <c r="C554" s="6">
        <f t="shared" si="8"/>
        <v>21068395.601599999</v>
      </c>
      <c r="D554" s="6">
        <v>124275.484063</v>
      </c>
      <c r="E554" s="2">
        <v>550</v>
      </c>
    </row>
    <row r="555" spans="1:5" x14ac:dyDescent="0.35">
      <c r="A555" s="5">
        <v>1170</v>
      </c>
      <c r="B555" s="6">
        <v>19095622.029899999</v>
      </c>
      <c r="C555" s="6">
        <f t="shared" si="8"/>
        <v>21130622.029899999</v>
      </c>
      <c r="D555" s="6">
        <v>124673.046974</v>
      </c>
      <c r="E555" s="2">
        <v>551</v>
      </c>
    </row>
    <row r="556" spans="1:5" x14ac:dyDescent="0.35">
      <c r="A556" s="5">
        <v>1170.5</v>
      </c>
      <c r="B556" s="6">
        <v>19158042.7236</v>
      </c>
      <c r="C556" s="6">
        <f t="shared" si="8"/>
        <v>21193042.7236</v>
      </c>
      <c r="D556" s="6">
        <v>125002.385113</v>
      </c>
      <c r="E556" s="2">
        <v>552</v>
      </c>
    </row>
    <row r="557" spans="1:5" x14ac:dyDescent="0.35">
      <c r="A557" s="5">
        <v>1171</v>
      </c>
      <c r="B557" s="6">
        <v>19220628.809900001</v>
      </c>
      <c r="C557" s="6">
        <f t="shared" si="8"/>
        <v>21255628.809900001</v>
      </c>
      <c r="D557" s="6">
        <v>125393.59398400001</v>
      </c>
      <c r="E557" s="2">
        <v>553</v>
      </c>
    </row>
    <row r="558" spans="1:5" x14ac:dyDescent="0.35">
      <c r="A558" s="5">
        <v>1171.5</v>
      </c>
      <c r="B558" s="6">
        <v>19283415.179699998</v>
      </c>
      <c r="C558" s="6">
        <f t="shared" si="8"/>
        <v>21318415.179699998</v>
      </c>
      <c r="D558" s="6">
        <v>125752.76811200001</v>
      </c>
      <c r="E558" s="2">
        <v>554</v>
      </c>
    </row>
    <row r="559" spans="1:5" x14ac:dyDescent="0.35">
      <c r="A559" s="5">
        <v>1172</v>
      </c>
      <c r="B559" s="6">
        <v>19346370.1734</v>
      </c>
      <c r="C559" s="6">
        <f t="shared" si="8"/>
        <v>21381370.1734</v>
      </c>
      <c r="D559" s="6">
        <v>126109.248934</v>
      </c>
      <c r="E559" s="2">
        <v>555</v>
      </c>
    </row>
    <row r="560" spans="1:5" x14ac:dyDescent="0.35">
      <c r="A560" s="5">
        <v>1172.5</v>
      </c>
      <c r="B560" s="6">
        <v>19409537.088100001</v>
      </c>
      <c r="C560" s="6">
        <f t="shared" si="8"/>
        <v>21444537.088100001</v>
      </c>
      <c r="D560" s="6">
        <v>126506.68507199999</v>
      </c>
      <c r="E560" s="2">
        <v>556</v>
      </c>
    </row>
    <row r="561" spans="1:5" x14ac:dyDescent="0.35">
      <c r="A561" s="5">
        <v>1173</v>
      </c>
      <c r="B561" s="6">
        <v>19472881.442699999</v>
      </c>
      <c r="C561" s="6">
        <f t="shared" si="8"/>
        <v>21507881.442699999</v>
      </c>
      <c r="D561" s="6">
        <v>126903.452099</v>
      </c>
      <c r="E561" s="2">
        <v>557</v>
      </c>
    </row>
    <row r="562" spans="1:5" x14ac:dyDescent="0.35">
      <c r="A562" s="5">
        <v>1173.5</v>
      </c>
      <c r="B562" s="6">
        <v>19536423.464000002</v>
      </c>
      <c r="C562" s="6">
        <f t="shared" si="8"/>
        <v>21571423.464000002</v>
      </c>
      <c r="D562" s="6">
        <v>127257.66207799999</v>
      </c>
      <c r="E562" s="2">
        <v>558</v>
      </c>
    </row>
    <row r="563" spans="1:5" x14ac:dyDescent="0.35">
      <c r="A563" s="5">
        <v>1174</v>
      </c>
      <c r="B563" s="6">
        <v>19600143.501499999</v>
      </c>
      <c r="C563" s="6">
        <f t="shared" si="8"/>
        <v>21635143.501499999</v>
      </c>
      <c r="D563" s="6">
        <v>127655.083703</v>
      </c>
      <c r="E563" s="2">
        <v>559</v>
      </c>
    </row>
    <row r="564" spans="1:5" x14ac:dyDescent="0.35">
      <c r="A564" s="5">
        <v>1174.5</v>
      </c>
      <c r="B564" s="6">
        <v>19664064.9881</v>
      </c>
      <c r="C564" s="6">
        <f t="shared" si="8"/>
        <v>21699064.9881</v>
      </c>
      <c r="D564" s="6">
        <v>128031.32511600001</v>
      </c>
      <c r="E564" s="2">
        <v>560</v>
      </c>
    </row>
    <row r="565" spans="1:5" x14ac:dyDescent="0.35">
      <c r="A565" s="5">
        <v>1175</v>
      </c>
      <c r="B565" s="6">
        <v>19728171.063000001</v>
      </c>
      <c r="C565" s="6">
        <f t="shared" si="8"/>
        <v>21763171.063000001</v>
      </c>
      <c r="D565" s="6">
        <v>128425.96666999999</v>
      </c>
      <c r="E565" s="2">
        <v>561</v>
      </c>
    </row>
    <row r="566" spans="1:5" x14ac:dyDescent="0.35">
      <c r="A566" s="5">
        <v>1175.5</v>
      </c>
      <c r="B566" s="6">
        <v>19792458.720100001</v>
      </c>
      <c r="C566" s="6">
        <f t="shared" si="8"/>
        <v>21827458.720100001</v>
      </c>
      <c r="D566" s="6">
        <v>128767.179817</v>
      </c>
      <c r="E566" s="2">
        <v>562</v>
      </c>
    </row>
    <row r="567" spans="1:5" x14ac:dyDescent="0.35">
      <c r="A567" s="5">
        <v>1176</v>
      </c>
      <c r="B567" s="6">
        <v>19856928.153200001</v>
      </c>
      <c r="C567" s="6">
        <f t="shared" si="8"/>
        <v>21891928.153200001</v>
      </c>
      <c r="D567" s="6">
        <v>129147.38808</v>
      </c>
      <c r="E567" s="2">
        <v>563</v>
      </c>
    </row>
    <row r="568" spans="1:5" x14ac:dyDescent="0.35">
      <c r="A568" s="5">
        <v>1176.5</v>
      </c>
      <c r="B568" s="6">
        <v>19921586.787099998</v>
      </c>
      <c r="C568" s="6">
        <f t="shared" si="8"/>
        <v>21956586.787099998</v>
      </c>
      <c r="D568" s="6">
        <v>129478.171116</v>
      </c>
      <c r="E568" s="2">
        <v>564</v>
      </c>
    </row>
    <row r="569" spans="1:5" x14ac:dyDescent="0.35">
      <c r="A569" s="5">
        <v>1177</v>
      </c>
      <c r="B569" s="6">
        <v>19986408.4531</v>
      </c>
      <c r="C569" s="6">
        <f t="shared" si="8"/>
        <v>22021408.4531</v>
      </c>
      <c r="D569" s="6">
        <v>129833.92337600001</v>
      </c>
      <c r="E569" s="2">
        <v>565</v>
      </c>
    </row>
    <row r="570" spans="1:5" x14ac:dyDescent="0.35">
      <c r="A570" s="5">
        <v>1177.5</v>
      </c>
      <c r="B570" s="6">
        <v>20051404.169799998</v>
      </c>
      <c r="C570" s="6">
        <f t="shared" si="8"/>
        <v>22086404.169799998</v>
      </c>
      <c r="D570" s="6">
        <v>130139.88281</v>
      </c>
      <c r="E570" s="2">
        <v>566</v>
      </c>
    </row>
    <row r="571" spans="1:5" x14ac:dyDescent="0.35">
      <c r="A571" s="5">
        <v>1178</v>
      </c>
      <c r="B571" s="6">
        <v>20116552.044399999</v>
      </c>
      <c r="C571" s="6">
        <f t="shared" si="8"/>
        <v>22151552.044399999</v>
      </c>
      <c r="D571" s="6">
        <v>130489.589272</v>
      </c>
      <c r="E571" s="2">
        <v>567</v>
      </c>
    </row>
    <row r="572" spans="1:5" x14ac:dyDescent="0.35">
      <c r="A572" s="5">
        <v>1178.5</v>
      </c>
      <c r="B572" s="6">
        <v>20181862.099199999</v>
      </c>
      <c r="C572" s="6">
        <f t="shared" si="8"/>
        <v>22216862.099199999</v>
      </c>
      <c r="D572" s="6">
        <v>130795.107789</v>
      </c>
      <c r="E572" s="2">
        <v>568</v>
      </c>
    </row>
    <row r="573" spans="1:5" x14ac:dyDescent="0.35">
      <c r="A573" s="5">
        <v>1179</v>
      </c>
      <c r="B573" s="6">
        <v>20247345.6039</v>
      </c>
      <c r="C573" s="6">
        <f t="shared" si="8"/>
        <v>22282345.6039</v>
      </c>
      <c r="D573" s="6">
        <v>131158.29837599999</v>
      </c>
      <c r="E573" s="2">
        <v>569</v>
      </c>
    </row>
    <row r="574" spans="1:5" x14ac:dyDescent="0.35">
      <c r="A574" s="5">
        <v>1179.5</v>
      </c>
      <c r="B574" s="6">
        <v>20313002.2443</v>
      </c>
      <c r="C574" s="6">
        <f t="shared" si="8"/>
        <v>22348002.2443</v>
      </c>
      <c r="D574" s="6">
        <v>131459.75364899999</v>
      </c>
      <c r="E574" s="2">
        <v>570</v>
      </c>
    </row>
    <row r="575" spans="1:5" x14ac:dyDescent="0.35">
      <c r="A575" s="5">
        <v>1180</v>
      </c>
      <c r="B575" s="6">
        <v>20378809.302000001</v>
      </c>
      <c r="C575" s="6">
        <f t="shared" si="8"/>
        <v>22413809.302000001</v>
      </c>
      <c r="D575" s="6">
        <v>131791.78388800001</v>
      </c>
      <c r="E575" s="2">
        <v>571</v>
      </c>
    </row>
    <row r="576" spans="1:5" x14ac:dyDescent="0.35">
      <c r="A576" s="5">
        <v>1180.5</v>
      </c>
      <c r="B576" s="6">
        <v>20444779.695900001</v>
      </c>
      <c r="C576" s="6">
        <f t="shared" si="8"/>
        <v>22479779.695900001</v>
      </c>
      <c r="D576" s="6">
        <v>132080.8726</v>
      </c>
      <c r="E576" s="2">
        <v>572</v>
      </c>
    </row>
    <row r="577" spans="1:5" x14ac:dyDescent="0.35">
      <c r="A577" s="5">
        <v>1181</v>
      </c>
      <c r="B577" s="6">
        <v>20510893.336100001</v>
      </c>
      <c r="C577" s="6">
        <f t="shared" si="8"/>
        <v>22545893.336100001</v>
      </c>
      <c r="D577" s="6">
        <v>132402.35274599999</v>
      </c>
      <c r="E577" s="2">
        <v>573</v>
      </c>
    </row>
    <row r="578" spans="1:5" x14ac:dyDescent="0.35">
      <c r="A578" s="5">
        <v>1181.5</v>
      </c>
      <c r="B578" s="6">
        <v>20577156.063000001</v>
      </c>
      <c r="C578" s="6">
        <f t="shared" si="8"/>
        <v>22612156.063000001</v>
      </c>
      <c r="D578" s="6">
        <v>132693.90641900001</v>
      </c>
      <c r="E578" s="2">
        <v>574</v>
      </c>
    </row>
    <row r="579" spans="1:5" x14ac:dyDescent="0.35">
      <c r="A579" s="5">
        <v>1182</v>
      </c>
      <c r="B579" s="6">
        <v>20643603.706599999</v>
      </c>
      <c r="C579" s="6">
        <f t="shared" si="8"/>
        <v>22678603.706599999</v>
      </c>
      <c r="D579" s="6">
        <v>133085.74060700001</v>
      </c>
      <c r="E579" s="2">
        <v>575</v>
      </c>
    </row>
    <row r="580" spans="1:5" x14ac:dyDescent="0.35">
      <c r="A580" s="5">
        <v>1182.5</v>
      </c>
      <c r="B580" s="6">
        <v>20710222.403999999</v>
      </c>
      <c r="C580" s="6">
        <f t="shared" si="8"/>
        <v>22745222.403999999</v>
      </c>
      <c r="D580" s="6">
        <v>133380.36274400001</v>
      </c>
      <c r="E580" s="2">
        <v>576</v>
      </c>
    </row>
    <row r="581" spans="1:5" x14ac:dyDescent="0.35">
      <c r="A581" s="5">
        <v>1183</v>
      </c>
      <c r="B581" s="6">
        <v>20776987.057700001</v>
      </c>
      <c r="C581" s="6">
        <f t="shared" si="8"/>
        <v>22811987.057700001</v>
      </c>
      <c r="D581" s="6">
        <v>133699.336977</v>
      </c>
      <c r="E581" s="2">
        <v>577</v>
      </c>
    </row>
    <row r="582" spans="1:5" x14ac:dyDescent="0.35">
      <c r="A582" s="5">
        <v>1183.5</v>
      </c>
      <c r="B582" s="6">
        <v>20843911.985599998</v>
      </c>
      <c r="C582" s="6">
        <f t="shared" ref="C582:C645" si="9">B582+$C$3</f>
        <v>22878911.985599998</v>
      </c>
      <c r="D582" s="6">
        <v>133992.44931200001</v>
      </c>
      <c r="E582" s="2">
        <v>578</v>
      </c>
    </row>
    <row r="583" spans="1:5" x14ac:dyDescent="0.35">
      <c r="A583" s="5">
        <v>1184</v>
      </c>
      <c r="B583" s="6">
        <v>20910985.065200001</v>
      </c>
      <c r="C583" s="6">
        <f t="shared" si="9"/>
        <v>22945985.065200001</v>
      </c>
      <c r="D583" s="6">
        <v>134311.76993400001</v>
      </c>
      <c r="E583" s="2">
        <v>579</v>
      </c>
    </row>
    <row r="584" spans="1:5" x14ac:dyDescent="0.35">
      <c r="A584" s="5">
        <v>1184.5</v>
      </c>
      <c r="B584" s="6">
        <v>20978218.539700001</v>
      </c>
      <c r="C584" s="6">
        <f t="shared" si="9"/>
        <v>23013218.539700001</v>
      </c>
      <c r="D584" s="6">
        <v>134615.19719400001</v>
      </c>
      <c r="E584" s="2">
        <v>580</v>
      </c>
    </row>
    <row r="585" spans="1:5" x14ac:dyDescent="0.35">
      <c r="A585" s="5">
        <v>1185</v>
      </c>
      <c r="B585" s="6">
        <v>21045591.480099998</v>
      </c>
      <c r="C585" s="6">
        <f t="shared" si="9"/>
        <v>23080591.480099998</v>
      </c>
      <c r="D585" s="6">
        <v>134923.27619800001</v>
      </c>
      <c r="E585" s="2">
        <v>581</v>
      </c>
    </row>
    <row r="586" spans="1:5" x14ac:dyDescent="0.35">
      <c r="A586" s="5">
        <v>1185.5</v>
      </c>
      <c r="B586" s="6">
        <v>21113142.578400001</v>
      </c>
      <c r="C586" s="6">
        <f t="shared" si="9"/>
        <v>23148142.578400001</v>
      </c>
      <c r="D586" s="6">
        <v>135256.34584200001</v>
      </c>
      <c r="E586" s="2">
        <v>582</v>
      </c>
    </row>
    <row r="587" spans="1:5" x14ac:dyDescent="0.35">
      <c r="A587" s="5">
        <v>1186</v>
      </c>
      <c r="B587" s="6">
        <v>21180851.024500001</v>
      </c>
      <c r="C587" s="6">
        <f t="shared" si="9"/>
        <v>23215851.024500001</v>
      </c>
      <c r="D587" s="6">
        <v>135597.952292</v>
      </c>
      <c r="E587" s="2">
        <v>583</v>
      </c>
    </row>
    <row r="588" spans="1:5" x14ac:dyDescent="0.35">
      <c r="A588" s="5">
        <v>1186.5</v>
      </c>
      <c r="B588" s="6">
        <v>21248730.337099999</v>
      </c>
      <c r="C588" s="6">
        <f t="shared" si="9"/>
        <v>23283730.337099999</v>
      </c>
      <c r="D588" s="6">
        <v>135912.31758599999</v>
      </c>
      <c r="E588" s="2">
        <v>584</v>
      </c>
    </row>
    <row r="589" spans="1:5" x14ac:dyDescent="0.35">
      <c r="A589" s="5">
        <v>1187</v>
      </c>
      <c r="B589" s="6">
        <v>21316767.159000002</v>
      </c>
      <c r="C589" s="6">
        <f t="shared" si="9"/>
        <v>23351767.159000002</v>
      </c>
      <c r="D589" s="6">
        <v>136249.37223899999</v>
      </c>
      <c r="E589" s="2">
        <v>585</v>
      </c>
    </row>
    <row r="590" spans="1:5" x14ac:dyDescent="0.35">
      <c r="A590" s="5">
        <v>1187.5</v>
      </c>
      <c r="B590" s="6">
        <v>21384972.4652</v>
      </c>
      <c r="C590" s="6">
        <f t="shared" si="9"/>
        <v>23419972.4652</v>
      </c>
      <c r="D590" s="6">
        <v>136567.133179</v>
      </c>
      <c r="E590" s="2">
        <v>586</v>
      </c>
    </row>
    <row r="591" spans="1:5" x14ac:dyDescent="0.35">
      <c r="A591" s="5">
        <v>1188</v>
      </c>
      <c r="B591" s="6">
        <v>21453331.086800002</v>
      </c>
      <c r="C591" s="6">
        <f t="shared" si="9"/>
        <v>23488331.086800002</v>
      </c>
      <c r="D591" s="6">
        <v>136896.57291700001</v>
      </c>
      <c r="E591" s="2">
        <v>587</v>
      </c>
    </row>
    <row r="592" spans="1:5" x14ac:dyDescent="0.35">
      <c r="A592" s="5">
        <v>1188.5</v>
      </c>
      <c r="B592" s="6">
        <v>21521871.173099998</v>
      </c>
      <c r="C592" s="6">
        <f t="shared" si="9"/>
        <v>23556871.173099998</v>
      </c>
      <c r="D592" s="6">
        <v>137232.55636300001</v>
      </c>
      <c r="E592" s="2">
        <v>588</v>
      </c>
    </row>
    <row r="593" spans="1:5" x14ac:dyDescent="0.35">
      <c r="A593" s="5">
        <v>1189</v>
      </c>
      <c r="B593" s="6">
        <v>21590568.3706</v>
      </c>
      <c r="C593" s="6">
        <f t="shared" si="9"/>
        <v>23625568.3706</v>
      </c>
      <c r="D593" s="6">
        <v>137569.81226100001</v>
      </c>
      <c r="E593" s="2">
        <v>589</v>
      </c>
    </row>
    <row r="594" spans="1:5" x14ac:dyDescent="0.35">
      <c r="A594" s="5">
        <v>1189.5</v>
      </c>
      <c r="B594" s="6">
        <v>21659432.8059</v>
      </c>
      <c r="C594" s="6">
        <f t="shared" si="9"/>
        <v>23694432.8059</v>
      </c>
      <c r="D594" s="6">
        <v>137909.76736100001</v>
      </c>
      <c r="E594" s="2">
        <v>590</v>
      </c>
    </row>
    <row r="595" spans="1:5" x14ac:dyDescent="0.35">
      <c r="A595" s="5">
        <v>1190</v>
      </c>
      <c r="B595" s="6">
        <v>21728468.618099999</v>
      </c>
      <c r="C595" s="6">
        <f t="shared" si="9"/>
        <v>23763468.618099999</v>
      </c>
      <c r="D595" s="6">
        <v>138245.64280500001</v>
      </c>
      <c r="E595" s="2">
        <v>591</v>
      </c>
    </row>
    <row r="596" spans="1:5" x14ac:dyDescent="0.35">
      <c r="A596" s="5">
        <v>1190.5</v>
      </c>
      <c r="B596" s="6">
        <v>21797669.268300001</v>
      </c>
      <c r="C596" s="6">
        <f t="shared" si="9"/>
        <v>23832669.268300001</v>
      </c>
      <c r="D596" s="6">
        <v>138549.03915600001</v>
      </c>
      <c r="E596" s="2">
        <v>592</v>
      </c>
    </row>
    <row r="597" spans="1:5" x14ac:dyDescent="0.35">
      <c r="A597" s="5">
        <v>1191</v>
      </c>
      <c r="B597" s="6">
        <v>21867021.7597</v>
      </c>
      <c r="C597" s="6">
        <f t="shared" si="9"/>
        <v>23902021.7597</v>
      </c>
      <c r="D597" s="6">
        <v>138873.096544</v>
      </c>
      <c r="E597" s="2">
        <v>593</v>
      </c>
    </row>
    <row r="598" spans="1:5" x14ac:dyDescent="0.35">
      <c r="A598" s="5">
        <v>1191.5</v>
      </c>
      <c r="B598" s="6">
        <v>21936522.5242</v>
      </c>
      <c r="C598" s="6">
        <f t="shared" si="9"/>
        <v>23971522.5242</v>
      </c>
      <c r="D598" s="6">
        <v>139178.999411</v>
      </c>
      <c r="E598" s="2">
        <v>594</v>
      </c>
    </row>
    <row r="599" spans="1:5" x14ac:dyDescent="0.35">
      <c r="A599" s="5">
        <v>1192</v>
      </c>
      <c r="B599" s="6">
        <v>22006193.914700001</v>
      </c>
      <c r="C599" s="6">
        <f t="shared" si="9"/>
        <v>24041193.914700001</v>
      </c>
      <c r="D599" s="6">
        <v>139519.051764</v>
      </c>
      <c r="E599" s="2">
        <v>595</v>
      </c>
    </row>
    <row r="600" spans="1:5" x14ac:dyDescent="0.35">
      <c r="A600" s="5">
        <v>1192.5</v>
      </c>
      <c r="B600" s="6">
        <v>22076036.441199999</v>
      </c>
      <c r="C600" s="6">
        <f t="shared" si="9"/>
        <v>24111036.441199999</v>
      </c>
      <c r="D600" s="6">
        <v>139842.36098500001</v>
      </c>
      <c r="E600" s="2">
        <v>596</v>
      </c>
    </row>
    <row r="601" spans="1:5" x14ac:dyDescent="0.35">
      <c r="A601" s="5">
        <v>1193</v>
      </c>
      <c r="B601" s="6">
        <v>22146040.282200001</v>
      </c>
      <c r="C601" s="6">
        <f t="shared" si="9"/>
        <v>24181040.282200001</v>
      </c>
      <c r="D601" s="6">
        <v>140183.33291299999</v>
      </c>
      <c r="E601" s="2">
        <v>597</v>
      </c>
    </row>
    <row r="602" spans="1:5" x14ac:dyDescent="0.35">
      <c r="A602" s="5">
        <v>1193.5</v>
      </c>
      <c r="B602" s="6">
        <v>22216214.886500001</v>
      </c>
      <c r="C602" s="6">
        <f t="shared" si="9"/>
        <v>24251214.886500001</v>
      </c>
      <c r="D602" s="6">
        <v>140506.72496799999</v>
      </c>
      <c r="E602" s="2">
        <v>598</v>
      </c>
    </row>
    <row r="603" spans="1:5" x14ac:dyDescent="0.35">
      <c r="A603" s="5">
        <v>1194</v>
      </c>
      <c r="B603" s="6">
        <v>22286551.899700001</v>
      </c>
      <c r="C603" s="6">
        <f t="shared" si="9"/>
        <v>24321551.899700001</v>
      </c>
      <c r="D603" s="6">
        <v>140854.930154</v>
      </c>
      <c r="E603" s="2">
        <v>599</v>
      </c>
    </row>
    <row r="604" spans="1:5" x14ac:dyDescent="0.35">
      <c r="A604" s="5">
        <v>1194.5</v>
      </c>
      <c r="B604" s="6">
        <v>22357051.8761</v>
      </c>
      <c r="C604" s="6">
        <f t="shared" si="9"/>
        <v>24392051.8761</v>
      </c>
      <c r="D604" s="6">
        <v>141193.471811</v>
      </c>
      <c r="E604" s="2">
        <v>600</v>
      </c>
    </row>
    <row r="605" spans="1:5" x14ac:dyDescent="0.35">
      <c r="A605" s="5">
        <v>1195</v>
      </c>
      <c r="B605" s="6">
        <v>22427735.826299999</v>
      </c>
      <c r="C605" s="6">
        <f t="shared" si="9"/>
        <v>24462735.826299999</v>
      </c>
      <c r="D605" s="6">
        <v>141553.99366199999</v>
      </c>
      <c r="E605" s="2">
        <v>601</v>
      </c>
    </row>
    <row r="606" spans="1:5" x14ac:dyDescent="0.35">
      <c r="A606" s="5">
        <v>1195.5</v>
      </c>
      <c r="B606" s="6">
        <v>22498597.8607</v>
      </c>
      <c r="C606" s="6">
        <f t="shared" si="9"/>
        <v>24533597.8607</v>
      </c>
      <c r="D606" s="6">
        <v>141885.12083199999</v>
      </c>
      <c r="E606" s="2">
        <v>602</v>
      </c>
    </row>
    <row r="607" spans="1:5" x14ac:dyDescent="0.35">
      <c r="A607" s="5">
        <v>1196</v>
      </c>
      <c r="B607" s="6">
        <v>22569624.080400001</v>
      </c>
      <c r="C607" s="6">
        <f t="shared" si="9"/>
        <v>24604624.080400001</v>
      </c>
      <c r="D607" s="6">
        <v>142223.74648999999</v>
      </c>
      <c r="E607" s="2">
        <v>603</v>
      </c>
    </row>
    <row r="608" spans="1:5" x14ac:dyDescent="0.35">
      <c r="A608" s="5">
        <v>1196.5</v>
      </c>
      <c r="B608" s="6">
        <v>22640816.464000002</v>
      </c>
      <c r="C608" s="6">
        <f t="shared" si="9"/>
        <v>24675816.464000002</v>
      </c>
      <c r="D608" s="6">
        <v>142536.32829899999</v>
      </c>
      <c r="E608" s="2">
        <v>604</v>
      </c>
    </row>
    <row r="609" spans="1:5" x14ac:dyDescent="0.35">
      <c r="A609" s="5">
        <v>1197</v>
      </c>
      <c r="B609" s="6">
        <v>22712165.759799998</v>
      </c>
      <c r="C609" s="6">
        <f t="shared" si="9"/>
        <v>24747165.759799998</v>
      </c>
      <c r="D609" s="6">
        <v>142870.39796</v>
      </c>
      <c r="E609" s="2">
        <v>605</v>
      </c>
    </row>
    <row r="610" spans="1:5" x14ac:dyDescent="0.35">
      <c r="A610" s="5">
        <v>1197.5</v>
      </c>
      <c r="B610" s="6">
        <v>22783668.333299998</v>
      </c>
      <c r="C610" s="6">
        <f t="shared" si="9"/>
        <v>24818668.333299998</v>
      </c>
      <c r="D610" s="6">
        <v>143189.34828499999</v>
      </c>
      <c r="E610" s="2">
        <v>606</v>
      </c>
    </row>
    <row r="611" spans="1:5" x14ac:dyDescent="0.35">
      <c r="A611" s="5">
        <v>1198</v>
      </c>
      <c r="B611" s="6">
        <v>22855346.373500001</v>
      </c>
      <c r="C611" s="6">
        <f t="shared" si="9"/>
        <v>24890346.373500001</v>
      </c>
      <c r="D611" s="6">
        <v>143531.319162</v>
      </c>
      <c r="E611" s="2">
        <v>607</v>
      </c>
    </row>
    <row r="612" spans="1:5" x14ac:dyDescent="0.35">
      <c r="A612" s="5">
        <v>1198.5</v>
      </c>
      <c r="B612" s="6">
        <v>22927195.683400001</v>
      </c>
      <c r="C612" s="6">
        <f t="shared" si="9"/>
        <v>24962195.683400001</v>
      </c>
      <c r="D612" s="6">
        <v>143855.38641400001</v>
      </c>
      <c r="E612" s="2">
        <v>608</v>
      </c>
    </row>
    <row r="613" spans="1:5" x14ac:dyDescent="0.35">
      <c r="A613" s="5">
        <v>1199</v>
      </c>
      <c r="B613" s="6">
        <v>22999205.030299999</v>
      </c>
      <c r="C613" s="6">
        <f t="shared" si="9"/>
        <v>25034205.030299999</v>
      </c>
      <c r="D613" s="6">
        <v>144191.48427300001</v>
      </c>
      <c r="E613" s="2">
        <v>609</v>
      </c>
    </row>
    <row r="614" spans="1:5" x14ac:dyDescent="0.35">
      <c r="A614" s="5">
        <v>1199.5</v>
      </c>
      <c r="B614" s="6">
        <v>23071381.2962</v>
      </c>
      <c r="C614" s="6">
        <f t="shared" si="9"/>
        <v>25106381.2962</v>
      </c>
      <c r="D614" s="6">
        <v>144503.710891</v>
      </c>
      <c r="E614" s="2">
        <v>610</v>
      </c>
    </row>
    <row r="615" spans="1:5" x14ac:dyDescent="0.35">
      <c r="A615" s="5">
        <v>1200</v>
      </c>
      <c r="B615" s="6">
        <v>23143713.5704</v>
      </c>
      <c r="C615" s="6">
        <f t="shared" si="9"/>
        <v>25178713.5704</v>
      </c>
      <c r="D615" s="6">
        <v>144834.11603800001</v>
      </c>
      <c r="E615" s="2">
        <v>611</v>
      </c>
    </row>
    <row r="616" spans="1:5" x14ac:dyDescent="0.35">
      <c r="A616" s="5">
        <v>1200.5</v>
      </c>
      <c r="B616" s="6">
        <v>23216210.3752</v>
      </c>
      <c r="C616" s="6">
        <f t="shared" si="9"/>
        <v>25251210.3752</v>
      </c>
      <c r="D616" s="6">
        <v>145144.152294</v>
      </c>
      <c r="E616" s="2">
        <v>612</v>
      </c>
    </row>
    <row r="617" spans="1:5" x14ac:dyDescent="0.35">
      <c r="A617" s="5">
        <v>1201</v>
      </c>
      <c r="B617" s="6">
        <v>23288848.8968</v>
      </c>
      <c r="C617" s="6">
        <f t="shared" si="9"/>
        <v>25323848.8968</v>
      </c>
      <c r="D617" s="6">
        <v>145458.02342700001</v>
      </c>
      <c r="E617" s="2">
        <v>613</v>
      </c>
    </row>
    <row r="618" spans="1:5" x14ac:dyDescent="0.35">
      <c r="A618" s="5">
        <v>1201.5</v>
      </c>
      <c r="B618" s="6">
        <v>23361678.5308</v>
      </c>
      <c r="C618" s="6">
        <f t="shared" si="9"/>
        <v>25396678.5308</v>
      </c>
      <c r="D618" s="6">
        <v>145852.82971399999</v>
      </c>
      <c r="E618" s="2">
        <v>614</v>
      </c>
    </row>
    <row r="619" spans="1:5" x14ac:dyDescent="0.35">
      <c r="A619" s="5">
        <v>1202</v>
      </c>
      <c r="B619" s="6">
        <v>23434687.9553</v>
      </c>
      <c r="C619" s="6">
        <f t="shared" si="9"/>
        <v>25469687.9553</v>
      </c>
      <c r="D619" s="6">
        <v>146196.888419</v>
      </c>
      <c r="E619" s="2">
        <v>615</v>
      </c>
    </row>
    <row r="620" spans="1:5" x14ac:dyDescent="0.35">
      <c r="A620" s="5">
        <v>1202.5</v>
      </c>
      <c r="B620" s="6">
        <v>23507875.030699998</v>
      </c>
      <c r="C620" s="6">
        <f t="shared" si="9"/>
        <v>25542875.030699998</v>
      </c>
      <c r="D620" s="6">
        <v>146560.869309</v>
      </c>
      <c r="E620" s="2">
        <v>616</v>
      </c>
    </row>
    <row r="621" spans="1:5" x14ac:dyDescent="0.35">
      <c r="A621" s="5">
        <v>1203</v>
      </c>
      <c r="B621" s="6">
        <v>23581326.434599999</v>
      </c>
      <c r="C621" s="6">
        <f t="shared" si="9"/>
        <v>25616326.434599999</v>
      </c>
      <c r="D621" s="6">
        <v>147143.769027</v>
      </c>
      <c r="E621" s="2">
        <v>617</v>
      </c>
    </row>
    <row r="622" spans="1:5" x14ac:dyDescent="0.35">
      <c r="A622" s="5">
        <v>1203.5</v>
      </c>
      <c r="B622" s="6">
        <v>23654986.152100001</v>
      </c>
      <c r="C622" s="6">
        <f t="shared" si="9"/>
        <v>25689986.152100001</v>
      </c>
      <c r="D622" s="6">
        <v>147480.39845400001</v>
      </c>
      <c r="E622" s="2">
        <v>618</v>
      </c>
    </row>
    <row r="623" spans="1:5" x14ac:dyDescent="0.35">
      <c r="A623" s="5">
        <v>1204</v>
      </c>
      <c r="B623" s="6">
        <v>23728794.510699999</v>
      </c>
      <c r="C623" s="6">
        <f t="shared" si="9"/>
        <v>25763794.510699999</v>
      </c>
      <c r="D623" s="6">
        <v>147803.168649</v>
      </c>
      <c r="E623" s="2">
        <v>619</v>
      </c>
    </row>
    <row r="624" spans="1:5" x14ac:dyDescent="0.35">
      <c r="A624" s="5">
        <v>1204.5</v>
      </c>
      <c r="B624" s="6">
        <v>23802788.094300002</v>
      </c>
      <c r="C624" s="6">
        <f t="shared" si="9"/>
        <v>25837788.094300002</v>
      </c>
      <c r="D624" s="6">
        <v>148147.671845</v>
      </c>
      <c r="E624" s="2">
        <v>620</v>
      </c>
    </row>
    <row r="625" spans="1:5" x14ac:dyDescent="0.35">
      <c r="A625" s="5">
        <v>1205</v>
      </c>
      <c r="B625" s="6">
        <v>23876949.508499999</v>
      </c>
      <c r="C625" s="6">
        <f t="shared" si="9"/>
        <v>25911949.508499999</v>
      </c>
      <c r="D625" s="6">
        <v>148511.01850199999</v>
      </c>
      <c r="E625" s="2">
        <v>621</v>
      </c>
    </row>
    <row r="626" spans="1:5" x14ac:dyDescent="0.35">
      <c r="A626" s="5">
        <v>1205.5</v>
      </c>
      <c r="B626" s="6">
        <v>23951313.9736</v>
      </c>
      <c r="C626" s="6">
        <f t="shared" si="9"/>
        <v>25986313.9736</v>
      </c>
      <c r="D626" s="6">
        <v>148937.65563600001</v>
      </c>
      <c r="E626" s="2">
        <v>622</v>
      </c>
    </row>
    <row r="627" spans="1:5" x14ac:dyDescent="0.35">
      <c r="A627" s="5">
        <v>1206</v>
      </c>
      <c r="B627" s="6">
        <v>24025868.873</v>
      </c>
      <c r="C627" s="6">
        <f t="shared" si="9"/>
        <v>26060868.873</v>
      </c>
      <c r="D627" s="6">
        <v>149292.45340100001</v>
      </c>
      <c r="E627" s="2">
        <v>623</v>
      </c>
    </row>
    <row r="628" spans="1:5" x14ac:dyDescent="0.35">
      <c r="A628" s="5">
        <v>1206.5</v>
      </c>
      <c r="B628" s="6">
        <v>24100601.711599998</v>
      </c>
      <c r="C628" s="6">
        <f t="shared" si="9"/>
        <v>26135601.711599998</v>
      </c>
      <c r="D628" s="6">
        <v>149631.10982499999</v>
      </c>
      <c r="E628" s="2">
        <v>624</v>
      </c>
    </row>
    <row r="629" spans="1:5" x14ac:dyDescent="0.35">
      <c r="A629" s="5">
        <v>1207</v>
      </c>
      <c r="B629" s="6">
        <v>24175487.388900001</v>
      </c>
      <c r="C629" s="6">
        <f t="shared" si="9"/>
        <v>26210487.388900001</v>
      </c>
      <c r="D629" s="6">
        <v>149961.59009700001</v>
      </c>
      <c r="E629" s="2">
        <v>625</v>
      </c>
    </row>
    <row r="630" spans="1:5" x14ac:dyDescent="0.35">
      <c r="A630" s="5">
        <v>1207.5</v>
      </c>
      <c r="B630" s="6">
        <v>24250561.023800001</v>
      </c>
      <c r="C630" s="6">
        <f t="shared" si="9"/>
        <v>26285561.023800001</v>
      </c>
      <c r="D630" s="6">
        <v>150302.99506099999</v>
      </c>
      <c r="E630" s="2">
        <v>626</v>
      </c>
    </row>
    <row r="631" spans="1:5" x14ac:dyDescent="0.35">
      <c r="A631" s="5">
        <v>1208</v>
      </c>
      <c r="B631" s="6">
        <v>24325795.0973</v>
      </c>
      <c r="C631" s="6">
        <f t="shared" si="9"/>
        <v>26360795.0973</v>
      </c>
      <c r="D631" s="6">
        <v>150642.93330199999</v>
      </c>
      <c r="E631" s="2">
        <v>627</v>
      </c>
    </row>
    <row r="632" spans="1:5" x14ac:dyDescent="0.35">
      <c r="A632" s="5">
        <v>1208.5</v>
      </c>
      <c r="B632" s="6">
        <v>24401198.677999999</v>
      </c>
      <c r="C632" s="6">
        <f t="shared" si="9"/>
        <v>26436198.677999999</v>
      </c>
      <c r="D632" s="6">
        <v>150961.188536</v>
      </c>
      <c r="E632" s="2">
        <v>628</v>
      </c>
    </row>
    <row r="633" spans="1:5" x14ac:dyDescent="0.35">
      <c r="A633" s="5">
        <v>1209</v>
      </c>
      <c r="B633" s="6">
        <v>24476760.188999999</v>
      </c>
      <c r="C633" s="6">
        <f t="shared" si="9"/>
        <v>26511760.188999999</v>
      </c>
      <c r="D633" s="6">
        <v>151297.72655200001</v>
      </c>
      <c r="E633" s="2">
        <v>629</v>
      </c>
    </row>
    <row r="634" spans="1:5" x14ac:dyDescent="0.35">
      <c r="A634" s="5">
        <v>1209.5</v>
      </c>
      <c r="B634" s="6">
        <v>24552489.7267</v>
      </c>
      <c r="C634" s="6">
        <f t="shared" si="9"/>
        <v>26587489.7267</v>
      </c>
      <c r="D634" s="6">
        <v>151609.70419700001</v>
      </c>
      <c r="E634" s="2">
        <v>630</v>
      </c>
    </row>
    <row r="635" spans="1:5" x14ac:dyDescent="0.35">
      <c r="A635" s="5">
        <v>1210</v>
      </c>
      <c r="B635" s="6">
        <v>24628375.120900001</v>
      </c>
      <c r="C635" s="6">
        <f t="shared" si="9"/>
        <v>26663375.120900001</v>
      </c>
      <c r="D635" s="6">
        <v>151940.854659</v>
      </c>
      <c r="E635" s="2">
        <v>631</v>
      </c>
    </row>
    <row r="636" spans="1:5" x14ac:dyDescent="0.35">
      <c r="A636" s="5">
        <v>1210.5</v>
      </c>
      <c r="B636" s="6">
        <v>24704411.035300002</v>
      </c>
      <c r="C636" s="6">
        <f t="shared" si="9"/>
        <v>26739411.035300002</v>
      </c>
      <c r="D636" s="6">
        <v>152254.15213</v>
      </c>
      <c r="E636" s="2">
        <v>632</v>
      </c>
    </row>
    <row r="637" spans="1:5" x14ac:dyDescent="0.35">
      <c r="A637" s="5">
        <v>1211</v>
      </c>
      <c r="B637" s="6">
        <v>24780617.3303</v>
      </c>
      <c r="C637" s="6">
        <f t="shared" si="9"/>
        <v>26815617.3303</v>
      </c>
      <c r="D637" s="6">
        <v>152579.70266800001</v>
      </c>
      <c r="E637" s="2">
        <v>633</v>
      </c>
    </row>
    <row r="638" spans="1:5" x14ac:dyDescent="0.35">
      <c r="A638" s="5">
        <v>1211.5</v>
      </c>
      <c r="B638" s="6">
        <v>24856985.701299999</v>
      </c>
      <c r="C638" s="6">
        <f t="shared" si="9"/>
        <v>26891985.701299999</v>
      </c>
      <c r="D638" s="6">
        <v>152883.614673</v>
      </c>
      <c r="E638" s="2">
        <v>634</v>
      </c>
    </row>
    <row r="639" spans="1:5" x14ac:dyDescent="0.35">
      <c r="A639" s="5">
        <v>1212</v>
      </c>
      <c r="B639" s="6">
        <v>24933504.313099999</v>
      </c>
      <c r="C639" s="6">
        <f t="shared" si="9"/>
        <v>26968504.313099999</v>
      </c>
      <c r="D639" s="6">
        <v>153196.46788000001</v>
      </c>
      <c r="E639" s="2">
        <v>635</v>
      </c>
    </row>
    <row r="640" spans="1:5" x14ac:dyDescent="0.35">
      <c r="A640" s="5">
        <v>1212.5</v>
      </c>
      <c r="B640" s="6">
        <v>25010178.227000002</v>
      </c>
      <c r="C640" s="6">
        <f t="shared" si="9"/>
        <v>27045178.227000002</v>
      </c>
      <c r="D640" s="6">
        <v>153489.53056099999</v>
      </c>
      <c r="E640" s="2">
        <v>636</v>
      </c>
    </row>
    <row r="641" spans="1:5" x14ac:dyDescent="0.35">
      <c r="A641" s="5">
        <v>1213</v>
      </c>
      <c r="B641" s="6">
        <v>25086998.123799998</v>
      </c>
      <c r="C641" s="6">
        <f t="shared" si="9"/>
        <v>27121998.123799998</v>
      </c>
      <c r="D641" s="6">
        <v>153793.12508699999</v>
      </c>
      <c r="E641" s="2">
        <v>637</v>
      </c>
    </row>
    <row r="642" spans="1:5" x14ac:dyDescent="0.35">
      <c r="A642" s="5">
        <v>1213.5</v>
      </c>
      <c r="B642" s="6">
        <v>25163954.092500001</v>
      </c>
      <c r="C642" s="6">
        <f t="shared" si="9"/>
        <v>27198954.092500001</v>
      </c>
      <c r="D642" s="6">
        <v>154082.10887900001</v>
      </c>
      <c r="E642" s="2">
        <v>638</v>
      </c>
    </row>
    <row r="643" spans="1:5" x14ac:dyDescent="0.35">
      <c r="A643" s="5">
        <v>1214</v>
      </c>
      <c r="B643" s="6">
        <v>25241070.289900001</v>
      </c>
      <c r="C643" s="6">
        <f t="shared" si="9"/>
        <v>27276070.289900001</v>
      </c>
      <c r="D643" s="6">
        <v>154385.31062100001</v>
      </c>
      <c r="E643" s="2">
        <v>639</v>
      </c>
    </row>
    <row r="644" spans="1:5" x14ac:dyDescent="0.35">
      <c r="A644" s="5">
        <v>1214.5</v>
      </c>
      <c r="B644" s="6">
        <v>25318337.044500001</v>
      </c>
      <c r="C644" s="6">
        <f t="shared" si="9"/>
        <v>27353337.044500001</v>
      </c>
      <c r="D644" s="6">
        <v>154672.072025</v>
      </c>
      <c r="E644" s="2">
        <v>640</v>
      </c>
    </row>
    <row r="645" spans="1:5" x14ac:dyDescent="0.35">
      <c r="A645" s="5">
        <v>1215</v>
      </c>
      <c r="B645" s="6">
        <v>25395747.1699</v>
      </c>
      <c r="C645" s="6">
        <f t="shared" si="9"/>
        <v>27430747.1699</v>
      </c>
      <c r="D645" s="6">
        <v>154967.79023899999</v>
      </c>
      <c r="E645" s="2">
        <v>641</v>
      </c>
    </row>
    <row r="646" spans="1:5" x14ac:dyDescent="0.35">
      <c r="A646" s="5">
        <v>1215.5</v>
      </c>
      <c r="B646" s="6">
        <v>25473302.182500001</v>
      </c>
      <c r="C646" s="6">
        <f t="shared" ref="C646:C676" si="10">B646+$C$3</f>
        <v>27508302.182500001</v>
      </c>
      <c r="D646" s="6">
        <v>155241.25707299999</v>
      </c>
      <c r="E646" s="2">
        <v>642</v>
      </c>
    </row>
    <row r="647" spans="1:5" x14ac:dyDescent="0.35">
      <c r="A647" s="5">
        <v>1216</v>
      </c>
      <c r="B647" s="6">
        <v>25550991.9003</v>
      </c>
      <c r="C647" s="6">
        <f t="shared" si="10"/>
        <v>27585991.9003</v>
      </c>
      <c r="D647" s="6">
        <v>155517.10630700001</v>
      </c>
      <c r="E647" s="2">
        <v>643</v>
      </c>
    </row>
    <row r="648" spans="1:5" x14ac:dyDescent="0.35">
      <c r="A648" s="5">
        <v>1216.5</v>
      </c>
      <c r="B648" s="6">
        <v>25628819.463599999</v>
      </c>
      <c r="C648" s="6">
        <f t="shared" si="10"/>
        <v>27663819.463599999</v>
      </c>
      <c r="D648" s="6">
        <v>155782.47257899999</v>
      </c>
      <c r="E648" s="2">
        <v>644</v>
      </c>
    </row>
    <row r="649" spans="1:5" x14ac:dyDescent="0.35">
      <c r="A649" s="5">
        <v>1217</v>
      </c>
      <c r="B649" s="6">
        <v>25706763.5984</v>
      </c>
      <c r="C649" s="6">
        <f t="shared" si="10"/>
        <v>27741763.5984</v>
      </c>
      <c r="D649" s="6">
        <v>156056.57308500001</v>
      </c>
      <c r="E649" s="2">
        <v>645</v>
      </c>
    </row>
    <row r="650" spans="1:5" x14ac:dyDescent="0.35">
      <c r="A650" s="5">
        <v>1217.5</v>
      </c>
      <c r="B650" s="6">
        <v>25784860.274900001</v>
      </c>
      <c r="C650" s="6">
        <f t="shared" si="10"/>
        <v>27819860.274900001</v>
      </c>
      <c r="D650" s="6">
        <v>156321.02223800001</v>
      </c>
      <c r="E650" s="2">
        <v>646</v>
      </c>
    </row>
    <row r="651" spans="1:5" x14ac:dyDescent="0.35">
      <c r="A651" s="5">
        <v>1218</v>
      </c>
      <c r="B651" s="6">
        <v>25863089.953400001</v>
      </c>
      <c r="C651" s="6">
        <f t="shared" si="10"/>
        <v>27898089.953400001</v>
      </c>
      <c r="D651" s="6">
        <v>156597.72964800001</v>
      </c>
      <c r="E651" s="2">
        <v>647</v>
      </c>
    </row>
    <row r="652" spans="1:5" x14ac:dyDescent="0.35">
      <c r="A652" s="5">
        <v>1218.5</v>
      </c>
      <c r="B652" s="6">
        <v>25941458.096799999</v>
      </c>
      <c r="C652" s="6">
        <f t="shared" si="10"/>
        <v>27976458.096799999</v>
      </c>
      <c r="D652" s="6">
        <v>156865.599843</v>
      </c>
      <c r="E652" s="2">
        <v>648</v>
      </c>
    </row>
    <row r="653" spans="1:5" x14ac:dyDescent="0.35">
      <c r="A653" s="5">
        <v>1219</v>
      </c>
      <c r="B653" s="6">
        <v>26019960.1525</v>
      </c>
      <c r="C653" s="6">
        <f t="shared" si="10"/>
        <v>28054960.1525</v>
      </c>
      <c r="D653" s="6">
        <v>157142.03816299999</v>
      </c>
      <c r="E653" s="2">
        <v>649</v>
      </c>
    </row>
    <row r="654" spans="1:5" x14ac:dyDescent="0.35">
      <c r="A654" s="5">
        <v>1219.5</v>
      </c>
      <c r="B654" s="6">
        <v>26098601.137400001</v>
      </c>
      <c r="C654" s="6">
        <f t="shared" si="10"/>
        <v>28133601.137400001</v>
      </c>
      <c r="D654" s="6">
        <v>157411.95591600001</v>
      </c>
      <c r="E654" s="2">
        <v>650</v>
      </c>
    </row>
    <row r="655" spans="1:5" x14ac:dyDescent="0.35">
      <c r="A655" s="5">
        <v>1220</v>
      </c>
      <c r="B655" s="6">
        <v>26177361.3303</v>
      </c>
      <c r="C655" s="6">
        <f t="shared" si="10"/>
        <v>28212361.3303</v>
      </c>
      <c r="D655" s="6">
        <v>157682.938543</v>
      </c>
      <c r="E655" s="2">
        <v>651</v>
      </c>
    </row>
    <row r="656" spans="1:5" x14ac:dyDescent="0.35">
      <c r="A656" s="5">
        <v>1220.5</v>
      </c>
      <c r="B656" s="6">
        <v>26256279.734900001</v>
      </c>
      <c r="C656" s="6">
        <f t="shared" si="10"/>
        <v>28291279.734900001</v>
      </c>
      <c r="D656" s="6">
        <v>157972.240937</v>
      </c>
      <c r="E656" s="2">
        <v>652</v>
      </c>
    </row>
    <row r="657" spans="1:5" x14ac:dyDescent="0.35">
      <c r="A657" s="5">
        <v>1221</v>
      </c>
      <c r="B657" s="6">
        <v>26335338.448899999</v>
      </c>
      <c r="C657" s="6">
        <f t="shared" si="10"/>
        <v>28370338.448899999</v>
      </c>
      <c r="D657" s="6">
        <v>158262.41940899999</v>
      </c>
      <c r="E657" s="2">
        <v>653</v>
      </c>
    </row>
    <row r="658" spans="1:5" x14ac:dyDescent="0.35">
      <c r="A658" s="5">
        <v>1221.5</v>
      </c>
      <c r="B658" s="6">
        <v>26414542.661400001</v>
      </c>
      <c r="C658" s="6">
        <f t="shared" si="10"/>
        <v>28449542.661400001</v>
      </c>
      <c r="D658" s="6">
        <v>158545.36327999999</v>
      </c>
      <c r="E658" s="2">
        <v>654</v>
      </c>
    </row>
    <row r="659" spans="1:5" x14ac:dyDescent="0.35">
      <c r="A659" s="5">
        <v>1222</v>
      </c>
      <c r="B659" s="6">
        <v>26493891.876200002</v>
      </c>
      <c r="C659" s="6">
        <f t="shared" si="10"/>
        <v>28528891.876200002</v>
      </c>
      <c r="D659" s="6">
        <v>158853.27848000001</v>
      </c>
      <c r="E659" s="2">
        <v>655</v>
      </c>
    </row>
    <row r="660" spans="1:5" x14ac:dyDescent="0.35">
      <c r="A660" s="5">
        <v>1222.5</v>
      </c>
      <c r="B660" s="6">
        <v>26573396.6897</v>
      </c>
      <c r="C660" s="6">
        <f t="shared" si="10"/>
        <v>28608396.6897</v>
      </c>
      <c r="D660" s="6">
        <v>159156.66864700001</v>
      </c>
      <c r="E660" s="2">
        <v>656</v>
      </c>
    </row>
    <row r="661" spans="1:5" x14ac:dyDescent="0.35">
      <c r="A661" s="5">
        <v>1223</v>
      </c>
      <c r="B661" s="6">
        <v>26653037.7258</v>
      </c>
      <c r="C661" s="6">
        <f t="shared" si="10"/>
        <v>28688037.7258</v>
      </c>
      <c r="D661" s="6">
        <v>159461.08498700001</v>
      </c>
      <c r="E661" s="2">
        <v>657</v>
      </c>
    </row>
    <row r="662" spans="1:5" x14ac:dyDescent="0.35">
      <c r="A662" s="5">
        <v>1223.5</v>
      </c>
      <c r="B662" s="6">
        <v>26732851.6098</v>
      </c>
      <c r="C662" s="6">
        <f t="shared" si="10"/>
        <v>28767851.6098</v>
      </c>
      <c r="D662" s="6">
        <v>159773.79995399999</v>
      </c>
      <c r="E662" s="2">
        <v>658</v>
      </c>
    </row>
    <row r="663" spans="1:5" x14ac:dyDescent="0.35">
      <c r="A663" s="5">
        <v>1224</v>
      </c>
      <c r="B663" s="6">
        <v>26812815.841800001</v>
      </c>
      <c r="C663" s="6">
        <f t="shared" si="10"/>
        <v>28847815.841800001</v>
      </c>
      <c r="D663" s="6">
        <v>160079.090975</v>
      </c>
      <c r="E663" s="2">
        <v>659</v>
      </c>
    </row>
    <row r="664" spans="1:5" x14ac:dyDescent="0.35">
      <c r="A664" s="5">
        <v>1224.5</v>
      </c>
      <c r="B664" s="6">
        <v>26892930.1094</v>
      </c>
      <c r="C664" s="6">
        <f t="shared" si="10"/>
        <v>28927930.1094</v>
      </c>
      <c r="D664" s="6">
        <v>160367.378501</v>
      </c>
      <c r="E664" s="2">
        <v>660</v>
      </c>
    </row>
    <row r="665" spans="1:5" x14ac:dyDescent="0.35">
      <c r="A665" s="5">
        <v>1225</v>
      </c>
      <c r="B665" s="6">
        <v>26973186.650800001</v>
      </c>
      <c r="C665" s="6">
        <f t="shared" si="10"/>
        <v>29008186.650800001</v>
      </c>
      <c r="D665" s="6">
        <v>160654.95617699999</v>
      </c>
      <c r="E665" s="2">
        <v>661</v>
      </c>
    </row>
    <row r="666" spans="1:5" x14ac:dyDescent="0.35">
      <c r="A666" s="5">
        <v>1225.5</v>
      </c>
      <c r="B666" s="6">
        <v>27053585.979600001</v>
      </c>
      <c r="C666" s="6">
        <f t="shared" si="10"/>
        <v>29088585.979600001</v>
      </c>
      <c r="D666" s="6">
        <v>160931.24398100001</v>
      </c>
      <c r="E666" s="2">
        <v>662</v>
      </c>
    </row>
    <row r="667" spans="1:5" x14ac:dyDescent="0.35">
      <c r="A667" s="5">
        <v>1226</v>
      </c>
      <c r="B667" s="6">
        <v>27134123.5506</v>
      </c>
      <c r="C667" s="6">
        <f t="shared" si="10"/>
        <v>29169123.5506</v>
      </c>
      <c r="D667" s="6">
        <v>161217.73053</v>
      </c>
      <c r="E667" s="2">
        <v>663</v>
      </c>
    </row>
    <row r="668" spans="1:5" x14ac:dyDescent="0.35">
      <c r="A668" s="5">
        <v>1226.5</v>
      </c>
      <c r="B668" s="6">
        <v>27214787.504500002</v>
      </c>
      <c r="C668" s="6">
        <f t="shared" si="10"/>
        <v>29249787.504500002</v>
      </c>
      <c r="D668" s="6">
        <v>161493.20363</v>
      </c>
      <c r="E668" s="2">
        <v>664</v>
      </c>
    </row>
    <row r="669" spans="1:5" x14ac:dyDescent="0.35">
      <c r="A669" s="5">
        <v>1227</v>
      </c>
      <c r="B669" s="6">
        <v>27295605.9036</v>
      </c>
      <c r="C669" s="6">
        <f t="shared" si="10"/>
        <v>29330605.9036</v>
      </c>
      <c r="D669" s="6">
        <v>161777.41010000001</v>
      </c>
      <c r="E669" s="2">
        <v>665</v>
      </c>
    </row>
    <row r="670" spans="1:5" x14ac:dyDescent="0.35">
      <c r="A670" s="5">
        <v>1227.5</v>
      </c>
      <c r="B670" s="6">
        <v>27376565.713599999</v>
      </c>
      <c r="C670" s="6">
        <f t="shared" si="10"/>
        <v>29411565.713599999</v>
      </c>
      <c r="D670" s="6">
        <v>162052.72404</v>
      </c>
      <c r="E670" s="2">
        <v>666</v>
      </c>
    </row>
    <row r="671" spans="1:5" x14ac:dyDescent="0.35">
      <c r="A671" s="5">
        <v>1228</v>
      </c>
      <c r="B671" s="6">
        <v>27457664.4102</v>
      </c>
      <c r="C671" s="6">
        <f t="shared" si="10"/>
        <v>29492664.4102</v>
      </c>
      <c r="D671" s="6">
        <v>162341.39403900001</v>
      </c>
      <c r="E671" s="2">
        <v>667</v>
      </c>
    </row>
    <row r="672" spans="1:5" x14ac:dyDescent="0.35">
      <c r="A672" s="5">
        <v>1228.5</v>
      </c>
      <c r="B672" s="6">
        <v>27538908.649500001</v>
      </c>
      <c r="C672" s="6">
        <f t="shared" si="10"/>
        <v>29573908.649500001</v>
      </c>
      <c r="D672" s="6">
        <v>162624.46834399999</v>
      </c>
      <c r="E672" s="2">
        <v>668</v>
      </c>
    </row>
    <row r="673" spans="1:5" x14ac:dyDescent="0.35">
      <c r="A673" s="5">
        <v>1229</v>
      </c>
      <c r="B673" s="6">
        <v>27620294.123799998</v>
      </c>
      <c r="C673" s="6">
        <f t="shared" si="10"/>
        <v>29655294.123799998</v>
      </c>
      <c r="D673" s="6">
        <v>162915.78763800001</v>
      </c>
      <c r="E673" s="2">
        <v>669</v>
      </c>
    </row>
    <row r="674" spans="1:5" x14ac:dyDescent="0.35">
      <c r="A674" s="5">
        <v>1229.5</v>
      </c>
      <c r="B674" s="6">
        <v>27701810.300500002</v>
      </c>
      <c r="C674" s="6">
        <f t="shared" si="10"/>
        <v>29736810.300500002</v>
      </c>
      <c r="D674" s="6">
        <v>163204.877389</v>
      </c>
      <c r="E674" s="2">
        <v>670</v>
      </c>
    </row>
    <row r="675" spans="1:5" x14ac:dyDescent="0.35">
      <c r="A675" s="5">
        <v>1230</v>
      </c>
      <c r="B675" s="6">
        <v>27783488.287099998</v>
      </c>
      <c r="C675" s="6">
        <f t="shared" si="10"/>
        <v>29818488.287099998</v>
      </c>
      <c r="D675" s="6">
        <v>163503.986947</v>
      </c>
      <c r="E675" s="2">
        <v>671</v>
      </c>
    </row>
    <row r="676" spans="1:5" x14ac:dyDescent="0.35">
      <c r="A676" s="5">
        <v>1250</v>
      </c>
      <c r="B676" s="6">
        <v>30809525</v>
      </c>
      <c r="C676" s="6">
        <f t="shared" si="10"/>
        <v>32844525</v>
      </c>
      <c r="D676" s="6">
        <v>175800</v>
      </c>
      <c r="E676" s="2">
        <v>672</v>
      </c>
    </row>
    <row r="677" spans="1:5" x14ac:dyDescent="0.35">
      <c r="A677" s="5"/>
      <c r="B677" s="6"/>
      <c r="C677" s="6"/>
      <c r="D677" s="6"/>
      <c r="E677" s="2"/>
    </row>
    <row r="678" spans="1:5" x14ac:dyDescent="0.35">
      <c r="A678" s="5"/>
      <c r="B678" s="6"/>
      <c r="C678" s="6"/>
      <c r="D678" s="6"/>
      <c r="E678" s="2"/>
    </row>
    <row r="679" spans="1:5" x14ac:dyDescent="0.35">
      <c r="A679" s="5"/>
      <c r="B679" s="6"/>
      <c r="C679" s="6"/>
      <c r="D679" s="6"/>
      <c r="E679" s="2"/>
    </row>
    <row r="680" spans="1:5" x14ac:dyDescent="0.35">
      <c r="A680" s="5"/>
      <c r="B680" s="6"/>
      <c r="C680" s="6"/>
      <c r="E680" s="2"/>
    </row>
    <row r="681" spans="1:5" x14ac:dyDescent="0.35">
      <c r="A681" s="5"/>
      <c r="B681" s="6"/>
      <c r="C681" s="6"/>
      <c r="E681" s="2"/>
    </row>
    <row r="682" spans="1:5" x14ac:dyDescent="0.35">
      <c r="A682" s="5"/>
      <c r="B682" s="6"/>
      <c r="C682" s="6"/>
      <c r="E682" s="2"/>
    </row>
    <row r="683" spans="1:5" x14ac:dyDescent="0.35">
      <c r="A683" s="5"/>
      <c r="B683" s="6"/>
      <c r="C683" s="6"/>
      <c r="E683" s="2"/>
    </row>
    <row r="684" spans="1:5" x14ac:dyDescent="0.35">
      <c r="A684" s="5"/>
      <c r="B684" s="6"/>
      <c r="C684" s="6"/>
      <c r="E684" s="2"/>
    </row>
    <row r="685" spans="1:5" x14ac:dyDescent="0.35">
      <c r="A685" s="5"/>
      <c r="B685" s="6"/>
      <c r="C685" s="6"/>
      <c r="E685" s="2"/>
    </row>
    <row r="686" spans="1:5" x14ac:dyDescent="0.35">
      <c r="A686" s="5"/>
      <c r="B686" s="6"/>
      <c r="C686" s="6"/>
      <c r="E686" s="2"/>
    </row>
    <row r="687" spans="1:5" x14ac:dyDescent="0.35">
      <c r="A687" s="5"/>
      <c r="B687" s="6"/>
      <c r="C687" s="6"/>
      <c r="E687" s="2"/>
    </row>
    <row r="688" spans="1:5" x14ac:dyDescent="0.35">
      <c r="A688" s="5"/>
      <c r="B688" s="6"/>
      <c r="C688" s="6"/>
      <c r="E688" s="2"/>
    </row>
    <row r="689" spans="1:5" x14ac:dyDescent="0.35">
      <c r="A689" s="5"/>
      <c r="B689" s="6"/>
      <c r="C689" s="6"/>
      <c r="E689" s="2"/>
    </row>
  </sheetData>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A42B8-4AEA-4873-A5DD-CAD33EDD3E21}">
  <dimension ref="A1:R62"/>
  <sheetViews>
    <sheetView topLeftCell="A15" zoomScale="150" zoomScaleNormal="150" workbookViewId="0">
      <selection activeCell="A21" sqref="A21:E52"/>
    </sheetView>
  </sheetViews>
  <sheetFormatPr defaultRowHeight="14.5" x14ac:dyDescent="0.35"/>
  <cols>
    <col min="1" max="1" width="41.81640625" customWidth="1"/>
    <col min="2" max="2" width="7.81640625" customWidth="1"/>
    <col min="3" max="3" width="8" style="2" customWidth="1"/>
    <col min="4" max="4" width="7.54296875" customWidth="1"/>
    <col min="5" max="5" width="7.26953125" customWidth="1"/>
    <col min="6" max="6" width="7.6328125" customWidth="1"/>
    <col min="7" max="7" width="7.08984375" customWidth="1"/>
    <col min="8" max="8" width="7.36328125" hidden="1" customWidth="1"/>
    <col min="9" max="9" width="7.7265625" hidden="1" customWidth="1"/>
    <col min="10" max="12" width="8.7265625" hidden="1" customWidth="1"/>
    <col min="14" max="14" width="12.26953125" customWidth="1"/>
    <col min="15" max="15" width="13" customWidth="1"/>
    <col min="16" max="16" width="9.81640625" customWidth="1"/>
    <col min="17" max="17" width="10.81640625" customWidth="1"/>
    <col min="18" max="18" width="21.6328125" customWidth="1"/>
  </cols>
  <sheetData>
    <row r="1" spans="1:11" x14ac:dyDescent="0.35">
      <c r="A1" s="1" t="s">
        <v>110</v>
      </c>
      <c r="B1" s="1"/>
    </row>
    <row r="2" spans="1:11" x14ac:dyDescent="0.35">
      <c r="A2" s="1"/>
      <c r="B2" s="1"/>
    </row>
    <row r="3" spans="1:11" ht="16.5" customHeight="1" x14ac:dyDescent="0.35">
      <c r="A3" s="26" t="s">
        <v>51</v>
      </c>
      <c r="B3" s="26"/>
      <c r="C3" s="26"/>
      <c r="D3" s="26"/>
      <c r="E3" s="26"/>
      <c r="F3" s="26"/>
      <c r="G3" s="26"/>
      <c r="H3" s="26"/>
      <c r="I3" s="26"/>
      <c r="J3" s="26"/>
      <c r="K3" s="26"/>
    </row>
    <row r="4" spans="1:11" x14ac:dyDescent="0.35">
      <c r="A4" s="17" t="s">
        <v>39</v>
      </c>
      <c r="B4" s="13" t="s">
        <v>43</v>
      </c>
      <c r="C4" s="1" t="s">
        <v>44</v>
      </c>
    </row>
    <row r="5" spans="1:11" x14ac:dyDescent="0.35">
      <c r="A5" s="27" t="s">
        <v>52</v>
      </c>
      <c r="B5" s="47"/>
      <c r="C5" s="105"/>
      <c r="D5" s="105"/>
      <c r="E5" s="105"/>
      <c r="F5" s="105"/>
      <c r="G5" s="105"/>
      <c r="H5" s="105"/>
    </row>
    <row r="6" spans="1:11" x14ac:dyDescent="0.35">
      <c r="A6" s="16" t="s">
        <v>40</v>
      </c>
      <c r="B6" s="47"/>
      <c r="C6" s="105"/>
      <c r="D6" s="105"/>
      <c r="E6" s="105"/>
      <c r="F6" s="105"/>
      <c r="G6" s="105"/>
      <c r="H6" s="105"/>
    </row>
    <row r="7" spans="1:11" x14ac:dyDescent="0.35">
      <c r="A7" s="16" t="s">
        <v>41</v>
      </c>
      <c r="B7" s="47"/>
      <c r="C7" s="105"/>
      <c r="D7" s="105"/>
      <c r="E7" s="105"/>
      <c r="F7" s="105"/>
      <c r="G7" s="105"/>
      <c r="H7" s="105"/>
    </row>
    <row r="8" spans="1:11" x14ac:dyDescent="0.35">
      <c r="A8" s="16" t="s">
        <v>42</v>
      </c>
      <c r="B8" s="47"/>
      <c r="C8" s="105"/>
      <c r="D8" s="105"/>
      <c r="E8" s="105"/>
      <c r="F8" s="105"/>
      <c r="G8" s="105"/>
      <c r="H8" s="105"/>
    </row>
    <row r="9" spans="1:11" x14ac:dyDescent="0.35">
      <c r="A9" s="16"/>
      <c r="B9" s="2"/>
      <c r="C9"/>
    </row>
    <row r="10" spans="1:11" x14ac:dyDescent="0.35">
      <c r="A10" s="19" t="s">
        <v>46</v>
      </c>
      <c r="B10" s="2"/>
      <c r="C10"/>
    </row>
    <row r="11" spans="1:11" x14ac:dyDescent="0.35">
      <c r="A11" s="20" t="s">
        <v>53</v>
      </c>
    </row>
    <row r="12" spans="1:11" x14ac:dyDescent="0.35">
      <c r="A12" s="22" t="s">
        <v>48</v>
      </c>
      <c r="B12" s="19"/>
    </row>
    <row r="13" spans="1:11" x14ac:dyDescent="0.35">
      <c r="A13" s="21" t="s">
        <v>47</v>
      </c>
    </row>
    <row r="15" spans="1:11" x14ac:dyDescent="0.35">
      <c r="A15" s="1" t="s">
        <v>54</v>
      </c>
      <c r="D15" s="20"/>
    </row>
    <row r="17" spans="1:13" x14ac:dyDescent="0.35">
      <c r="A17" s="1" t="s">
        <v>32</v>
      </c>
      <c r="B17" s="1" t="s">
        <v>112</v>
      </c>
      <c r="C17" s="13" t="s">
        <v>113</v>
      </c>
    </row>
    <row r="18" spans="1:13" x14ac:dyDescent="0.35">
      <c r="A18" t="s">
        <v>111</v>
      </c>
      <c r="B18" s="12">
        <v>5.73</v>
      </c>
      <c r="C18" s="12">
        <v>6</v>
      </c>
      <c r="D18" s="23" t="s">
        <v>142</v>
      </c>
    </row>
    <row r="19" spans="1:13" x14ac:dyDescent="0.35">
      <c r="A19" t="s">
        <v>33</v>
      </c>
      <c r="B19" s="12">
        <v>11</v>
      </c>
      <c r="C19" s="12">
        <v>10.1</v>
      </c>
      <c r="D19" s="11" t="s">
        <v>34</v>
      </c>
    </row>
    <row r="21" spans="1:13" s="1" customFormat="1" x14ac:dyDescent="0.35">
      <c r="A21" s="1" t="s">
        <v>35</v>
      </c>
      <c r="B21" s="1" t="s">
        <v>49</v>
      </c>
      <c r="C21" s="13" t="s">
        <v>5</v>
      </c>
      <c r="D21" s="13" t="s">
        <v>6</v>
      </c>
      <c r="E21" s="13" t="s">
        <v>7</v>
      </c>
      <c r="F21" s="13" t="s">
        <v>8</v>
      </c>
      <c r="G21" s="13" t="s">
        <v>9</v>
      </c>
      <c r="H21" s="13" t="s">
        <v>10</v>
      </c>
      <c r="I21" s="13" t="s">
        <v>11</v>
      </c>
      <c r="J21" s="13" t="s">
        <v>12</v>
      </c>
      <c r="K21" s="13" t="s">
        <v>36</v>
      </c>
      <c r="L21" s="13" t="s">
        <v>37</v>
      </c>
      <c r="M21" s="13" t="s">
        <v>108</v>
      </c>
    </row>
    <row r="22" spans="1:13" x14ac:dyDescent="0.35">
      <c r="A22" s="1" t="s">
        <v>45</v>
      </c>
      <c r="B22" s="1"/>
      <c r="C22" s="12">
        <v>11</v>
      </c>
      <c r="D22" s="12">
        <f>C22</f>
        <v>11</v>
      </c>
      <c r="E22" s="12">
        <f t="shared" ref="E22:L22" si="0">D22</f>
        <v>11</v>
      </c>
      <c r="F22" s="12">
        <f t="shared" si="0"/>
        <v>11</v>
      </c>
      <c r="G22" s="12">
        <f t="shared" si="0"/>
        <v>11</v>
      </c>
      <c r="H22" s="12">
        <f t="shared" si="0"/>
        <v>11</v>
      </c>
      <c r="I22" s="12">
        <f t="shared" si="0"/>
        <v>11</v>
      </c>
      <c r="J22" s="12">
        <f t="shared" si="0"/>
        <v>11</v>
      </c>
      <c r="K22" s="12">
        <f t="shared" si="0"/>
        <v>11</v>
      </c>
      <c r="L22" s="12">
        <f t="shared" si="0"/>
        <v>11</v>
      </c>
    </row>
    <row r="23" spans="1:13" hidden="1" x14ac:dyDescent="0.35">
      <c r="A23" s="1" t="s">
        <v>123</v>
      </c>
      <c r="B23" s="1"/>
      <c r="C23" s="12">
        <f>IF(C$22&lt;&gt;"",0.8,"")</f>
        <v>0.8</v>
      </c>
      <c r="D23" s="12">
        <f t="shared" ref="D23:L23" si="1">IF(D$22&lt;&gt;"",0.8,"")</f>
        <v>0.8</v>
      </c>
      <c r="E23" s="12">
        <f t="shared" si="1"/>
        <v>0.8</v>
      </c>
      <c r="F23" s="12">
        <f t="shared" si="1"/>
        <v>0.8</v>
      </c>
      <c r="G23" s="12">
        <f t="shared" si="1"/>
        <v>0.8</v>
      </c>
      <c r="H23" s="12">
        <f t="shared" si="1"/>
        <v>0.8</v>
      </c>
      <c r="I23" s="12">
        <f t="shared" si="1"/>
        <v>0.8</v>
      </c>
      <c r="J23" s="12">
        <f t="shared" si="1"/>
        <v>0.8</v>
      </c>
      <c r="K23" s="12">
        <f t="shared" si="1"/>
        <v>0.8</v>
      </c>
      <c r="L23" s="12">
        <f t="shared" si="1"/>
        <v>0.8</v>
      </c>
    </row>
    <row r="24" spans="1:13" hidden="1" x14ac:dyDescent="0.35">
      <c r="A24" s="1" t="s">
        <v>126</v>
      </c>
      <c r="B24" s="1"/>
      <c r="C24" s="14">
        <f>IF(C$22&lt;&gt;"",SUM(C25:C27),"")</f>
        <v>21.1</v>
      </c>
      <c r="D24" s="14">
        <f>IF(D$22&lt;&gt;"",C57,"")</f>
        <v>18.71110232000003</v>
      </c>
      <c r="E24" s="14">
        <f t="shared" ref="E24:L24" si="2">IF(E$22&lt;&gt;"",D57,"")</f>
        <v>16.392913683000028</v>
      </c>
      <c r="F24" s="14">
        <f t="shared" si="2"/>
        <v>15.05395331571655</v>
      </c>
      <c r="G24" s="14">
        <f t="shared" si="2"/>
        <v>14.723767238139169</v>
      </c>
      <c r="H24" s="14">
        <f t="shared" si="2"/>
        <v>14.407226771938737</v>
      </c>
      <c r="I24" s="14">
        <f t="shared" si="2"/>
        <v>14.508747251838164</v>
      </c>
      <c r="J24" s="14">
        <f t="shared" si="2"/>
        <v>14.607996684339339</v>
      </c>
      <c r="K24" s="14">
        <f t="shared" si="2"/>
        <v>14.702710079338168</v>
      </c>
      <c r="L24" s="14">
        <f t="shared" si="2"/>
        <v>14.795152484238169</v>
      </c>
    </row>
    <row r="25" spans="1:13" x14ac:dyDescent="0.35">
      <c r="A25" t="s">
        <v>118</v>
      </c>
      <c r="C25" s="14">
        <f>IF(C$22&lt;&gt;"",$B$19,"")</f>
        <v>11</v>
      </c>
      <c r="D25" s="14">
        <f>IF(D22&lt;&gt;"",C54,"")</f>
        <v>9.0172571336493021</v>
      </c>
      <c r="E25" s="14">
        <f t="shared" ref="E25:L27" si="3">IF(E22&lt;&gt;"",D54,"")</f>
        <v>7.1088601682676069</v>
      </c>
      <c r="F25" s="14">
        <f t="shared" si="3"/>
        <v>6.1</v>
      </c>
      <c r="G25" s="14">
        <f t="shared" si="3"/>
        <v>6.1</v>
      </c>
      <c r="H25" s="14">
        <f t="shared" si="3"/>
        <v>6.1</v>
      </c>
      <c r="I25" s="14">
        <f t="shared" si="3"/>
        <v>6.5047270927738641</v>
      </c>
      <c r="J25" s="14">
        <f t="shared" si="3"/>
        <v>6.8881038289447343</v>
      </c>
      <c r="K25" s="14">
        <f t="shared" si="3"/>
        <v>7.2503712989619817</v>
      </c>
      <c r="L25" s="14">
        <f t="shared" si="3"/>
        <v>7.5937558729898971</v>
      </c>
    </row>
    <row r="26" spans="1:13" x14ac:dyDescent="0.35">
      <c r="A26" t="s">
        <v>119</v>
      </c>
      <c r="C26" s="14">
        <f>IF(C$22&lt;&gt;"",$C$19,"")</f>
        <v>10.1</v>
      </c>
      <c r="D26" s="14">
        <f>IF(D23&lt;&gt;"",C55,"")</f>
        <v>9.6938451863507265</v>
      </c>
      <c r="E26" s="14">
        <f t="shared" si="3"/>
        <v>9.2840535147324221</v>
      </c>
      <c r="F26" s="14">
        <f t="shared" si="3"/>
        <v>8.9539533157165501</v>
      </c>
      <c r="G26" s="14">
        <f t="shared" si="3"/>
        <v>8.6237672381391697</v>
      </c>
      <c r="H26" s="14">
        <f t="shared" si="3"/>
        <v>8.3072267719387369</v>
      </c>
      <c r="I26" s="14">
        <f t="shared" si="3"/>
        <v>8.0040201590643001</v>
      </c>
      <c r="J26" s="14">
        <f t="shared" si="3"/>
        <v>7.7198928553946047</v>
      </c>
      <c r="K26" s="14">
        <f t="shared" si="3"/>
        <v>7.452338780376186</v>
      </c>
      <c r="L26" s="14">
        <f t="shared" si="3"/>
        <v>7.2013966112482724</v>
      </c>
    </row>
    <row r="27" spans="1:13" x14ac:dyDescent="0.35">
      <c r="A27" t="s">
        <v>31</v>
      </c>
      <c r="C27" s="14">
        <f>IF(C22&lt;&gt;"",0,"")</f>
        <v>0</v>
      </c>
      <c r="D27" s="14">
        <f>IF(D24&lt;&gt;"",C56,"")</f>
        <v>0</v>
      </c>
      <c r="E27" s="14">
        <f t="shared" si="3"/>
        <v>0</v>
      </c>
      <c r="F27" s="14">
        <f t="shared" si="3"/>
        <v>0</v>
      </c>
      <c r="G27" s="14">
        <f t="shared" si="3"/>
        <v>0</v>
      </c>
      <c r="H27" s="14">
        <f t="shared" si="3"/>
        <v>0</v>
      </c>
      <c r="I27" s="14">
        <f t="shared" si="3"/>
        <v>0</v>
      </c>
      <c r="J27" s="14">
        <f t="shared" si="3"/>
        <v>0</v>
      </c>
      <c r="K27" s="14">
        <f t="shared" si="3"/>
        <v>0</v>
      </c>
      <c r="L27" s="14">
        <f t="shared" si="3"/>
        <v>0</v>
      </c>
    </row>
    <row r="28" spans="1:13" hidden="1" x14ac:dyDescent="0.35">
      <c r="A28" s="1" t="s">
        <v>117</v>
      </c>
      <c r="C28"/>
    </row>
    <row r="29" spans="1:13" hidden="1" x14ac:dyDescent="0.35">
      <c r="A29" t="s">
        <v>115</v>
      </c>
      <c r="B29" s="35">
        <v>0.5</v>
      </c>
      <c r="C29" s="14">
        <f>C25</f>
        <v>11</v>
      </c>
      <c r="D29" s="14">
        <f t="shared" ref="D29:L30" si="4">IF(D22&lt;&gt;"",$B29*D$24,"")</f>
        <v>9.3555511600000152</v>
      </c>
      <c r="E29" s="14">
        <f t="shared" si="4"/>
        <v>8.1964568415000141</v>
      </c>
      <c r="F29" s="14">
        <f t="shared" si="4"/>
        <v>7.5269766578582749</v>
      </c>
      <c r="G29" s="14">
        <f t="shared" si="4"/>
        <v>7.3618836190695847</v>
      </c>
      <c r="H29" s="14">
        <f t="shared" si="4"/>
        <v>7.2036133859693683</v>
      </c>
      <c r="I29" s="14">
        <f t="shared" si="4"/>
        <v>7.2543736259190821</v>
      </c>
      <c r="J29" s="14">
        <f t="shared" si="4"/>
        <v>7.3039983421696695</v>
      </c>
      <c r="K29" s="14">
        <f t="shared" si="4"/>
        <v>7.3513550396690839</v>
      </c>
      <c r="L29" s="14">
        <f t="shared" si="4"/>
        <v>7.3975762421190847</v>
      </c>
    </row>
    <row r="30" spans="1:13" hidden="1" x14ac:dyDescent="0.35">
      <c r="A30" t="s">
        <v>116</v>
      </c>
      <c r="B30" s="35">
        <f>1-B29</f>
        <v>0.5</v>
      </c>
      <c r="C30" s="14">
        <f>C26</f>
        <v>10.1</v>
      </c>
      <c r="D30" s="14">
        <f t="shared" si="4"/>
        <v>9.3555511600000152</v>
      </c>
      <c r="E30" s="14">
        <f t="shared" si="4"/>
        <v>8.1964568415000141</v>
      </c>
      <c r="F30" s="14">
        <f t="shared" si="4"/>
        <v>7.5269766578582749</v>
      </c>
      <c r="G30" s="14">
        <f t="shared" si="4"/>
        <v>7.3618836190695847</v>
      </c>
      <c r="H30" s="14">
        <f t="shared" si="4"/>
        <v>7.2036133859693683</v>
      </c>
      <c r="I30" s="14">
        <f t="shared" si="4"/>
        <v>7.2543736259190821</v>
      </c>
      <c r="J30" s="14">
        <f t="shared" si="4"/>
        <v>7.3039983421696695</v>
      </c>
      <c r="K30" s="14">
        <f t="shared" si="4"/>
        <v>7.3513550396690839</v>
      </c>
      <c r="L30" s="14">
        <f t="shared" si="4"/>
        <v>7.3975762421190847</v>
      </c>
    </row>
    <row r="31" spans="1:13" x14ac:dyDescent="0.35">
      <c r="A31" s="1" t="s">
        <v>121</v>
      </c>
      <c r="B31" s="1"/>
      <c r="C31" s="14">
        <f>IF(C$22&lt;&gt;"",VLOOKUP(C29*1000000,'Powell-Elevation-Area'!$B$5:$D$689,3)*$B$18/1000000 + VLOOKUP(C30*1000000,'Mead-Elevation-Area'!$B$5:$D$676,3)*$C$18/1000000,"")</f>
        <v>1.0218976799999733</v>
      </c>
      <c r="D31" s="14">
        <f>IF(D$22&lt;&gt;"",VLOOKUP(D29*1000000,'Powell-Elevation-Area'!$B$5:$D$689,3)*$B$18/1000000 + VLOOKUP(D30*1000000,'Mead-Elevation-Area'!$B$5:$D$676,3)*$C$18/1000000,"")</f>
        <v>0.951188637</v>
      </c>
      <c r="E31" s="14">
        <f>IF(E$22&lt;&gt;"",VLOOKUP(E29*1000000,'Powell-Elevation-Area'!$B$5:$D$689,3)*$B$18/1000000 + VLOOKUP(E30*1000000,'Mead-Elevation-Area'!$B$5:$D$676,3)*$C$18/1000000,"")</f>
        <v>0.87773305499997312</v>
      </c>
      <c r="F31" s="14">
        <f>IF(F$22&lt;&gt;"",VLOOKUP(F29*1000000,'Powell-Elevation-Area'!$B$5:$D$689,3)*$B$18/1000000 + VLOOKUP(F30*1000000,'Mead-Elevation-Area'!$B$5:$D$676,3)*$C$18/1000000,"")</f>
        <v>0.83590071750057304</v>
      </c>
      <c r="G31" s="14">
        <f>IF(G$22&lt;&gt;"",VLOOKUP(G29*1000000,'Powell-Elevation-Area'!$B$5:$D$689,3)*$B$18/1000000 + VLOOKUP(G30*1000000,'Mead-Elevation-Area'!$B$5:$D$676,3)*$C$18/1000000,"")</f>
        <v>0.82557159509940004</v>
      </c>
      <c r="H31" s="14">
        <f>IF(H$22&lt;&gt;"",VLOOKUP(H29*1000000,'Powell-Elevation-Area'!$B$5:$D$689,3)*$B$18/1000000 + VLOOKUP(H30*1000000,'Mead-Elevation-Area'!$B$5:$D$676,3)*$C$18/1000000,"")</f>
        <v>0.81547952010057301</v>
      </c>
      <c r="I31" s="14">
        <f>IF(I$22&lt;&gt;"",VLOOKUP(I29*1000000,'Powell-Elevation-Area'!$B$5:$D$689,3)*$B$18/1000000 + VLOOKUP(I30*1000000,'Mead-Elevation-Area'!$B$5:$D$676,3)*$C$18/1000000,"")</f>
        <v>0.81775056749882702</v>
      </c>
      <c r="J31" s="14">
        <f>IF(J$22&lt;&gt;"",VLOOKUP(J29*1000000,'Powell-Elevation-Area'!$B$5:$D$689,3)*$B$18/1000000 + VLOOKUP(J30*1000000,'Mead-Elevation-Area'!$B$5:$D$676,3)*$C$18/1000000,"")</f>
        <v>0.82228660500117301</v>
      </c>
      <c r="K31" s="14">
        <f>IF(K$22&lt;&gt;"",VLOOKUP(K29*1000000,'Powell-Elevation-Area'!$B$5:$D$689,3)*$B$18/1000000 + VLOOKUP(K30*1000000,'Mead-Elevation-Area'!$B$5:$D$676,3)*$C$18/1000000,"")</f>
        <v>0.82455759509999993</v>
      </c>
      <c r="L31" s="14">
        <f>IF(L$22&lt;&gt;"",VLOOKUP(L29*1000000,'Powell-Elevation-Area'!$B$5:$D$689,3)*$B$18/1000000 + VLOOKUP(L30*1000000,'Mead-Elevation-Area'!$B$5:$D$676,3)*$C$18/1000000,"")</f>
        <v>0.82783664249940003</v>
      </c>
    </row>
    <row r="32" spans="1:13" hidden="1" x14ac:dyDescent="0.35">
      <c r="A32" t="s">
        <v>100</v>
      </c>
      <c r="B32" s="1"/>
      <c r="C32" s="14">
        <f>IF(C$22&lt;&gt;"",C$31*C25/C$24,"")</f>
        <v>0.5327428663506969</v>
      </c>
      <c r="D32" s="14">
        <f t="shared" ref="D32:L34" si="5">IF(D$22&lt;&gt;"",D$31*D25/D$24,"")</f>
        <v>0.458396965381695</v>
      </c>
      <c r="E32" s="14">
        <f t="shared" si="5"/>
        <v>0.38063285598410107</v>
      </c>
      <c r="F32" s="14">
        <f t="shared" si="5"/>
        <v>0.33871463992319345</v>
      </c>
      <c r="G32" s="14">
        <f t="shared" si="5"/>
        <v>0.34203112889896525</v>
      </c>
      <c r="H32" s="14">
        <f t="shared" si="5"/>
        <v>0.34527290722613518</v>
      </c>
      <c r="I32" s="14">
        <f t="shared" si="5"/>
        <v>0.36662326382912958</v>
      </c>
      <c r="J32" s="14">
        <f t="shared" si="5"/>
        <v>0.38773252998275209</v>
      </c>
      <c r="K32" s="14">
        <f t="shared" si="5"/>
        <v>0.40661542597208489</v>
      </c>
      <c r="L32" s="14">
        <f t="shared" si="5"/>
        <v>0.42489520622063093</v>
      </c>
    </row>
    <row r="33" spans="1:13" hidden="1" x14ac:dyDescent="0.35">
      <c r="A33" t="s">
        <v>101</v>
      </c>
      <c r="B33" s="1"/>
      <c r="C33" s="14">
        <f>IF(C$22&lt;&gt;"",C$31*C26/C$24,"")</f>
        <v>0.48915481364927621</v>
      </c>
      <c r="D33" s="14">
        <f t="shared" si="5"/>
        <v>0.49279167161830495</v>
      </c>
      <c r="E33" s="14">
        <f t="shared" si="5"/>
        <v>0.4971001990158721</v>
      </c>
      <c r="F33" s="14">
        <f t="shared" si="5"/>
        <v>0.49718607757737959</v>
      </c>
      <c r="G33" s="14">
        <f t="shared" si="5"/>
        <v>0.48354046620043478</v>
      </c>
      <c r="H33" s="14">
        <f t="shared" si="5"/>
        <v>0.47020661287443777</v>
      </c>
      <c r="I33" s="14">
        <f t="shared" si="5"/>
        <v>0.45112730366969739</v>
      </c>
      <c r="J33" s="14">
        <f t="shared" si="5"/>
        <v>0.43455407501842092</v>
      </c>
      <c r="K33" s="14">
        <f t="shared" si="5"/>
        <v>0.41794216912791515</v>
      </c>
      <c r="L33" s="14">
        <f t="shared" si="5"/>
        <v>0.40294143627876911</v>
      </c>
    </row>
    <row r="34" spans="1:13" hidden="1" x14ac:dyDescent="0.35">
      <c r="A34" t="s">
        <v>102</v>
      </c>
      <c r="B34" s="1"/>
      <c r="C34" s="14">
        <f>IF(C$22&lt;&gt;"",C$31*C27/C$24,"")</f>
        <v>0</v>
      </c>
      <c r="D34" s="14">
        <f t="shared" si="5"/>
        <v>0</v>
      </c>
      <c r="E34" s="14">
        <f t="shared" si="5"/>
        <v>0</v>
      </c>
      <c r="F34" s="14">
        <f t="shared" si="5"/>
        <v>0</v>
      </c>
      <c r="G34" s="14">
        <f t="shared" si="5"/>
        <v>0</v>
      </c>
      <c r="H34" s="14">
        <f t="shared" si="5"/>
        <v>0</v>
      </c>
      <c r="I34" s="14">
        <f t="shared" si="5"/>
        <v>0</v>
      </c>
      <c r="J34" s="14">
        <f t="shared" si="5"/>
        <v>0</v>
      </c>
      <c r="K34" s="14">
        <f t="shared" si="5"/>
        <v>0</v>
      </c>
      <c r="L34" s="14">
        <f t="shared" si="5"/>
        <v>0</v>
      </c>
    </row>
    <row r="35" spans="1:13" hidden="1" x14ac:dyDescent="0.35">
      <c r="A35" s="1" t="s">
        <v>120</v>
      </c>
      <c r="B35" s="1"/>
      <c r="C35" s="25">
        <f>IF(C22&lt;&gt;"",1.5,"")</f>
        <v>1.5</v>
      </c>
      <c r="D35" s="25">
        <f t="shared" ref="D35:L35" si="6">IF(D22&lt;&gt;"",1.5,"")</f>
        <v>1.5</v>
      </c>
      <c r="E35" s="25">
        <f t="shared" si="6"/>
        <v>1.5</v>
      </c>
      <c r="F35" s="25">
        <f t="shared" si="6"/>
        <v>1.5</v>
      </c>
      <c r="G35" s="25">
        <f t="shared" si="6"/>
        <v>1.5</v>
      </c>
      <c r="H35" s="25">
        <f t="shared" si="6"/>
        <v>1.5</v>
      </c>
      <c r="I35" s="25">
        <f t="shared" si="6"/>
        <v>1.5</v>
      </c>
      <c r="J35" s="25">
        <f t="shared" si="6"/>
        <v>1.5</v>
      </c>
      <c r="K35" s="25">
        <f t="shared" si="6"/>
        <v>1.5</v>
      </c>
      <c r="L35" s="25">
        <f t="shared" si="6"/>
        <v>1.5</v>
      </c>
    </row>
    <row r="36" spans="1:13" x14ac:dyDescent="0.35">
      <c r="A36" s="1" t="s">
        <v>135</v>
      </c>
      <c r="B36" s="1"/>
      <c r="C36" s="14">
        <f>IF(C$22&lt;&gt;"",C22-C35/2,"")</f>
        <v>10.25</v>
      </c>
      <c r="D36" s="14">
        <f t="shared" ref="D36:L36" si="7">IF(D$22&lt;&gt;"",D22-D35/2,"")</f>
        <v>10.25</v>
      </c>
      <c r="E36" s="14">
        <f t="shared" si="7"/>
        <v>10.25</v>
      </c>
      <c r="F36" s="14">
        <f t="shared" si="7"/>
        <v>10.25</v>
      </c>
      <c r="G36" s="14">
        <f t="shared" si="7"/>
        <v>10.25</v>
      </c>
      <c r="H36" s="14">
        <f t="shared" si="7"/>
        <v>10.25</v>
      </c>
      <c r="I36" s="14">
        <f t="shared" si="7"/>
        <v>10.25</v>
      </c>
      <c r="J36" s="14">
        <f t="shared" si="7"/>
        <v>10.25</v>
      </c>
      <c r="K36" s="14">
        <f t="shared" si="7"/>
        <v>10.25</v>
      </c>
      <c r="L36" s="14">
        <f t="shared" si="7"/>
        <v>10.25</v>
      </c>
    </row>
    <row r="37" spans="1:13" x14ac:dyDescent="0.35">
      <c r="A37" t="s">
        <v>0</v>
      </c>
      <c r="B37" s="24"/>
      <c r="C37" s="14">
        <f>IF(C22&lt;&gt;"",MAX(0,C36-C38),"")</f>
        <v>2.75</v>
      </c>
      <c r="D37" s="14">
        <f t="shared" ref="D37:L37" si="8">IF(D22&lt;&gt;"",MAX(0,D36-D38),"")</f>
        <v>2.75</v>
      </c>
      <c r="E37" s="14">
        <f t="shared" si="8"/>
        <v>2.75</v>
      </c>
      <c r="F37" s="14">
        <f t="shared" si="8"/>
        <v>2.75</v>
      </c>
      <c r="G37" s="14">
        <f t="shared" si="8"/>
        <v>2.75</v>
      </c>
      <c r="H37" s="14">
        <f t="shared" si="8"/>
        <v>2.75</v>
      </c>
      <c r="I37" s="14">
        <f t="shared" si="8"/>
        <v>2.75</v>
      </c>
      <c r="J37" s="14">
        <f t="shared" si="8"/>
        <v>2.75</v>
      </c>
      <c r="K37" s="14">
        <f t="shared" si="8"/>
        <v>2.75</v>
      </c>
      <c r="L37" s="14">
        <f t="shared" si="8"/>
        <v>2.75</v>
      </c>
    </row>
    <row r="38" spans="1:13" x14ac:dyDescent="0.35">
      <c r="A38" t="s">
        <v>1</v>
      </c>
      <c r="B38" s="44">
        <v>7.5</v>
      </c>
      <c r="C38" s="14">
        <f>IF(C22&lt;&gt;"",IF(C36&gt;$B38,$B38,C36),"")</f>
        <v>7.5</v>
      </c>
      <c r="D38" s="14">
        <f t="shared" ref="D38:L38" si="9">IF(D22&lt;&gt;"",IF(D36&gt;$B38,$B38,D36),"")</f>
        <v>7.5</v>
      </c>
      <c r="E38" s="14">
        <f t="shared" si="9"/>
        <v>7.5</v>
      </c>
      <c r="F38" s="14">
        <f t="shared" si="9"/>
        <v>7.5</v>
      </c>
      <c r="G38" s="14">
        <f t="shared" si="9"/>
        <v>7.5</v>
      </c>
      <c r="H38" s="14">
        <f t="shared" si="9"/>
        <v>7.5</v>
      </c>
      <c r="I38" s="14">
        <f t="shared" si="9"/>
        <v>7.5</v>
      </c>
      <c r="J38" s="14">
        <f t="shared" si="9"/>
        <v>7.5</v>
      </c>
      <c r="K38" s="14">
        <f t="shared" si="9"/>
        <v>7.5</v>
      </c>
      <c r="L38" s="14">
        <f t="shared" si="9"/>
        <v>7.5</v>
      </c>
    </row>
    <row r="39" spans="1:13" x14ac:dyDescent="0.35">
      <c r="A39" s="1" t="s">
        <v>105</v>
      </c>
      <c r="C39"/>
    </row>
    <row r="40" spans="1:13" x14ac:dyDescent="0.35">
      <c r="A40" s="32" t="s">
        <v>103</v>
      </c>
      <c r="B40" s="1"/>
      <c r="C40" s="25"/>
      <c r="D40" s="25"/>
      <c r="E40" s="25"/>
      <c r="F40" s="25"/>
      <c r="G40" s="25"/>
      <c r="H40" s="25"/>
      <c r="I40" s="25"/>
      <c r="J40" s="25"/>
      <c r="K40" s="25"/>
      <c r="L40" s="25"/>
    </row>
    <row r="41" spans="1:13" x14ac:dyDescent="0.35">
      <c r="A41" s="32" t="s">
        <v>104</v>
      </c>
      <c r="B41" s="1"/>
      <c r="C41" s="31"/>
      <c r="D41" s="31"/>
      <c r="E41" s="31"/>
      <c r="F41" s="31"/>
      <c r="G41" s="31"/>
      <c r="H41" s="31"/>
      <c r="I41" s="31"/>
      <c r="J41" s="31"/>
      <c r="K41" s="31"/>
      <c r="L41" s="31"/>
      <c r="M41" s="33">
        <f>SUM(C41:L41)</f>
        <v>0</v>
      </c>
    </row>
    <row r="42" spans="1:13" hidden="1" x14ac:dyDescent="0.35">
      <c r="A42" s="32" t="s">
        <v>106</v>
      </c>
      <c r="B42" s="1"/>
      <c r="C42" s="25"/>
      <c r="D42" s="25"/>
      <c r="E42" s="25"/>
      <c r="F42" s="25"/>
      <c r="G42" s="25"/>
      <c r="H42" s="25"/>
      <c r="I42" s="25"/>
      <c r="J42" s="25"/>
      <c r="K42" s="25"/>
      <c r="L42" s="25"/>
      <c r="M42" s="34"/>
    </row>
    <row r="43" spans="1:13" hidden="1" x14ac:dyDescent="0.35">
      <c r="A43" s="32" t="s">
        <v>107</v>
      </c>
      <c r="B43" s="1"/>
      <c r="C43" s="31"/>
      <c r="D43" s="31"/>
      <c r="E43" s="31"/>
      <c r="F43" s="31"/>
      <c r="G43" s="31"/>
      <c r="H43" s="31"/>
      <c r="I43" s="31"/>
      <c r="J43" s="31"/>
      <c r="K43" s="31"/>
      <c r="L43" s="31"/>
      <c r="M43" s="33">
        <f>SUM(C43:L43)</f>
        <v>0</v>
      </c>
    </row>
    <row r="44" spans="1:13" x14ac:dyDescent="0.35">
      <c r="A44" s="1" t="s">
        <v>124</v>
      </c>
      <c r="B44" s="1"/>
      <c r="C44"/>
    </row>
    <row r="45" spans="1:13" x14ac:dyDescent="0.35">
      <c r="A45" t="s">
        <v>2</v>
      </c>
      <c r="C45" s="14">
        <f>IF(C$22&lt;&gt;"",C25+C37-C32-C40,"")</f>
        <v>13.217257133649303</v>
      </c>
      <c r="D45" s="14">
        <f t="shared" ref="D45:L45" si="10">IF(D$22&lt;&gt;"",D25+D37-D32-D40,"")</f>
        <v>11.308860168267607</v>
      </c>
      <c r="E45" s="14">
        <f t="shared" si="10"/>
        <v>9.4782273122835061</v>
      </c>
      <c r="F45" s="14">
        <f>IF(F$22&lt;&gt;"",F25+F37-F32-F40,"")</f>
        <v>8.5112853600768066</v>
      </c>
      <c r="G45" s="14">
        <f t="shared" si="10"/>
        <v>8.5079688711010348</v>
      </c>
      <c r="H45" s="14">
        <f t="shared" si="10"/>
        <v>8.5047270927738641</v>
      </c>
      <c r="I45" s="14">
        <f t="shared" si="10"/>
        <v>8.8881038289447343</v>
      </c>
      <c r="J45" s="14">
        <f t="shared" si="10"/>
        <v>9.2503712989619817</v>
      </c>
      <c r="K45" s="14">
        <f t="shared" si="10"/>
        <v>9.5937558729898971</v>
      </c>
      <c r="L45" s="14">
        <f t="shared" si="10"/>
        <v>9.918860666769266</v>
      </c>
    </row>
    <row r="46" spans="1:13" x14ac:dyDescent="0.35">
      <c r="A46" t="s">
        <v>3</v>
      </c>
      <c r="C46" s="14">
        <f>IF(C$22&lt;&gt;"",C26+C38-C33+C40+C42+C23-C35/2,"")</f>
        <v>17.160845186350727</v>
      </c>
      <c r="D46" s="14">
        <f t="shared" ref="D46:L46" si="11">IF(D$22&lt;&gt;"",D26+D38-D33+D40+D42+D23-D35/2,"")</f>
        <v>16.751053514732423</v>
      </c>
      <c r="E46" s="14">
        <f t="shared" si="11"/>
        <v>16.336953315716549</v>
      </c>
      <c r="F46" s="14">
        <f t="shared" si="11"/>
        <v>16.006767238139169</v>
      </c>
      <c r="G46" s="14">
        <f t="shared" si="11"/>
        <v>15.690226771938736</v>
      </c>
      <c r="H46" s="14">
        <f t="shared" si="11"/>
        <v>15.387020159064299</v>
      </c>
      <c r="I46" s="14">
        <f t="shared" si="11"/>
        <v>15.102892855394604</v>
      </c>
      <c r="J46" s="14">
        <f t="shared" si="11"/>
        <v>14.835338780376185</v>
      </c>
      <c r="K46" s="14">
        <f t="shared" si="11"/>
        <v>14.584396611248271</v>
      </c>
      <c r="L46" s="14">
        <f t="shared" si="11"/>
        <v>14.348455174969503</v>
      </c>
    </row>
    <row r="47" spans="1:13" x14ac:dyDescent="0.35">
      <c r="A47" t="s">
        <v>4</v>
      </c>
      <c r="C47" s="14">
        <f>IF(C$22&lt;&gt;"",C27+C35-C34-C42,"")</f>
        <v>1.5</v>
      </c>
      <c r="D47" s="14">
        <f t="shared" ref="D47:L47" si="12">IF(D$22&lt;&gt;"",D27+D35-D34-D42,"")</f>
        <v>1.5</v>
      </c>
      <c r="E47" s="14">
        <f t="shared" si="12"/>
        <v>1.5</v>
      </c>
      <c r="F47" s="14">
        <f t="shared" si="12"/>
        <v>1.5</v>
      </c>
      <c r="G47" s="14">
        <f t="shared" si="12"/>
        <v>1.5</v>
      </c>
      <c r="H47" s="14">
        <f t="shared" si="12"/>
        <v>1.5</v>
      </c>
      <c r="I47" s="14">
        <f t="shared" si="12"/>
        <v>1.5</v>
      </c>
      <c r="J47" s="14">
        <f t="shared" si="12"/>
        <v>1.5</v>
      </c>
      <c r="K47" s="14">
        <f t="shared" si="12"/>
        <v>1.5</v>
      </c>
      <c r="L47" s="14">
        <f t="shared" si="12"/>
        <v>1.5</v>
      </c>
    </row>
    <row r="48" spans="1:13" x14ac:dyDescent="0.35">
      <c r="A48" s="1" t="s">
        <v>136</v>
      </c>
      <c r="B48" s="1"/>
      <c r="C48" s="29"/>
      <c r="D48" s="2"/>
      <c r="E48" s="2"/>
      <c r="F48" s="2"/>
      <c r="G48" s="2"/>
      <c r="H48" s="2"/>
      <c r="I48" s="2"/>
      <c r="J48" s="2"/>
      <c r="K48" s="2"/>
      <c r="L48" s="2"/>
    </row>
    <row r="49" spans="1:18" x14ac:dyDescent="0.35">
      <c r="A49" t="s">
        <v>137</v>
      </c>
      <c r="C49" s="43">
        <f>IF(C45&gt;6.1+4.2,4.2,MAX(C45-6.1,0))</f>
        <v>4.2</v>
      </c>
      <c r="D49" s="43">
        <f t="shared" ref="D49:G49" si="13">IF(D45&gt;6.1+4.2,4.2,MAX(D45-6.1,0))</f>
        <v>4.2</v>
      </c>
      <c r="E49" s="43">
        <f t="shared" si="13"/>
        <v>3.3782273122835065</v>
      </c>
      <c r="F49" s="43">
        <f t="shared" si="13"/>
        <v>2.4112853600768069</v>
      </c>
      <c r="G49" s="43">
        <f t="shared" si="13"/>
        <v>2.4079688711010352</v>
      </c>
      <c r="H49" s="43">
        <v>2</v>
      </c>
      <c r="I49" s="43">
        <v>2</v>
      </c>
      <c r="J49" s="43">
        <v>2</v>
      </c>
      <c r="K49" s="43">
        <v>2</v>
      </c>
      <c r="L49" s="43">
        <v>2</v>
      </c>
      <c r="M49" s="46"/>
      <c r="N49" s="1" t="s">
        <v>129</v>
      </c>
    </row>
    <row r="50" spans="1:18" x14ac:dyDescent="0.35">
      <c r="A50" t="s">
        <v>138</v>
      </c>
      <c r="C50" s="43">
        <f>7.5-IF(C26&lt;$O$51,$P$51,IF(C26&lt;=$O$58,VLOOKUP(C26,$O$51:$P$58,2),0))</f>
        <v>6.867</v>
      </c>
      <c r="D50" s="43">
        <f t="shared" ref="D50:G50" si="14">7.5-IF(D26&lt;$O$51,$P$51,IF(D26&lt;=$O$58,VLOOKUP(D26,$O$51:$P$58,2),0))</f>
        <v>6.867</v>
      </c>
      <c r="E50" s="43">
        <f t="shared" si="14"/>
        <v>6.7829999999999995</v>
      </c>
      <c r="F50" s="43">
        <f t="shared" si="14"/>
        <v>6.7829999999999995</v>
      </c>
      <c r="G50" s="43">
        <f t="shared" si="14"/>
        <v>6.7829999999999995</v>
      </c>
      <c r="H50" s="43">
        <f t="shared" ref="H50:L50" si="15">G50</f>
        <v>6.7829999999999995</v>
      </c>
      <c r="I50" s="43">
        <f t="shared" si="15"/>
        <v>6.7829999999999995</v>
      </c>
      <c r="J50" s="43">
        <f t="shared" si="15"/>
        <v>6.7829999999999995</v>
      </c>
      <c r="K50" s="43">
        <f t="shared" si="15"/>
        <v>6.7829999999999995</v>
      </c>
      <c r="L50" s="43">
        <f t="shared" si="15"/>
        <v>6.7829999999999995</v>
      </c>
      <c r="N50" s="37" t="s">
        <v>130</v>
      </c>
      <c r="O50" s="37" t="s">
        <v>131</v>
      </c>
      <c r="P50" s="38" t="s">
        <v>132</v>
      </c>
      <c r="Q50" s="38" t="s">
        <v>133</v>
      </c>
      <c r="R50" s="37" t="s">
        <v>134</v>
      </c>
    </row>
    <row r="51" spans="1:18" x14ac:dyDescent="0.35">
      <c r="A51" t="s">
        <v>139</v>
      </c>
      <c r="C51" s="12">
        <f>IF(C$22&lt;&gt;"",0.6,"")</f>
        <v>0.6</v>
      </c>
      <c r="D51" s="12">
        <f t="shared" ref="D51:L51" si="16">IF(D$22&lt;&gt;"",0.6,"")</f>
        <v>0.6</v>
      </c>
      <c r="E51" s="12">
        <f t="shared" si="16"/>
        <v>0.6</v>
      </c>
      <c r="F51" s="12">
        <f t="shared" si="16"/>
        <v>0.6</v>
      </c>
      <c r="G51" s="12">
        <f t="shared" si="16"/>
        <v>0.6</v>
      </c>
      <c r="H51" s="12">
        <f t="shared" si="16"/>
        <v>0.6</v>
      </c>
      <c r="I51" s="12">
        <f t="shared" si="16"/>
        <v>0.6</v>
      </c>
      <c r="J51" s="12">
        <f t="shared" si="16"/>
        <v>0.6</v>
      </c>
      <c r="K51" s="12">
        <f t="shared" si="16"/>
        <v>0.6</v>
      </c>
      <c r="L51" s="12">
        <f t="shared" si="16"/>
        <v>0.6</v>
      </c>
      <c r="N51" s="39">
        <v>1025</v>
      </c>
      <c r="O51" s="40">
        <v>5.981122</v>
      </c>
      <c r="P51" s="41">
        <f t="shared" ref="P51:P58" si="17">R51-Q51</f>
        <v>1.2</v>
      </c>
      <c r="Q51" s="42">
        <v>0.125</v>
      </c>
      <c r="R51" s="41">
        <v>1.325</v>
      </c>
    </row>
    <row r="52" spans="1:18" x14ac:dyDescent="0.35">
      <c r="A52" t="s">
        <v>140</v>
      </c>
      <c r="C52" s="25">
        <v>1.5</v>
      </c>
      <c r="D52" s="25">
        <v>1.5</v>
      </c>
      <c r="E52" s="25">
        <v>1.5</v>
      </c>
      <c r="F52" s="25">
        <v>1.5</v>
      </c>
      <c r="G52" s="25">
        <v>1.5</v>
      </c>
      <c r="H52" s="25">
        <v>1.5</v>
      </c>
      <c r="I52" s="25">
        <v>1.5</v>
      </c>
      <c r="J52" s="25">
        <v>1.5</v>
      </c>
      <c r="K52" s="25">
        <v>1.5</v>
      </c>
      <c r="L52" s="25">
        <v>1.5</v>
      </c>
      <c r="N52" s="39">
        <v>1030</v>
      </c>
      <c r="O52" s="40">
        <v>6.305377</v>
      </c>
      <c r="P52" s="41">
        <f t="shared" si="17"/>
        <v>1.117</v>
      </c>
      <c r="Q52" s="42">
        <v>7.0000000000000007E-2</v>
      </c>
      <c r="R52" s="41">
        <v>1.1870000000000001</v>
      </c>
    </row>
    <row r="53" spans="1:18" x14ac:dyDescent="0.35">
      <c r="A53" s="1" t="s">
        <v>141</v>
      </c>
      <c r="B53" s="1"/>
      <c r="D53" s="2"/>
      <c r="E53" s="2"/>
      <c r="F53" s="2"/>
      <c r="G53" s="2"/>
      <c r="H53" s="2"/>
      <c r="I53" s="2"/>
      <c r="J53" s="2"/>
      <c r="K53" s="2"/>
      <c r="L53" s="2"/>
      <c r="N53" s="39">
        <v>1035</v>
      </c>
      <c r="O53" s="40">
        <v>6.6375080000000004</v>
      </c>
      <c r="P53" s="41">
        <f t="shared" si="17"/>
        <v>1.0669999999999999</v>
      </c>
      <c r="Q53" s="42">
        <v>7.0000000000000007E-2</v>
      </c>
      <c r="R53" s="41">
        <v>1.137</v>
      </c>
    </row>
    <row r="54" spans="1:18" x14ac:dyDescent="0.35">
      <c r="A54" t="s">
        <v>2</v>
      </c>
      <c r="C54" s="14">
        <f>IF(C$22&lt;&gt;"",C45-C49,"")</f>
        <v>9.0172571336493021</v>
      </c>
      <c r="D54" s="14">
        <f t="shared" ref="D54:L54" si="18">IF(D$22&lt;&gt;"",D45-D49,"")</f>
        <v>7.1088601682676069</v>
      </c>
      <c r="E54" s="14">
        <f t="shared" si="18"/>
        <v>6.1</v>
      </c>
      <c r="F54" s="14">
        <f t="shared" si="18"/>
        <v>6.1</v>
      </c>
      <c r="G54" s="14">
        <f t="shared" si="18"/>
        <v>6.1</v>
      </c>
      <c r="H54" s="14">
        <f t="shared" si="18"/>
        <v>6.5047270927738641</v>
      </c>
      <c r="I54" s="14">
        <f t="shared" si="18"/>
        <v>6.8881038289447343</v>
      </c>
      <c r="J54" s="14">
        <f t="shared" si="18"/>
        <v>7.2503712989619817</v>
      </c>
      <c r="K54" s="14">
        <f t="shared" si="18"/>
        <v>7.5937558729898971</v>
      </c>
      <c r="L54" s="14">
        <f t="shared" si="18"/>
        <v>7.918860666769266</v>
      </c>
      <c r="N54" s="39">
        <v>1040</v>
      </c>
      <c r="O54" s="40">
        <v>6.977665</v>
      </c>
      <c r="P54" s="41">
        <f t="shared" si="17"/>
        <v>1.0169999999999999</v>
      </c>
      <c r="Q54" s="42">
        <v>7.0000000000000007E-2</v>
      </c>
      <c r="R54" s="41">
        <v>1.087</v>
      </c>
    </row>
    <row r="55" spans="1:18" x14ac:dyDescent="0.35">
      <c r="A55" t="s">
        <v>3</v>
      </c>
      <c r="C55" s="14">
        <f>IF(C$22&lt;&gt;"",C46-C50-C51,"")</f>
        <v>9.6938451863507265</v>
      </c>
      <c r="D55" s="14">
        <f t="shared" ref="D55:L55" si="19">IF(D$22&lt;&gt;"",D46-D50-D51,"")</f>
        <v>9.2840535147324221</v>
      </c>
      <c r="E55" s="14">
        <f t="shared" si="19"/>
        <v>8.9539533157165501</v>
      </c>
      <c r="F55" s="14">
        <f t="shared" si="19"/>
        <v>8.6237672381391697</v>
      </c>
      <c r="G55" s="14">
        <f t="shared" si="19"/>
        <v>8.3072267719387369</v>
      </c>
      <c r="H55" s="14">
        <f t="shared" si="19"/>
        <v>8.0040201590643001</v>
      </c>
      <c r="I55" s="14">
        <f t="shared" si="19"/>
        <v>7.7198928553946047</v>
      </c>
      <c r="J55" s="14">
        <f t="shared" si="19"/>
        <v>7.452338780376186</v>
      </c>
      <c r="K55" s="14">
        <f t="shared" si="19"/>
        <v>7.2013966112482724</v>
      </c>
      <c r="L55" s="14">
        <f t="shared" si="19"/>
        <v>6.9654551749695042</v>
      </c>
      <c r="N55" s="39">
        <v>1045</v>
      </c>
      <c r="O55" s="40">
        <v>7.3260519999999998</v>
      </c>
      <c r="P55" s="41">
        <f t="shared" si="17"/>
        <v>0.96699999999999986</v>
      </c>
      <c r="Q55" s="42">
        <v>7.0000000000000007E-2</v>
      </c>
      <c r="R55" s="41">
        <v>1.0369999999999999</v>
      </c>
    </row>
    <row r="56" spans="1:18" x14ac:dyDescent="0.35">
      <c r="A56" t="s">
        <v>4</v>
      </c>
      <c r="C56" s="14">
        <f>IF(C$22&lt;&gt;"",C47-C52,"")</f>
        <v>0</v>
      </c>
      <c r="D56" s="14">
        <f t="shared" ref="D56:L56" si="20">IF(D$22&lt;&gt;"",D47-D52,"")</f>
        <v>0</v>
      </c>
      <c r="E56" s="14">
        <f t="shared" si="20"/>
        <v>0</v>
      </c>
      <c r="F56" s="14">
        <f t="shared" si="20"/>
        <v>0</v>
      </c>
      <c r="G56" s="14">
        <f t="shared" si="20"/>
        <v>0</v>
      </c>
      <c r="H56" s="14">
        <f t="shared" si="20"/>
        <v>0</v>
      </c>
      <c r="I56" s="14">
        <f t="shared" si="20"/>
        <v>0</v>
      </c>
      <c r="J56" s="14">
        <f t="shared" si="20"/>
        <v>0</v>
      </c>
      <c r="K56" s="14">
        <f t="shared" si="20"/>
        <v>0</v>
      </c>
      <c r="L56" s="14">
        <f t="shared" si="20"/>
        <v>0</v>
      </c>
      <c r="N56" s="39">
        <v>1050</v>
      </c>
      <c r="O56" s="40">
        <v>7.6828779999999997</v>
      </c>
      <c r="P56" s="41">
        <f t="shared" si="17"/>
        <v>0.71700000000000008</v>
      </c>
      <c r="Q56" s="42">
        <v>7.0000000000000007E-2</v>
      </c>
      <c r="R56" s="41">
        <v>0.78700000000000003</v>
      </c>
    </row>
    <row r="57" spans="1:18" x14ac:dyDescent="0.35">
      <c r="A57" s="1" t="s">
        <v>125</v>
      </c>
      <c r="B57" s="1"/>
      <c r="C57" s="14">
        <f>IF(C$22&lt;&gt;"",SUM(C54:C56),"")</f>
        <v>18.71110232000003</v>
      </c>
      <c r="D57" s="14">
        <f t="shared" ref="D57:L57" si="21">IF(D$22&lt;&gt;"",SUM(D54:D56),"")</f>
        <v>16.392913683000028</v>
      </c>
      <c r="E57" s="14">
        <f t="shared" si="21"/>
        <v>15.05395331571655</v>
      </c>
      <c r="F57" s="14">
        <f t="shared" si="21"/>
        <v>14.723767238139169</v>
      </c>
      <c r="G57" s="14">
        <f t="shared" si="21"/>
        <v>14.407226771938737</v>
      </c>
      <c r="H57" s="14">
        <f t="shared" si="21"/>
        <v>14.508747251838164</v>
      </c>
      <c r="I57" s="14">
        <f t="shared" si="21"/>
        <v>14.607996684339339</v>
      </c>
      <c r="J57" s="14">
        <f t="shared" si="21"/>
        <v>14.702710079338168</v>
      </c>
      <c r="K57" s="14">
        <f t="shared" si="21"/>
        <v>14.795152484238169</v>
      </c>
      <c r="L57" s="14">
        <f t="shared" si="21"/>
        <v>14.88431584173877</v>
      </c>
      <c r="N57" s="39">
        <v>1075</v>
      </c>
      <c r="O57" s="40">
        <v>9.6009879999900001</v>
      </c>
      <c r="P57" s="41">
        <f t="shared" si="17"/>
        <v>0.63300000000000001</v>
      </c>
      <c r="Q57" s="42">
        <v>0.05</v>
      </c>
      <c r="R57" s="41">
        <v>0.68300000000000005</v>
      </c>
    </row>
    <row r="58" spans="1:18" x14ac:dyDescent="0.35">
      <c r="N58" s="39">
        <v>1090</v>
      </c>
      <c r="O58" s="40">
        <v>10.857008</v>
      </c>
      <c r="P58" s="41">
        <f t="shared" si="17"/>
        <v>0.3</v>
      </c>
      <c r="Q58" s="38"/>
      <c r="R58" s="41">
        <v>0.3</v>
      </c>
    </row>
    <row r="59" spans="1:18" x14ac:dyDescent="0.35">
      <c r="A59" s="1" t="s">
        <v>127</v>
      </c>
      <c r="C59" s="12">
        <f>IF(C$22&lt;&gt;"",0.2,"")</f>
        <v>0.2</v>
      </c>
      <c r="D59" s="12">
        <f t="shared" ref="D59:L59" si="22">IF(D$22&lt;&gt;"",0.2,"")</f>
        <v>0.2</v>
      </c>
      <c r="E59" s="12">
        <f t="shared" si="22"/>
        <v>0.2</v>
      </c>
      <c r="F59" s="12">
        <f t="shared" si="22"/>
        <v>0.2</v>
      </c>
      <c r="G59" s="12">
        <f t="shared" si="22"/>
        <v>0.2</v>
      </c>
      <c r="H59" s="12">
        <f t="shared" si="22"/>
        <v>0.2</v>
      </c>
      <c r="I59" s="12">
        <f t="shared" si="22"/>
        <v>0.2</v>
      </c>
      <c r="J59" s="12">
        <f t="shared" si="22"/>
        <v>0.2</v>
      </c>
      <c r="K59" s="12">
        <f t="shared" si="22"/>
        <v>0.2</v>
      </c>
      <c r="L59" s="12">
        <f t="shared" si="22"/>
        <v>0.2</v>
      </c>
    </row>
    <row r="60" spans="1:18" x14ac:dyDescent="0.35">
      <c r="A60" t="s">
        <v>128</v>
      </c>
      <c r="C60" s="14">
        <f>IF(C$22&lt;&gt;"",C50+C59,"")</f>
        <v>7.0670000000000002</v>
      </c>
      <c r="D60" s="14">
        <f t="shared" ref="D60:L60" si="23">IF(D$22&lt;&gt;"",D50+D59,"")</f>
        <v>7.0670000000000002</v>
      </c>
      <c r="E60" s="14">
        <f t="shared" si="23"/>
        <v>6.9829999999999997</v>
      </c>
      <c r="F60" s="14">
        <f t="shared" si="23"/>
        <v>6.9829999999999997</v>
      </c>
      <c r="G60" s="14">
        <f t="shared" si="23"/>
        <v>6.9829999999999997</v>
      </c>
      <c r="H60" s="14">
        <f t="shared" si="23"/>
        <v>6.9829999999999997</v>
      </c>
      <c r="I60" s="14">
        <f t="shared" si="23"/>
        <v>6.9829999999999997</v>
      </c>
      <c r="J60" s="14">
        <f t="shared" si="23"/>
        <v>6.9829999999999997</v>
      </c>
      <c r="K60" s="14">
        <f t="shared" si="23"/>
        <v>6.9829999999999997</v>
      </c>
      <c r="L60" s="14">
        <f t="shared" si="23"/>
        <v>6.9829999999999997</v>
      </c>
    </row>
    <row r="62" spans="1:18" x14ac:dyDescent="0.35">
      <c r="D62" s="18"/>
    </row>
  </sheetData>
  <mergeCells count="4">
    <mergeCell ref="C5:H5"/>
    <mergeCell ref="C6:H6"/>
    <mergeCell ref="C7:H7"/>
    <mergeCell ref="C8:H8"/>
  </mergeCells>
  <conditionalFormatting sqref="H49:L49">
    <cfRule type="cellIs" dxfId="22" priority="23" operator="greaterThan">
      <formula>$C$45</formula>
    </cfRule>
  </conditionalFormatting>
  <conditionalFormatting sqref="H49">
    <cfRule type="cellIs" dxfId="21" priority="22" operator="greaterThan">
      <formula>$H$45</formula>
    </cfRule>
  </conditionalFormatting>
  <conditionalFormatting sqref="I49">
    <cfRule type="cellIs" dxfId="20" priority="21" operator="greaterThan">
      <formula>$I$45</formula>
    </cfRule>
  </conditionalFormatting>
  <conditionalFormatting sqref="J49">
    <cfRule type="cellIs" dxfId="19" priority="20" operator="greaterThan">
      <formula>$J$45</formula>
    </cfRule>
  </conditionalFormatting>
  <conditionalFormatting sqref="K49">
    <cfRule type="cellIs" dxfId="18" priority="19" operator="greaterThan">
      <formula>$K$45</formula>
    </cfRule>
  </conditionalFormatting>
  <conditionalFormatting sqref="L49">
    <cfRule type="cellIs" dxfId="17" priority="18" operator="greaterThan">
      <formula>$L$45</formula>
    </cfRule>
  </conditionalFormatting>
  <conditionalFormatting sqref="H50:L50">
    <cfRule type="cellIs" dxfId="16" priority="17" operator="greaterThan">
      <formula>$D$46</formula>
    </cfRule>
  </conditionalFormatting>
  <conditionalFormatting sqref="H50">
    <cfRule type="cellIs" dxfId="15" priority="16" operator="greaterThan">
      <formula>$H$46</formula>
    </cfRule>
  </conditionalFormatting>
  <conditionalFormatting sqref="I50">
    <cfRule type="cellIs" dxfId="14" priority="15" operator="greaterThan">
      <formula>$I$46</formula>
    </cfRule>
  </conditionalFormatting>
  <conditionalFormatting sqref="J50">
    <cfRule type="cellIs" dxfId="13" priority="14" operator="greaterThan">
      <formula>$J$46</formula>
    </cfRule>
  </conditionalFormatting>
  <conditionalFormatting sqref="K50">
    <cfRule type="cellIs" dxfId="12" priority="13" operator="greaterThan">
      <formula>$K$46</formula>
    </cfRule>
  </conditionalFormatting>
  <conditionalFormatting sqref="L50">
    <cfRule type="cellIs" dxfId="11" priority="12" operator="greaterThan">
      <formula>$L$46</formula>
    </cfRule>
  </conditionalFormatting>
  <conditionalFormatting sqref="C52">
    <cfRule type="cellIs" dxfId="10" priority="11" operator="greaterThan">
      <formula>$C$47</formula>
    </cfRule>
  </conditionalFormatting>
  <conditionalFormatting sqref="D52">
    <cfRule type="cellIs" dxfId="9" priority="10" operator="greaterThan">
      <formula>$D$47</formula>
    </cfRule>
  </conditionalFormatting>
  <conditionalFormatting sqref="E52">
    <cfRule type="cellIs" dxfId="8" priority="9" operator="greaterThan">
      <formula>$E$47</formula>
    </cfRule>
  </conditionalFormatting>
  <conditionalFormatting sqref="F52">
    <cfRule type="cellIs" dxfId="7" priority="8" operator="greaterThan">
      <formula>$F$47</formula>
    </cfRule>
  </conditionalFormatting>
  <conditionalFormatting sqref="G52">
    <cfRule type="cellIs" dxfId="6" priority="7" operator="greaterThan">
      <formula>$G$47</formula>
    </cfRule>
  </conditionalFormatting>
  <conditionalFormatting sqref="H52">
    <cfRule type="cellIs" dxfId="5" priority="6" operator="greaterThan">
      <formula>$H$47</formula>
    </cfRule>
  </conditionalFormatting>
  <conditionalFormatting sqref="I52">
    <cfRule type="cellIs" dxfId="4" priority="5" operator="greaterThan">
      <formula>$I$47</formula>
    </cfRule>
  </conditionalFormatting>
  <conditionalFormatting sqref="J52">
    <cfRule type="cellIs" dxfId="3" priority="4" operator="greaterThan">
      <formula>$J$47</formula>
    </cfRule>
  </conditionalFormatting>
  <conditionalFormatting sqref="K52">
    <cfRule type="cellIs" dxfId="2" priority="3" operator="greaterThan">
      <formula>$K$47</formula>
    </cfRule>
  </conditionalFormatting>
  <conditionalFormatting sqref="L52">
    <cfRule type="cellIs" dxfId="1" priority="2" operator="greaterThan">
      <formula>$L$47</formula>
    </cfRule>
  </conditionalFormatting>
  <conditionalFormatting sqref="C49:G49">
    <cfRule type="cellIs" dxfId="0" priority="1" operator="greaterThan">
      <formula>$C$45</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BF02C3-B992-44C7-A79C-D1E41573911A}">
  <dimension ref="A1:F10"/>
  <sheetViews>
    <sheetView tabSelected="1" zoomScale="150" zoomScaleNormal="150" workbookViewId="0">
      <selection activeCell="B3" sqref="B3"/>
    </sheetView>
  </sheetViews>
  <sheetFormatPr defaultRowHeight="14.5" x14ac:dyDescent="0.35"/>
  <cols>
    <col min="1" max="1" width="8.7265625" style="83"/>
    <col min="2" max="2" width="12.6328125" style="83" customWidth="1"/>
    <col min="3" max="3" width="29.90625" style="82" customWidth="1"/>
    <col min="4" max="4" width="12.453125" style="85" customWidth="1"/>
    <col min="5" max="5" width="15.08984375" style="85" customWidth="1"/>
    <col min="6" max="6" width="10.54296875" style="83" customWidth="1"/>
  </cols>
  <sheetData>
    <row r="1" spans="1:6" s="79" customFormat="1" ht="30.5" customHeight="1" x14ac:dyDescent="0.35">
      <c r="A1" s="80" t="s">
        <v>230</v>
      </c>
      <c r="B1" s="80" t="s">
        <v>206</v>
      </c>
      <c r="C1" s="81" t="s">
        <v>207</v>
      </c>
      <c r="D1" s="80" t="s">
        <v>209</v>
      </c>
      <c r="E1" s="80" t="s">
        <v>208</v>
      </c>
      <c r="F1" s="80" t="s">
        <v>210</v>
      </c>
    </row>
    <row r="3" spans="1:6" ht="58" x14ac:dyDescent="0.35">
      <c r="C3" s="82" t="s">
        <v>232</v>
      </c>
      <c r="E3" s="85" t="s">
        <v>211</v>
      </c>
      <c r="F3" s="84">
        <v>44372</v>
      </c>
    </row>
    <row r="4" spans="1:6" ht="43.5" x14ac:dyDescent="0.35">
      <c r="A4" s="83">
        <v>3.3</v>
      </c>
      <c r="B4" s="84">
        <v>44377</v>
      </c>
      <c r="C4" s="82" t="s">
        <v>233</v>
      </c>
      <c r="D4" s="85" t="s">
        <v>184</v>
      </c>
      <c r="E4" s="85" t="s">
        <v>211</v>
      </c>
      <c r="F4" s="84">
        <v>44372</v>
      </c>
    </row>
    <row r="5" spans="1:6" ht="29" x14ac:dyDescent="0.35">
      <c r="A5" s="83" t="s">
        <v>231</v>
      </c>
      <c r="B5" s="84">
        <v>44377</v>
      </c>
      <c r="C5" s="82" t="s">
        <v>212</v>
      </c>
      <c r="D5" s="85" t="s">
        <v>184</v>
      </c>
      <c r="E5" s="85" t="s">
        <v>184</v>
      </c>
      <c r="F5" s="84">
        <v>44377</v>
      </c>
    </row>
    <row r="6" spans="1:6" ht="116" x14ac:dyDescent="0.35">
      <c r="A6" s="83">
        <v>3.2</v>
      </c>
      <c r="B6" s="84">
        <v>44367</v>
      </c>
      <c r="C6" s="82" t="s">
        <v>220</v>
      </c>
      <c r="D6" s="85" t="s">
        <v>184</v>
      </c>
      <c r="E6" s="85" t="s">
        <v>184</v>
      </c>
      <c r="F6" s="84">
        <v>44367</v>
      </c>
    </row>
    <row r="7" spans="1:6" ht="29" x14ac:dyDescent="0.35">
      <c r="A7" s="83">
        <v>3.1</v>
      </c>
      <c r="B7" s="84">
        <v>44331</v>
      </c>
      <c r="C7" s="82" t="s">
        <v>219</v>
      </c>
      <c r="D7" s="85" t="s">
        <v>184</v>
      </c>
      <c r="E7" s="85" t="s">
        <v>184</v>
      </c>
      <c r="F7" s="84">
        <v>44331</v>
      </c>
    </row>
    <row r="8" spans="1:6" ht="72.5" x14ac:dyDescent="0.35">
      <c r="A8" s="83">
        <v>3</v>
      </c>
      <c r="B8" s="84">
        <v>44319</v>
      </c>
      <c r="C8" s="82" t="s">
        <v>218</v>
      </c>
      <c r="D8" s="85" t="s">
        <v>184</v>
      </c>
      <c r="E8" s="85" t="s">
        <v>213</v>
      </c>
      <c r="F8" s="84">
        <v>44315</v>
      </c>
    </row>
    <row r="9" spans="1:6" ht="29" x14ac:dyDescent="0.35">
      <c r="A9" s="83">
        <v>2</v>
      </c>
      <c r="B9" s="84">
        <v>44307</v>
      </c>
      <c r="C9" s="82" t="s">
        <v>215</v>
      </c>
      <c r="D9" s="85" t="s">
        <v>184</v>
      </c>
      <c r="E9" s="85" t="s">
        <v>214</v>
      </c>
      <c r="F9" s="84">
        <v>44294</v>
      </c>
    </row>
    <row r="10" spans="1:6" ht="29" x14ac:dyDescent="0.35">
      <c r="A10" s="108">
        <v>1</v>
      </c>
      <c r="B10" s="84">
        <v>44291</v>
      </c>
      <c r="C10" s="82" t="s">
        <v>217</v>
      </c>
      <c r="D10" s="85" t="s">
        <v>184</v>
      </c>
      <c r="E10" s="85" t="s">
        <v>216</v>
      </c>
      <c r="F10" s="84">
        <v>44291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B12CB9-382E-4775-9CE6-35716C807132}">
  <dimension ref="A1:U95"/>
  <sheetViews>
    <sheetView topLeftCell="A10" zoomScale="150" zoomScaleNormal="150" workbookViewId="0">
      <selection activeCell="N24" sqref="N24:N30"/>
    </sheetView>
  </sheetViews>
  <sheetFormatPr defaultRowHeight="14.5" x14ac:dyDescent="0.35"/>
  <cols>
    <col min="1" max="1" width="37.36328125" customWidth="1"/>
    <col min="2" max="2" width="7.81640625" customWidth="1"/>
    <col min="3" max="3" width="8" style="2" customWidth="1"/>
    <col min="4" max="4" width="7.54296875" customWidth="1"/>
    <col min="5" max="5" width="7.26953125" customWidth="1"/>
    <col min="6" max="6" width="7.6328125" customWidth="1"/>
    <col min="7" max="7" width="7.08984375" customWidth="1"/>
    <col min="8" max="8" width="7.36328125" hidden="1" customWidth="1"/>
    <col min="9" max="9" width="7.7265625" hidden="1" customWidth="1"/>
    <col min="10" max="12" width="8.7265625" hidden="1" customWidth="1"/>
    <col min="13" max="13" width="10.81640625" customWidth="1"/>
    <col min="14" max="14" width="12.26953125" customWidth="1"/>
    <col min="15" max="15" width="13" customWidth="1"/>
    <col min="16" max="16" width="9.81640625" customWidth="1"/>
    <col min="17" max="17" width="10.81640625" customWidth="1"/>
    <col min="18" max="18" width="21.6328125" customWidth="1"/>
    <col min="21" max="21" width="12.1796875" customWidth="1"/>
  </cols>
  <sheetData>
    <row r="1" spans="1:11" x14ac:dyDescent="0.35">
      <c r="A1" s="1" t="s">
        <v>110</v>
      </c>
      <c r="B1" s="1"/>
    </row>
    <row r="2" spans="1:11" x14ac:dyDescent="0.35">
      <c r="A2" s="1"/>
      <c r="B2" s="1"/>
    </row>
    <row r="3" spans="1:11" ht="32" customHeight="1" x14ac:dyDescent="0.35">
      <c r="A3" s="98" t="s">
        <v>169</v>
      </c>
      <c r="B3" s="98"/>
      <c r="C3" s="98"/>
      <c r="D3" s="98"/>
      <c r="E3" s="98"/>
      <c r="F3" s="98"/>
      <c r="G3" s="98"/>
      <c r="H3" s="63"/>
      <c r="I3" s="63"/>
      <c r="J3" s="63"/>
      <c r="K3" s="63"/>
    </row>
    <row r="4" spans="1:11" x14ac:dyDescent="0.35">
      <c r="A4" s="64" t="s">
        <v>39</v>
      </c>
      <c r="B4" s="64" t="s">
        <v>43</v>
      </c>
      <c r="C4" s="99" t="s">
        <v>44</v>
      </c>
      <c r="D4" s="100"/>
      <c r="E4" s="100"/>
      <c r="F4" s="100"/>
      <c r="G4" s="101"/>
    </row>
    <row r="5" spans="1:11" x14ac:dyDescent="0.35">
      <c r="A5" s="65" t="s">
        <v>52</v>
      </c>
      <c r="B5" s="65"/>
      <c r="C5" s="102"/>
      <c r="D5" s="102"/>
      <c r="E5" s="102"/>
      <c r="F5" s="102"/>
      <c r="G5" s="102"/>
    </row>
    <row r="6" spans="1:11" x14ac:dyDescent="0.35">
      <c r="A6" s="66" t="s">
        <v>40</v>
      </c>
      <c r="B6" s="66"/>
      <c r="C6" s="103"/>
      <c r="D6" s="103"/>
      <c r="E6" s="103"/>
      <c r="F6" s="103"/>
      <c r="G6" s="103"/>
    </row>
    <row r="7" spans="1:11" x14ac:dyDescent="0.35">
      <c r="A7" s="66" t="s">
        <v>41</v>
      </c>
      <c r="B7" s="66"/>
      <c r="C7" s="97"/>
      <c r="D7" s="97"/>
      <c r="E7" s="97"/>
      <c r="F7" s="97"/>
      <c r="G7" s="97"/>
    </row>
    <row r="8" spans="1:11" x14ac:dyDescent="0.35">
      <c r="A8" s="66" t="s">
        <v>42</v>
      </c>
      <c r="B8" s="66"/>
      <c r="C8" s="103"/>
      <c r="D8" s="103"/>
      <c r="E8" s="103"/>
      <c r="F8" s="103"/>
      <c r="G8" s="103"/>
    </row>
    <row r="9" spans="1:11" x14ac:dyDescent="0.35">
      <c r="A9" s="66" t="s">
        <v>165</v>
      </c>
      <c r="B9" s="66"/>
      <c r="C9" s="97" t="s">
        <v>187</v>
      </c>
      <c r="D9" s="97"/>
      <c r="E9" s="97"/>
      <c r="F9" s="97"/>
      <c r="G9" s="97"/>
    </row>
    <row r="10" spans="1:11" x14ac:dyDescent="0.35">
      <c r="A10" s="66"/>
      <c r="B10" s="66"/>
      <c r="C10" s="97"/>
      <c r="D10" s="97"/>
      <c r="E10" s="97"/>
      <c r="F10" s="97"/>
      <c r="G10" s="97"/>
    </row>
    <row r="11" spans="1:11" x14ac:dyDescent="0.35">
      <c r="A11" s="66"/>
      <c r="B11" s="66"/>
      <c r="C11" s="97"/>
      <c r="D11" s="97"/>
      <c r="E11" s="97"/>
      <c r="F11" s="97"/>
      <c r="G11" s="97"/>
    </row>
    <row r="12" spans="1:11" x14ac:dyDescent="0.35">
      <c r="A12" s="16"/>
      <c r="B12" s="2"/>
      <c r="C12"/>
    </row>
    <row r="13" spans="1:11" x14ac:dyDescent="0.35">
      <c r="A13" s="19" t="s">
        <v>46</v>
      </c>
      <c r="B13" s="2"/>
      <c r="C13"/>
    </row>
    <row r="14" spans="1:11" x14ac:dyDescent="0.35">
      <c r="A14" s="20" t="s">
        <v>53</v>
      </c>
    </row>
    <row r="15" spans="1:11" x14ac:dyDescent="0.35">
      <c r="A15" s="22" t="s">
        <v>48</v>
      </c>
      <c r="B15" s="19"/>
    </row>
    <row r="16" spans="1:11" x14ac:dyDescent="0.35">
      <c r="A16" s="21" t="s">
        <v>47</v>
      </c>
    </row>
    <row r="18" spans="1:14" x14ac:dyDescent="0.35">
      <c r="A18" s="1" t="s">
        <v>54</v>
      </c>
      <c r="D18" s="20"/>
    </row>
    <row r="20" spans="1:14" x14ac:dyDescent="0.35">
      <c r="A20" s="1" t="s">
        <v>32</v>
      </c>
      <c r="B20" s="1" t="s">
        <v>112</v>
      </c>
      <c r="C20" s="13" t="s">
        <v>113</v>
      </c>
    </row>
    <row r="21" spans="1:14" x14ac:dyDescent="0.35">
      <c r="A21" t="s">
        <v>111</v>
      </c>
      <c r="B21" s="12">
        <v>5.73</v>
      </c>
      <c r="C21" s="12">
        <v>6</v>
      </c>
      <c r="D21" s="23" t="s">
        <v>114</v>
      </c>
    </row>
    <row r="22" spans="1:14" x14ac:dyDescent="0.35">
      <c r="A22" t="s">
        <v>145</v>
      </c>
      <c r="B22" s="12">
        <v>11</v>
      </c>
      <c r="C22" s="12">
        <v>10.1</v>
      </c>
      <c r="D22" s="11" t="s">
        <v>34</v>
      </c>
    </row>
    <row r="24" spans="1:14" s="1" customFormat="1" x14ac:dyDescent="0.35">
      <c r="A24" s="57" t="s">
        <v>35</v>
      </c>
      <c r="B24" s="57" t="s">
        <v>49</v>
      </c>
      <c r="C24" s="58" t="s">
        <v>5</v>
      </c>
      <c r="D24" s="58" t="s">
        <v>6</v>
      </c>
      <c r="E24" s="58" t="s">
        <v>7</v>
      </c>
      <c r="F24" s="58" t="s">
        <v>8</v>
      </c>
      <c r="G24" s="58" t="s">
        <v>9</v>
      </c>
      <c r="H24" s="58" t="s">
        <v>10</v>
      </c>
      <c r="I24" s="58" t="s">
        <v>11</v>
      </c>
      <c r="J24" s="58" t="s">
        <v>12</v>
      </c>
      <c r="K24" s="58" t="s">
        <v>36</v>
      </c>
      <c r="L24" s="58" t="s">
        <v>37</v>
      </c>
      <c r="M24" s="58" t="s">
        <v>108</v>
      </c>
      <c r="N24" s="58" t="s">
        <v>221</v>
      </c>
    </row>
    <row r="25" spans="1:14" x14ac:dyDescent="0.35">
      <c r="A25" s="1" t="s">
        <v>45</v>
      </c>
      <c r="B25" s="1"/>
      <c r="C25" s="45"/>
      <c r="D25" s="45"/>
      <c r="E25" s="45"/>
      <c r="F25" s="45"/>
      <c r="G25" s="45"/>
      <c r="H25" s="45"/>
      <c r="I25" s="45"/>
      <c r="J25" s="45"/>
      <c r="K25" s="45"/>
      <c r="L25" s="45"/>
    </row>
    <row r="26" spans="1:14" x14ac:dyDescent="0.35">
      <c r="A26" s="1" t="s">
        <v>123</v>
      </c>
      <c r="B26" s="1"/>
      <c r="C26" s="12" t="str">
        <f>IF(C$25&lt;&gt;"",0.8,"")</f>
        <v/>
      </c>
      <c r="D26" s="12" t="str">
        <f t="shared" ref="D26:L26" si="0">IF(D$25&lt;&gt;"",0.8,"")</f>
        <v/>
      </c>
      <c r="E26" s="12" t="str">
        <f t="shared" si="0"/>
        <v/>
      </c>
      <c r="F26" s="12" t="str">
        <f t="shared" si="0"/>
        <v/>
      </c>
      <c r="G26" s="12" t="str">
        <f t="shared" si="0"/>
        <v/>
      </c>
      <c r="H26" s="12" t="str">
        <f t="shared" si="0"/>
        <v/>
      </c>
      <c r="I26" s="12" t="str">
        <f t="shared" si="0"/>
        <v/>
      </c>
      <c r="J26" s="12" t="str">
        <f t="shared" si="0"/>
        <v/>
      </c>
      <c r="K26" s="12" t="str">
        <f t="shared" si="0"/>
        <v/>
      </c>
      <c r="L26" s="12" t="str">
        <f t="shared" si="0"/>
        <v/>
      </c>
    </row>
    <row r="27" spans="1:14" x14ac:dyDescent="0.35">
      <c r="A27" s="1" t="s">
        <v>126</v>
      </c>
      <c r="B27" s="14">
        <f>SUM(B28:B33)-SUM(B22:C22)</f>
        <v>0</v>
      </c>
      <c r="C27" s="14" t="str">
        <f>IF(C$25&lt;&gt;"",SUM(B22:C22),"")</f>
        <v/>
      </c>
      <c r="D27" s="14" t="str">
        <f>IF(D$25&lt;&gt;"",C89,"")</f>
        <v/>
      </c>
      <c r="E27" s="14" t="str">
        <f t="shared" ref="E27:L27" si="1">IF(E$25&lt;&gt;"",D89,"")</f>
        <v/>
      </c>
      <c r="F27" s="14" t="str">
        <f t="shared" si="1"/>
        <v/>
      </c>
      <c r="G27" s="14" t="str">
        <f t="shared" si="1"/>
        <v/>
      </c>
      <c r="H27" s="14" t="str">
        <f t="shared" si="1"/>
        <v/>
      </c>
      <c r="I27" s="14" t="str">
        <f t="shared" si="1"/>
        <v/>
      </c>
      <c r="J27" s="14" t="str">
        <f t="shared" si="1"/>
        <v/>
      </c>
      <c r="K27" s="14" t="str">
        <f t="shared" si="1"/>
        <v/>
      </c>
      <c r="L27" s="14" t="str">
        <f t="shared" si="1"/>
        <v/>
      </c>
    </row>
    <row r="28" spans="1:14" x14ac:dyDescent="0.35">
      <c r="A28" t="str">
        <f>IF(A6="","","    "&amp;A6&amp;" Balance")</f>
        <v xml:space="preserve">    Upper Basin Balance</v>
      </c>
      <c r="B28" s="55">
        <f>B22</f>
        <v>11</v>
      </c>
      <c r="C28" s="14" t="str">
        <f>IF(OR(C$25="",$A28=""),"",B28)</f>
        <v/>
      </c>
      <c r="D28" s="14" t="str">
        <f>IF(OR(D$25="",$A28=""),"",C83)</f>
        <v/>
      </c>
      <c r="E28" s="14" t="str">
        <f t="shared" ref="E28:L28" si="2">IF(OR(E$25="",$A28=""),"",D83)</f>
        <v/>
      </c>
      <c r="F28" s="14" t="str">
        <f t="shared" si="2"/>
        <v/>
      </c>
      <c r="G28" s="14" t="str">
        <f t="shared" si="2"/>
        <v/>
      </c>
      <c r="H28" s="14" t="str">
        <f t="shared" si="2"/>
        <v/>
      </c>
      <c r="I28" s="14" t="str">
        <f t="shared" si="2"/>
        <v/>
      </c>
      <c r="J28" s="14" t="str">
        <f t="shared" si="2"/>
        <v/>
      </c>
      <c r="K28" s="14" t="str">
        <f t="shared" si="2"/>
        <v/>
      </c>
      <c r="L28" s="14" t="str">
        <f t="shared" si="2"/>
        <v/>
      </c>
      <c r="N28" t="s">
        <v>222</v>
      </c>
    </row>
    <row r="29" spans="1:14" x14ac:dyDescent="0.35">
      <c r="A29" t="str">
        <f t="shared" ref="A29:A33" si="3">IF(A7="","","    "&amp;A7&amp;" Balance")</f>
        <v xml:space="preserve">    Lower Basin Balance</v>
      </c>
      <c r="B29" s="55">
        <f>C22-B30</f>
        <v>10.058999999999999</v>
      </c>
      <c r="C29" s="14" t="str">
        <f t="shared" ref="C29:C33" si="4">IF(OR(C$25="",$A29=""),"",B29)</f>
        <v/>
      </c>
      <c r="D29" s="14" t="str">
        <f t="shared" ref="D29:L33" si="5">IF(OR(D$25="",$A29=""),"",C84)</f>
        <v/>
      </c>
      <c r="E29" s="14" t="str">
        <f t="shared" si="5"/>
        <v/>
      </c>
      <c r="F29" s="14" t="str">
        <f t="shared" si="5"/>
        <v/>
      </c>
      <c r="G29" s="14" t="str">
        <f t="shared" si="5"/>
        <v/>
      </c>
      <c r="H29" s="14" t="str">
        <f t="shared" si="5"/>
        <v/>
      </c>
      <c r="I29" s="14" t="str">
        <f t="shared" si="5"/>
        <v/>
      </c>
      <c r="J29" s="14" t="str">
        <f t="shared" si="5"/>
        <v/>
      </c>
      <c r="K29" s="14" t="str">
        <f t="shared" si="5"/>
        <v/>
      </c>
      <c r="L29" s="14" t="str">
        <f t="shared" si="5"/>
        <v/>
      </c>
      <c r="N29" t="s">
        <v>223</v>
      </c>
    </row>
    <row r="30" spans="1:14" x14ac:dyDescent="0.35">
      <c r="A30" t="str">
        <f t="shared" si="3"/>
        <v xml:space="preserve">    Mexico Balance</v>
      </c>
      <c r="B30" s="106">
        <f>0.041</f>
        <v>4.1000000000000002E-2</v>
      </c>
      <c r="C30" s="14" t="str">
        <f t="shared" si="4"/>
        <v/>
      </c>
      <c r="D30" s="14" t="str">
        <f t="shared" si="5"/>
        <v/>
      </c>
      <c r="E30" s="14" t="str">
        <f t="shared" si="5"/>
        <v/>
      </c>
      <c r="F30" s="14" t="str">
        <f t="shared" si="5"/>
        <v/>
      </c>
      <c r="G30" s="14" t="str">
        <f t="shared" si="5"/>
        <v/>
      </c>
      <c r="H30" s="14" t="str">
        <f t="shared" si="5"/>
        <v/>
      </c>
      <c r="I30" s="14" t="str">
        <f t="shared" si="5"/>
        <v/>
      </c>
      <c r="J30" s="14" t="str">
        <f t="shared" si="5"/>
        <v/>
      </c>
      <c r="K30" s="14" t="str">
        <f t="shared" si="5"/>
        <v/>
      </c>
      <c r="L30" s="14" t="str">
        <f t="shared" si="5"/>
        <v/>
      </c>
      <c r="N30" t="s">
        <v>224</v>
      </c>
    </row>
    <row r="31" spans="1:14" x14ac:dyDescent="0.35">
      <c r="A31" t="str">
        <f t="shared" si="3"/>
        <v xml:space="preserve">    Mohave &amp; Havasu Evap &amp; ET Balance</v>
      </c>
      <c r="B31" s="56">
        <v>0</v>
      </c>
      <c r="C31" s="14" t="str">
        <f t="shared" si="4"/>
        <v/>
      </c>
      <c r="D31" s="14" t="str">
        <f t="shared" si="5"/>
        <v/>
      </c>
      <c r="E31" s="14" t="str">
        <f t="shared" si="5"/>
        <v/>
      </c>
      <c r="F31" s="14" t="str">
        <f t="shared" si="5"/>
        <v/>
      </c>
      <c r="G31" s="14" t="str">
        <f t="shared" si="5"/>
        <v/>
      </c>
      <c r="H31" s="14" t="str">
        <f t="shared" si="5"/>
        <v/>
      </c>
      <c r="I31" s="14" t="str">
        <f t="shared" si="5"/>
        <v/>
      </c>
      <c r="J31" s="14" t="str">
        <f t="shared" si="5"/>
        <v/>
      </c>
      <c r="K31" s="14" t="str">
        <f t="shared" si="5"/>
        <v/>
      </c>
      <c r="L31" s="14" t="str">
        <f t="shared" si="5"/>
        <v/>
      </c>
    </row>
    <row r="32" spans="1:14" x14ac:dyDescent="0.35">
      <c r="A32" t="str">
        <f t="shared" si="3"/>
        <v/>
      </c>
      <c r="B32" s="56"/>
      <c r="C32" s="14" t="str">
        <f t="shared" si="4"/>
        <v/>
      </c>
      <c r="D32" s="14" t="str">
        <f t="shared" si="5"/>
        <v/>
      </c>
      <c r="E32" s="14" t="str">
        <f t="shared" si="5"/>
        <v/>
      </c>
      <c r="F32" s="14" t="str">
        <f t="shared" si="5"/>
        <v/>
      </c>
      <c r="G32" s="14" t="str">
        <f t="shared" si="5"/>
        <v/>
      </c>
      <c r="H32" s="14" t="str">
        <f t="shared" si="5"/>
        <v/>
      </c>
      <c r="I32" s="14" t="str">
        <f t="shared" si="5"/>
        <v/>
      </c>
      <c r="J32" s="14" t="str">
        <f t="shared" si="5"/>
        <v/>
      </c>
      <c r="K32" s="14" t="str">
        <f t="shared" si="5"/>
        <v/>
      </c>
      <c r="L32" s="14" t="str">
        <f t="shared" si="5"/>
        <v/>
      </c>
    </row>
    <row r="33" spans="1:12" x14ac:dyDescent="0.35">
      <c r="A33" t="str">
        <f t="shared" si="3"/>
        <v/>
      </c>
      <c r="B33" s="56"/>
      <c r="C33" s="14" t="str">
        <f t="shared" si="4"/>
        <v/>
      </c>
      <c r="D33" s="14" t="str">
        <f t="shared" si="5"/>
        <v/>
      </c>
      <c r="E33" s="14" t="str">
        <f t="shared" si="5"/>
        <v/>
      </c>
      <c r="F33" s="14" t="str">
        <f t="shared" si="5"/>
        <v/>
      </c>
      <c r="G33" s="14" t="str">
        <f t="shared" si="5"/>
        <v/>
      </c>
      <c r="H33" s="14" t="str">
        <f t="shared" si="5"/>
        <v/>
      </c>
      <c r="I33" s="14" t="str">
        <f t="shared" si="5"/>
        <v/>
      </c>
      <c r="J33" s="14" t="str">
        <f t="shared" si="5"/>
        <v/>
      </c>
      <c r="K33" s="14" t="str">
        <f t="shared" si="5"/>
        <v/>
      </c>
      <c r="L33" s="14" t="str">
        <f t="shared" si="5"/>
        <v/>
      </c>
    </row>
    <row r="34" spans="1:12" x14ac:dyDescent="0.35">
      <c r="A34" s="1" t="s">
        <v>117</v>
      </c>
      <c r="C34"/>
    </row>
    <row r="35" spans="1:12" x14ac:dyDescent="0.35">
      <c r="A35" t="s">
        <v>115</v>
      </c>
      <c r="B35" s="35">
        <v>0.5</v>
      </c>
      <c r="C35" s="14" t="str">
        <f>IF(C$25&lt;&gt;"",B22,"")</f>
        <v/>
      </c>
      <c r="D35" s="14" t="str">
        <f t="shared" ref="D35:L36" si="6">IF(D25&lt;&gt;"",$B35*D$27,"")</f>
        <v/>
      </c>
      <c r="E35" s="14" t="str">
        <f t="shared" si="6"/>
        <v/>
      </c>
      <c r="F35" s="14" t="str">
        <f t="shared" si="6"/>
        <v/>
      </c>
      <c r="G35" s="14" t="str">
        <f t="shared" si="6"/>
        <v/>
      </c>
      <c r="H35" s="14" t="str">
        <f t="shared" si="6"/>
        <v/>
      </c>
      <c r="I35" s="14" t="str">
        <f t="shared" si="6"/>
        <v/>
      </c>
      <c r="J35" s="14" t="str">
        <f t="shared" si="6"/>
        <v/>
      </c>
      <c r="K35" s="14" t="str">
        <f t="shared" si="6"/>
        <v/>
      </c>
      <c r="L35" s="14" t="str">
        <f t="shared" si="6"/>
        <v/>
      </c>
    </row>
    <row r="36" spans="1:12" x14ac:dyDescent="0.35">
      <c r="A36" t="s">
        <v>116</v>
      </c>
      <c r="B36" s="35">
        <f>1-B35</f>
        <v>0.5</v>
      </c>
      <c r="C36" s="14" t="str">
        <f>IF(C$25&lt;&gt;"",C22,"")</f>
        <v/>
      </c>
      <c r="D36" s="14" t="str">
        <f t="shared" si="6"/>
        <v/>
      </c>
      <c r="E36" s="14" t="str">
        <f t="shared" si="6"/>
        <v/>
      </c>
      <c r="F36" s="14" t="str">
        <f t="shared" si="6"/>
        <v/>
      </c>
      <c r="G36" s="14" t="str">
        <f t="shared" si="6"/>
        <v/>
      </c>
      <c r="H36" s="14" t="str">
        <f t="shared" si="6"/>
        <v/>
      </c>
      <c r="I36" s="14" t="str">
        <f t="shared" si="6"/>
        <v/>
      </c>
      <c r="J36" s="14" t="str">
        <f t="shared" si="6"/>
        <v/>
      </c>
      <c r="K36" s="14" t="str">
        <f t="shared" si="6"/>
        <v/>
      </c>
      <c r="L36" s="14" t="str">
        <f t="shared" si="6"/>
        <v/>
      </c>
    </row>
    <row r="37" spans="1:12" x14ac:dyDescent="0.35">
      <c r="A37" s="1" t="s">
        <v>121</v>
      </c>
      <c r="B37" s="1"/>
      <c r="C37" s="14" t="str">
        <f>IF(C$25&lt;&gt;"",VLOOKUP(C35*1000000,'Powell-Elevation-Area'!$B$5:$D$689,3)*$B$21/1000000 + VLOOKUP(C36*1000000,'Mead-Elevation-Area'!$B$5:$D$676,3)*$C$21/1000000,"")</f>
        <v/>
      </c>
      <c r="D37" s="14" t="str">
        <f>IF(D$25&lt;&gt;"",VLOOKUP(D35*1000000,'Powell-Elevation-Area'!$B$5:$D$689,3)*$B$21/1000000 + VLOOKUP(D36*1000000,'Mead-Elevation-Area'!$B$5:$D$676,3)*$C$21/1000000,"")</f>
        <v/>
      </c>
      <c r="E37" s="14" t="str">
        <f>IF(E$25&lt;&gt;"",VLOOKUP(E35*1000000,'Powell-Elevation-Area'!$B$5:$D$689,3)*$B$21/1000000 + VLOOKUP(E36*1000000,'Mead-Elevation-Area'!$B$5:$D$676,3)*$C$21/1000000,"")</f>
        <v/>
      </c>
      <c r="F37" s="14" t="str">
        <f>IF(F$25&lt;&gt;"",VLOOKUP(F35*1000000,'Powell-Elevation-Area'!$B$5:$D$689,3)*$B$21/1000000 + VLOOKUP(F36*1000000,'Mead-Elevation-Area'!$B$5:$D$676,3)*$C$21/1000000,"")</f>
        <v/>
      </c>
      <c r="G37" s="14" t="str">
        <f>IF(G$25&lt;&gt;"",VLOOKUP(G35*1000000,'Powell-Elevation-Area'!$B$5:$D$689,3)*$B$21/1000000 + VLOOKUP(G36*1000000,'Mead-Elevation-Area'!$B$5:$D$676,3)*$C$21/1000000,"")</f>
        <v/>
      </c>
      <c r="H37" s="14" t="str">
        <f>IF(H$25&lt;&gt;"",VLOOKUP(H35*1000000,'Powell-Elevation-Area'!$B$5:$D$689,3)*$B$21/1000000 + VLOOKUP(H36*1000000,'Mead-Elevation-Area'!$B$5:$D$676,3)*$C$21/1000000,"")</f>
        <v/>
      </c>
      <c r="I37" s="14" t="str">
        <f>IF(I$25&lt;&gt;"",VLOOKUP(I35*1000000,'Powell-Elevation-Area'!$B$5:$D$689,3)*$B$21/1000000 + VLOOKUP(I36*1000000,'Mead-Elevation-Area'!$B$5:$D$676,3)*$C$21/1000000,"")</f>
        <v/>
      </c>
      <c r="J37" s="14" t="str">
        <f>IF(J$25&lt;&gt;"",VLOOKUP(J35*1000000,'Powell-Elevation-Area'!$B$5:$D$689,3)*$B$21/1000000 + VLOOKUP(J36*1000000,'Mead-Elevation-Area'!$B$5:$D$676,3)*$C$21/1000000,"")</f>
        <v/>
      </c>
      <c r="K37" s="14" t="str">
        <f>IF(K$25&lt;&gt;"",VLOOKUP(K35*1000000,'Powell-Elevation-Area'!$B$5:$D$689,3)*$B$21/1000000 + VLOOKUP(K36*1000000,'Mead-Elevation-Area'!$B$5:$D$676,3)*$C$21/1000000,"")</f>
        <v/>
      </c>
      <c r="L37" s="14" t="str">
        <f>IF(L$25&lt;&gt;"",VLOOKUP(L35*1000000,'Powell-Elevation-Area'!$B$5:$D$689,3)*$B$21/1000000 + VLOOKUP(L36*1000000,'Mead-Elevation-Area'!$B$5:$D$676,3)*$C$21/1000000,"")</f>
        <v/>
      </c>
    </row>
    <row r="38" spans="1:12" x14ac:dyDescent="0.35">
      <c r="A38" t="str">
        <f>IF(A6="","","    "&amp;A6&amp;" Share")</f>
        <v xml:space="preserve">    Upper Basin Share</v>
      </c>
      <c r="B38" s="1"/>
      <c r="C38" s="14" t="str">
        <f>IF(OR(C$25="",$A38=""),"",C$37*C28/C$27)</f>
        <v/>
      </c>
      <c r="D38" s="14" t="str">
        <f t="shared" ref="D38:L38" si="7">IF(OR(D$25="",$A38=""),"",D$37*D28/D$27)</f>
        <v/>
      </c>
      <c r="E38" s="14" t="str">
        <f t="shared" si="7"/>
        <v/>
      </c>
      <c r="F38" s="14" t="str">
        <f t="shared" si="7"/>
        <v/>
      </c>
      <c r="G38" s="14" t="str">
        <f t="shared" si="7"/>
        <v/>
      </c>
      <c r="H38" s="14" t="str">
        <f t="shared" si="7"/>
        <v/>
      </c>
      <c r="I38" s="14" t="str">
        <f t="shared" si="7"/>
        <v/>
      </c>
      <c r="J38" s="14" t="str">
        <f t="shared" si="7"/>
        <v/>
      </c>
      <c r="K38" s="14" t="str">
        <f t="shared" si="7"/>
        <v/>
      </c>
      <c r="L38" s="14" t="str">
        <f t="shared" si="7"/>
        <v/>
      </c>
    </row>
    <row r="39" spans="1:12" x14ac:dyDescent="0.35">
      <c r="A39" t="str">
        <f t="shared" ref="A39:A43" si="8">IF(A7="","","    "&amp;A7&amp;" Share")</f>
        <v xml:space="preserve">    Lower Basin Share</v>
      </c>
      <c r="B39" s="1"/>
      <c r="C39" s="14" t="str">
        <f t="shared" ref="C39:L43" si="9">IF(OR(C$25="",$A39=""),"",C$37*C29/C$27)</f>
        <v/>
      </c>
      <c r="D39" s="14" t="str">
        <f t="shared" si="9"/>
        <v/>
      </c>
      <c r="E39" s="14" t="str">
        <f t="shared" si="9"/>
        <v/>
      </c>
      <c r="F39" s="14" t="str">
        <f t="shared" si="9"/>
        <v/>
      </c>
      <c r="G39" s="14" t="str">
        <f t="shared" si="9"/>
        <v/>
      </c>
      <c r="H39" s="14" t="str">
        <f t="shared" si="9"/>
        <v/>
      </c>
      <c r="I39" s="14" t="str">
        <f t="shared" si="9"/>
        <v/>
      </c>
      <c r="J39" s="14" t="str">
        <f t="shared" si="9"/>
        <v/>
      </c>
      <c r="K39" s="14" t="str">
        <f t="shared" si="9"/>
        <v/>
      </c>
      <c r="L39" s="14" t="str">
        <f t="shared" si="9"/>
        <v/>
      </c>
    </row>
    <row r="40" spans="1:12" x14ac:dyDescent="0.35">
      <c r="A40" t="str">
        <f t="shared" si="8"/>
        <v xml:space="preserve">    Mexico Share</v>
      </c>
      <c r="B40" s="1"/>
      <c r="C40" s="14" t="str">
        <f t="shared" si="9"/>
        <v/>
      </c>
      <c r="D40" s="14" t="str">
        <f t="shared" si="9"/>
        <v/>
      </c>
      <c r="E40" s="14" t="str">
        <f t="shared" si="9"/>
        <v/>
      </c>
      <c r="F40" s="14" t="str">
        <f t="shared" si="9"/>
        <v/>
      </c>
      <c r="G40" s="14" t="str">
        <f t="shared" si="9"/>
        <v/>
      </c>
      <c r="H40" s="14" t="str">
        <f t="shared" si="9"/>
        <v/>
      </c>
      <c r="I40" s="14" t="str">
        <f t="shared" si="9"/>
        <v/>
      </c>
      <c r="J40" s="14" t="str">
        <f t="shared" si="9"/>
        <v/>
      </c>
      <c r="K40" s="14" t="str">
        <f t="shared" si="9"/>
        <v/>
      </c>
      <c r="L40" s="14" t="str">
        <f t="shared" si="9"/>
        <v/>
      </c>
    </row>
    <row r="41" spans="1:12" x14ac:dyDescent="0.35">
      <c r="A41" t="str">
        <f t="shared" si="8"/>
        <v xml:space="preserve">    Mohave &amp; Havasu Evap &amp; ET Share</v>
      </c>
      <c r="B41" s="1"/>
      <c r="C41" s="14" t="str">
        <f t="shared" si="9"/>
        <v/>
      </c>
      <c r="D41" s="14" t="str">
        <f t="shared" si="9"/>
        <v/>
      </c>
      <c r="E41" s="14" t="str">
        <f t="shared" si="9"/>
        <v/>
      </c>
      <c r="F41" s="14" t="str">
        <f t="shared" si="9"/>
        <v/>
      </c>
      <c r="G41" s="14" t="str">
        <f t="shared" si="9"/>
        <v/>
      </c>
      <c r="H41" s="14" t="str">
        <f t="shared" si="9"/>
        <v/>
      </c>
      <c r="I41" s="14" t="str">
        <f t="shared" si="9"/>
        <v/>
      </c>
      <c r="J41" s="14" t="str">
        <f t="shared" si="9"/>
        <v/>
      </c>
      <c r="K41" s="14" t="str">
        <f t="shared" si="9"/>
        <v/>
      </c>
      <c r="L41" s="14" t="str">
        <f t="shared" si="9"/>
        <v/>
      </c>
    </row>
    <row r="42" spans="1:12" x14ac:dyDescent="0.35">
      <c r="A42" t="str">
        <f t="shared" si="8"/>
        <v/>
      </c>
      <c r="B42" s="1"/>
      <c r="C42" s="14" t="str">
        <f t="shared" si="9"/>
        <v/>
      </c>
      <c r="D42" s="14" t="str">
        <f t="shared" si="9"/>
        <v/>
      </c>
      <c r="E42" s="14" t="str">
        <f t="shared" si="9"/>
        <v/>
      </c>
      <c r="F42" s="14" t="str">
        <f t="shared" si="9"/>
        <v/>
      </c>
      <c r="G42" s="14" t="str">
        <f t="shared" si="9"/>
        <v/>
      </c>
      <c r="H42" s="14" t="str">
        <f t="shared" si="9"/>
        <v/>
      </c>
      <c r="I42" s="14" t="str">
        <f t="shared" si="9"/>
        <v/>
      </c>
      <c r="J42" s="14" t="str">
        <f t="shared" si="9"/>
        <v/>
      </c>
      <c r="K42" s="14" t="str">
        <f t="shared" si="9"/>
        <v/>
      </c>
      <c r="L42" s="14" t="str">
        <f t="shared" si="9"/>
        <v/>
      </c>
    </row>
    <row r="43" spans="1:12" x14ac:dyDescent="0.35">
      <c r="A43" t="str">
        <f t="shared" si="8"/>
        <v/>
      </c>
      <c r="B43" s="1"/>
      <c r="C43" s="14" t="str">
        <f t="shared" si="9"/>
        <v/>
      </c>
      <c r="D43" s="14" t="str">
        <f t="shared" si="9"/>
        <v/>
      </c>
      <c r="E43" s="14" t="str">
        <f t="shared" si="9"/>
        <v/>
      </c>
      <c r="F43" s="14" t="str">
        <f t="shared" si="9"/>
        <v/>
      </c>
      <c r="G43" s="14" t="str">
        <f t="shared" si="9"/>
        <v/>
      </c>
      <c r="H43" s="14" t="str">
        <f t="shared" si="9"/>
        <v/>
      </c>
      <c r="I43" s="14" t="str">
        <f t="shared" si="9"/>
        <v/>
      </c>
      <c r="J43" s="14" t="str">
        <f t="shared" si="9"/>
        <v/>
      </c>
      <c r="K43" s="14" t="str">
        <f t="shared" si="9"/>
        <v/>
      </c>
      <c r="L43" s="14" t="str">
        <f t="shared" si="9"/>
        <v/>
      </c>
    </row>
    <row r="44" spans="1:12" x14ac:dyDescent="0.35">
      <c r="A44" s="1" t="s">
        <v>161</v>
      </c>
      <c r="B44" s="1"/>
      <c r="C44" s="50" t="str">
        <f>IF(C$25&lt;&gt;"",1.5-$B$50/9/2-IF(C$29&lt;$O$78,$Q$78,IF(C$29&lt;=$O$85,VLOOKUP(C$29,$O$78:$Q$85,3),0)),"")</f>
        <v/>
      </c>
      <c r="D44" s="50" t="str">
        <f t="shared" ref="D44:L44" si="10">IF(D$25&lt;&gt;"",1.5-$B$50/9-IF(D$29&lt;$O$78,$Q$78,IF(D$29&lt;=$O$85,VLOOKUP(D$29,$O$78:$Q$85,3),0)),"")</f>
        <v/>
      </c>
      <c r="E44" s="50" t="str">
        <f t="shared" si="10"/>
        <v/>
      </c>
      <c r="F44" s="50" t="str">
        <f t="shared" si="10"/>
        <v/>
      </c>
      <c r="G44" s="50" t="str">
        <f t="shared" si="10"/>
        <v/>
      </c>
      <c r="H44" s="50" t="str">
        <f t="shared" si="10"/>
        <v/>
      </c>
      <c r="I44" s="50" t="str">
        <f t="shared" si="10"/>
        <v/>
      </c>
      <c r="J44" s="50" t="str">
        <f t="shared" si="10"/>
        <v/>
      </c>
      <c r="K44" s="50" t="str">
        <f t="shared" si="10"/>
        <v/>
      </c>
      <c r="L44" s="50" t="str">
        <f t="shared" si="10"/>
        <v/>
      </c>
    </row>
    <row r="45" spans="1:12" x14ac:dyDescent="0.35">
      <c r="A45" s="1" t="s">
        <v>162</v>
      </c>
      <c r="B45" s="1"/>
      <c r="C45"/>
    </row>
    <row r="46" spans="1:12" x14ac:dyDescent="0.35">
      <c r="A46" t="str">
        <f>IF(A6="","","    To "&amp;A6)</f>
        <v xml:space="preserve">    To Upper Basin</v>
      </c>
      <c r="B46" s="24" t="s">
        <v>164</v>
      </c>
      <c r="C46" s="14" t="str">
        <f>IF(OR(C$25="",$A4=""),"",MAX(0,C$25-SUM(C47:C48)))</f>
        <v/>
      </c>
      <c r="D46" s="14" t="str">
        <f t="shared" ref="D46:L46" si="11">IF(OR(D$25="",$A4=""),"",MAX(0,D$25-SUM(D47:D48)))</f>
        <v/>
      </c>
      <c r="E46" s="14" t="str">
        <f t="shared" si="11"/>
        <v/>
      </c>
      <c r="F46" s="14" t="str">
        <f t="shared" si="11"/>
        <v/>
      </c>
      <c r="G46" s="14" t="str">
        <f t="shared" si="11"/>
        <v/>
      </c>
      <c r="H46" s="14" t="str">
        <f t="shared" si="11"/>
        <v/>
      </c>
      <c r="I46" s="14" t="str">
        <f t="shared" si="11"/>
        <v/>
      </c>
      <c r="J46" s="14" t="str">
        <f t="shared" si="11"/>
        <v/>
      </c>
      <c r="K46" s="14" t="str">
        <f t="shared" si="11"/>
        <v/>
      </c>
      <c r="L46" s="14" t="str">
        <f t="shared" si="11"/>
        <v/>
      </c>
    </row>
    <row r="47" spans="1:12" x14ac:dyDescent="0.35">
      <c r="A47" t="str">
        <f t="shared" ref="A47:A51" si="12">IF(A7="","","    To "&amp;A7)</f>
        <v xml:space="preserve">    To Lower Basin</v>
      </c>
      <c r="B47" s="44">
        <f>7.5-$B$50</f>
        <v>7.5</v>
      </c>
      <c r="C47" s="14" t="str">
        <f>IF(OR(C$25="",$A47=""),"",IF(C$25&lt;$B48,0,IF(C$25&gt;$B47,$B47,C$25)))</f>
        <v/>
      </c>
      <c r="D47" s="14" t="str">
        <f t="shared" ref="D47:L47" si="13">IF(OR(D$25="",$A47=""),"",IF(D$25&lt;$B48,0,IF(D$25&gt;$B47,$B47,D$25)))</f>
        <v/>
      </c>
      <c r="E47" s="14" t="str">
        <f t="shared" si="13"/>
        <v/>
      </c>
      <c r="F47" s="14" t="str">
        <f t="shared" si="13"/>
        <v/>
      </c>
      <c r="G47" s="14" t="str">
        <f t="shared" si="13"/>
        <v/>
      </c>
      <c r="H47" s="14" t="str">
        <f t="shared" si="13"/>
        <v/>
      </c>
      <c r="I47" s="14" t="str">
        <f t="shared" si="13"/>
        <v/>
      </c>
      <c r="J47" s="14" t="str">
        <f t="shared" si="13"/>
        <v/>
      </c>
      <c r="K47" s="14" t="str">
        <f t="shared" si="13"/>
        <v/>
      </c>
      <c r="L47" s="14" t="str">
        <f t="shared" si="13"/>
        <v/>
      </c>
    </row>
    <row r="48" spans="1:12" x14ac:dyDescent="0.35">
      <c r="A48" t="str">
        <f t="shared" si="12"/>
        <v xml:space="preserve">    To Mexico</v>
      </c>
      <c r="B48" s="44">
        <f>IF(C44="",0.75,C$44/2)</f>
        <v>0.75</v>
      </c>
      <c r="C48" s="14" t="str">
        <f>IF(OR(C$25="",$A48=""),"",IF(C$25&gt;$B48,$B48,C$25))</f>
        <v/>
      </c>
      <c r="D48" s="14" t="str">
        <f t="shared" ref="D48:L48" si="14">IF(OR(D$25="",$A48=""),"",IF(D$25&gt;$B48,$B48,D$25))</f>
        <v/>
      </c>
      <c r="E48" s="14" t="str">
        <f t="shared" si="14"/>
        <v/>
      </c>
      <c r="F48" s="14" t="str">
        <f t="shared" si="14"/>
        <v/>
      </c>
      <c r="G48" s="14" t="str">
        <f t="shared" si="14"/>
        <v/>
      </c>
      <c r="H48" s="14" t="str">
        <f t="shared" si="14"/>
        <v/>
      </c>
      <c r="I48" s="14" t="str">
        <f t="shared" si="14"/>
        <v/>
      </c>
      <c r="J48" s="14" t="str">
        <f t="shared" si="14"/>
        <v/>
      </c>
      <c r="K48" s="14" t="str">
        <f t="shared" si="14"/>
        <v/>
      </c>
      <c r="L48" s="14" t="str">
        <f t="shared" si="14"/>
        <v/>
      </c>
    </row>
    <row r="49" spans="1:13" x14ac:dyDescent="0.35">
      <c r="A49" t="str">
        <f t="shared" si="12"/>
        <v xml:space="preserve">    To Mohave &amp; Havasu Evap &amp; ET</v>
      </c>
      <c r="B49" s="44">
        <v>0</v>
      </c>
      <c r="C49" s="14" t="str">
        <f t="shared" ref="C49:L51" si="15">IF(OR(C$25="",$A49=""),"",IF(C$25&gt;$B49,$B49,C$25))</f>
        <v/>
      </c>
      <c r="D49" s="14" t="str">
        <f t="shared" si="15"/>
        <v/>
      </c>
      <c r="E49" s="14" t="str">
        <f t="shared" si="15"/>
        <v/>
      </c>
      <c r="F49" s="14" t="str">
        <f t="shared" si="15"/>
        <v/>
      </c>
      <c r="G49" s="14" t="str">
        <f t="shared" si="15"/>
        <v/>
      </c>
      <c r="H49" s="14" t="str">
        <f t="shared" si="15"/>
        <v/>
      </c>
      <c r="I49" s="14" t="str">
        <f t="shared" si="15"/>
        <v/>
      </c>
      <c r="J49" s="14" t="str">
        <f t="shared" si="15"/>
        <v/>
      </c>
      <c r="K49" s="14" t="str">
        <f t="shared" si="15"/>
        <v/>
      </c>
      <c r="L49" s="14" t="str">
        <f t="shared" si="15"/>
        <v/>
      </c>
    </row>
    <row r="50" spans="1:13" x14ac:dyDescent="0.35">
      <c r="A50" t="str">
        <f t="shared" si="12"/>
        <v/>
      </c>
      <c r="B50" s="44"/>
      <c r="C50" s="14" t="str">
        <f t="shared" si="15"/>
        <v/>
      </c>
      <c r="D50" s="59" t="str">
        <f t="shared" si="15"/>
        <v/>
      </c>
      <c r="E50" s="59" t="str">
        <f t="shared" si="15"/>
        <v/>
      </c>
      <c r="F50" s="59" t="str">
        <f t="shared" si="15"/>
        <v/>
      </c>
      <c r="G50" s="59" t="str">
        <f t="shared" si="15"/>
        <v/>
      </c>
      <c r="H50" s="59" t="str">
        <f t="shared" si="15"/>
        <v/>
      </c>
      <c r="I50" s="59" t="str">
        <f t="shared" si="15"/>
        <v/>
      </c>
      <c r="J50" s="59" t="str">
        <f t="shared" si="15"/>
        <v/>
      </c>
      <c r="K50" s="59" t="str">
        <f t="shared" si="15"/>
        <v/>
      </c>
      <c r="L50" s="59" t="str">
        <f t="shared" si="15"/>
        <v/>
      </c>
    </row>
    <row r="51" spans="1:13" x14ac:dyDescent="0.35">
      <c r="A51" t="str">
        <f t="shared" si="12"/>
        <v/>
      </c>
      <c r="B51" s="44"/>
      <c r="C51" s="14" t="str">
        <f t="shared" si="15"/>
        <v/>
      </c>
      <c r="D51" s="14" t="str">
        <f t="shared" si="15"/>
        <v/>
      </c>
      <c r="E51" s="14" t="str">
        <f t="shared" si="15"/>
        <v/>
      </c>
      <c r="F51" s="14" t="str">
        <f t="shared" si="15"/>
        <v/>
      </c>
      <c r="G51" s="14" t="str">
        <f t="shared" si="15"/>
        <v/>
      </c>
      <c r="H51" s="14" t="str">
        <f t="shared" si="15"/>
        <v/>
      </c>
      <c r="I51" s="14" t="str">
        <f t="shared" si="15"/>
        <v/>
      </c>
      <c r="J51" s="14" t="str">
        <f t="shared" si="15"/>
        <v/>
      </c>
      <c r="K51" s="14" t="str">
        <f t="shared" si="15"/>
        <v/>
      </c>
      <c r="L51" s="14" t="str">
        <f t="shared" si="15"/>
        <v/>
      </c>
    </row>
    <row r="52" spans="1:13" x14ac:dyDescent="0.35">
      <c r="A52" s="1" t="s">
        <v>163</v>
      </c>
      <c r="B52" s="1"/>
      <c r="C52"/>
    </row>
    <row r="53" spans="1:13" x14ac:dyDescent="0.35">
      <c r="A53" t="str">
        <f>IF(A6="","","    To "&amp;A6)</f>
        <v xml:space="preserve">    To Upper Basin</v>
      </c>
      <c r="B53" s="24">
        <v>0</v>
      </c>
      <c r="C53" s="14" t="str">
        <f>IF(OR($A53="",C$25=""),"",IF(C$26&gt;$B53,$B53,C$26))</f>
        <v/>
      </c>
      <c r="D53" s="14" t="str">
        <f t="shared" ref="D53:L53" si="16">IF(OR($A53="",D$25=""),"",IF(D$26&gt;$B53,$B53,D$26))</f>
        <v/>
      </c>
      <c r="E53" s="14" t="str">
        <f t="shared" si="16"/>
        <v/>
      </c>
      <c r="F53" s="14" t="str">
        <f t="shared" si="16"/>
        <v/>
      </c>
      <c r="G53" s="14" t="str">
        <f t="shared" si="16"/>
        <v/>
      </c>
      <c r="H53" s="14" t="str">
        <f t="shared" si="16"/>
        <v/>
      </c>
      <c r="I53" s="14" t="str">
        <f t="shared" si="16"/>
        <v/>
      </c>
      <c r="J53" s="14" t="str">
        <f t="shared" si="16"/>
        <v/>
      </c>
      <c r="K53" s="14" t="str">
        <f t="shared" si="16"/>
        <v/>
      </c>
      <c r="L53" s="14" t="str">
        <f t="shared" si="16"/>
        <v/>
      </c>
    </row>
    <row r="54" spans="1:13" x14ac:dyDescent="0.35">
      <c r="A54" t="str">
        <f t="shared" ref="A54:A58" si="17">IF(A7="","","    To "&amp;A7)</f>
        <v xml:space="preserve">    To Lower Basin</v>
      </c>
      <c r="B54" s="44" t="s">
        <v>164</v>
      </c>
      <c r="C54" s="14" t="str">
        <f>IF(OR(C$25="",$A54=""),"",C$26-SUM(C55:C56))</f>
        <v/>
      </c>
      <c r="D54" s="14" t="str">
        <f t="shared" ref="D54:L54" si="18">IF(OR(D$25="",$A54=""),"",D$26-SUM(D55:D56))</f>
        <v/>
      </c>
      <c r="E54" s="14" t="str">
        <f t="shared" si="18"/>
        <v/>
      </c>
      <c r="F54" s="14" t="str">
        <f t="shared" si="18"/>
        <v/>
      </c>
      <c r="G54" s="14" t="str">
        <f t="shared" si="18"/>
        <v/>
      </c>
      <c r="H54" s="14" t="str">
        <f t="shared" si="18"/>
        <v/>
      </c>
      <c r="I54" s="14" t="str">
        <f t="shared" si="18"/>
        <v/>
      </c>
      <c r="J54" s="14" t="str">
        <f t="shared" si="18"/>
        <v/>
      </c>
      <c r="K54" s="14" t="str">
        <f t="shared" si="18"/>
        <v/>
      </c>
      <c r="L54" s="14" t="str">
        <f t="shared" si="18"/>
        <v/>
      </c>
    </row>
    <row r="55" spans="1:13" x14ac:dyDescent="0.35">
      <c r="A55" t="str">
        <f t="shared" si="17"/>
        <v xml:space="preserve">    To Mexico</v>
      </c>
      <c r="B55" s="44">
        <f>IF(C51="",0.75,C$44/2)</f>
        <v>0.75</v>
      </c>
      <c r="C55" s="14" t="str">
        <f>IF(OR(C$25="",$A55=""),"",C44/2)</f>
        <v/>
      </c>
      <c r="D55" s="14" t="str">
        <f t="shared" ref="D55:L55" si="19">IF(OR(D$25="",$A55=""),"",D44/2)</f>
        <v/>
      </c>
      <c r="E55" s="14" t="str">
        <f t="shared" si="19"/>
        <v/>
      </c>
      <c r="F55" s="14" t="str">
        <f t="shared" si="19"/>
        <v/>
      </c>
      <c r="G55" s="14" t="str">
        <f t="shared" si="19"/>
        <v/>
      </c>
      <c r="H55" s="14" t="str">
        <f t="shared" si="19"/>
        <v/>
      </c>
      <c r="I55" s="14" t="str">
        <f t="shared" si="19"/>
        <v/>
      </c>
      <c r="J55" s="14" t="str">
        <f t="shared" si="19"/>
        <v/>
      </c>
      <c r="K55" s="14" t="str">
        <f t="shared" si="19"/>
        <v/>
      </c>
      <c r="L55" s="14" t="str">
        <f t="shared" si="19"/>
        <v/>
      </c>
    </row>
    <row r="56" spans="1:13" x14ac:dyDescent="0.35">
      <c r="A56" t="str">
        <f t="shared" si="17"/>
        <v xml:space="preserve">    To Mohave &amp; Havasu Evap &amp; ET</v>
      </c>
      <c r="B56" s="44">
        <v>0.6</v>
      </c>
      <c r="C56" s="14" t="str">
        <f>IF(OR($A56="",C$25=""),"",IF(C$26&gt;$B56,$B56,C$26))</f>
        <v/>
      </c>
      <c r="D56" s="14" t="str">
        <f t="shared" ref="D56:L56" si="20">IF(OR($A56="",D$25=""),"",IF(D$26&gt;$B56,$B56,D$26))</f>
        <v/>
      </c>
      <c r="E56" s="14" t="str">
        <f t="shared" si="20"/>
        <v/>
      </c>
      <c r="F56" s="14" t="str">
        <f t="shared" si="20"/>
        <v/>
      </c>
      <c r="G56" s="14" t="str">
        <f t="shared" si="20"/>
        <v/>
      </c>
      <c r="H56" s="14" t="str">
        <f t="shared" si="20"/>
        <v/>
      </c>
      <c r="I56" s="14" t="str">
        <f t="shared" si="20"/>
        <v/>
      </c>
      <c r="J56" s="14" t="str">
        <f t="shared" si="20"/>
        <v/>
      </c>
      <c r="K56" s="14" t="str">
        <f t="shared" si="20"/>
        <v/>
      </c>
      <c r="L56" s="14" t="str">
        <f t="shared" si="20"/>
        <v/>
      </c>
    </row>
    <row r="57" spans="1:13" x14ac:dyDescent="0.35">
      <c r="A57" t="str">
        <f t="shared" si="17"/>
        <v/>
      </c>
      <c r="B57" s="61"/>
      <c r="C57" s="14" t="str">
        <f t="shared" ref="C57:L58" si="21">IF(OR($A57="",C$25=""),"",IF(C$26&gt;$B57,$B57,C$26))</f>
        <v/>
      </c>
      <c r="D57" s="14" t="str">
        <f t="shared" si="21"/>
        <v/>
      </c>
      <c r="E57" s="14" t="str">
        <f t="shared" si="21"/>
        <v/>
      </c>
      <c r="F57" s="14" t="str">
        <f t="shared" si="21"/>
        <v/>
      </c>
      <c r="G57" s="14" t="str">
        <f t="shared" si="21"/>
        <v/>
      </c>
      <c r="H57" s="14" t="str">
        <f t="shared" si="21"/>
        <v/>
      </c>
      <c r="I57" s="14" t="str">
        <f t="shared" si="21"/>
        <v/>
      </c>
      <c r="J57" s="14" t="str">
        <f t="shared" si="21"/>
        <v/>
      </c>
      <c r="K57" s="14" t="str">
        <f t="shared" si="21"/>
        <v/>
      </c>
      <c r="L57" s="14" t="str">
        <f t="shared" si="21"/>
        <v/>
      </c>
    </row>
    <row r="58" spans="1:13" x14ac:dyDescent="0.35">
      <c r="A58" t="str">
        <f t="shared" si="17"/>
        <v/>
      </c>
      <c r="B58" s="44"/>
      <c r="C58" s="14" t="str">
        <f t="shared" si="21"/>
        <v/>
      </c>
      <c r="D58" s="14" t="str">
        <f t="shared" si="21"/>
        <v/>
      </c>
      <c r="E58" s="14" t="str">
        <f t="shared" si="21"/>
        <v/>
      </c>
      <c r="F58" s="14" t="str">
        <f t="shared" si="21"/>
        <v/>
      </c>
      <c r="G58" s="14" t="str">
        <f t="shared" si="21"/>
        <v/>
      </c>
      <c r="H58" s="14" t="str">
        <f t="shared" si="21"/>
        <v/>
      </c>
      <c r="I58" s="14" t="str">
        <f t="shared" si="21"/>
        <v/>
      </c>
      <c r="J58" s="14" t="str">
        <f t="shared" si="21"/>
        <v/>
      </c>
      <c r="K58" s="14" t="str">
        <f t="shared" si="21"/>
        <v/>
      </c>
      <c r="L58" s="14" t="str">
        <f t="shared" si="21"/>
        <v/>
      </c>
    </row>
    <row r="59" spans="1:13" x14ac:dyDescent="0.35">
      <c r="A59" s="1" t="s">
        <v>167</v>
      </c>
      <c r="C59"/>
      <c r="M59" t="s">
        <v>168</v>
      </c>
    </row>
    <row r="60" spans="1:13" x14ac:dyDescent="0.35">
      <c r="A60" t="str">
        <f>IF(A6="","","    "&amp;A6)</f>
        <v xml:space="preserve">    Upper Basin</v>
      </c>
      <c r="B60" s="1"/>
      <c r="C60" s="50"/>
      <c r="D60" s="50"/>
      <c r="E60" s="50"/>
      <c r="F60" s="50"/>
      <c r="G60" s="50"/>
      <c r="H60" s="50"/>
      <c r="I60" s="50"/>
      <c r="J60" s="50"/>
      <c r="K60" s="50"/>
      <c r="L60" s="50"/>
      <c r="M60" s="54">
        <f>SUMPRODUCT(C60:L60,C$67:L$67)</f>
        <v>0</v>
      </c>
    </row>
    <row r="61" spans="1:13" x14ac:dyDescent="0.35">
      <c r="A61" t="str">
        <f t="shared" ref="A61:A65" si="22">IF(A7="","","    "&amp;A7)</f>
        <v xml:space="preserve">    Lower Basin</v>
      </c>
      <c r="B61" s="1"/>
      <c r="C61" s="62"/>
      <c r="D61" s="62"/>
      <c r="E61" s="67"/>
      <c r="F61" s="62"/>
      <c r="G61" s="62"/>
      <c r="H61" s="62"/>
      <c r="I61" s="62"/>
      <c r="J61" s="62"/>
      <c r="K61" s="67"/>
      <c r="L61" s="62"/>
      <c r="M61" s="54">
        <f t="shared" ref="M61:M65" si="23">SUMPRODUCT(C61:L61,C$67:L$67)</f>
        <v>0</v>
      </c>
    </row>
    <row r="62" spans="1:13" x14ac:dyDescent="0.35">
      <c r="A62" t="str">
        <f t="shared" si="22"/>
        <v xml:space="preserve">    Mexico</v>
      </c>
      <c r="B62" s="1"/>
      <c r="C62" s="50"/>
      <c r="D62" s="50"/>
      <c r="E62" s="68"/>
      <c r="F62" s="50"/>
      <c r="G62" s="50"/>
      <c r="H62" s="68"/>
      <c r="I62" s="50"/>
      <c r="J62" s="50"/>
      <c r="K62" s="68"/>
      <c r="L62" s="50"/>
      <c r="M62" s="54">
        <f t="shared" si="23"/>
        <v>0</v>
      </c>
    </row>
    <row r="63" spans="1:13" x14ac:dyDescent="0.35">
      <c r="A63" t="str">
        <f t="shared" si="22"/>
        <v xml:space="preserve">    Mohave &amp; Havasu Evap &amp; ET</v>
      </c>
      <c r="B63" s="1"/>
      <c r="C63" s="50"/>
      <c r="D63" s="50"/>
      <c r="E63" s="68"/>
      <c r="F63" s="50"/>
      <c r="G63" s="50"/>
      <c r="H63" s="68"/>
      <c r="I63" s="50"/>
      <c r="J63" s="50"/>
      <c r="K63" s="68"/>
      <c r="L63" s="50"/>
      <c r="M63" s="54">
        <f t="shared" si="23"/>
        <v>0</v>
      </c>
    </row>
    <row r="64" spans="1:13" x14ac:dyDescent="0.35">
      <c r="A64" t="str">
        <f t="shared" si="22"/>
        <v/>
      </c>
      <c r="B64" s="1"/>
      <c r="C64" s="50"/>
      <c r="D64" s="50"/>
      <c r="E64" s="68"/>
      <c r="F64" s="50"/>
      <c r="G64" s="50"/>
      <c r="H64" s="68"/>
      <c r="I64" s="50"/>
      <c r="J64" s="50"/>
      <c r="K64" s="68"/>
      <c r="L64" s="50"/>
      <c r="M64" s="54">
        <f t="shared" si="23"/>
        <v>0</v>
      </c>
    </row>
    <row r="65" spans="1:21" x14ac:dyDescent="0.35">
      <c r="A65" t="str">
        <f t="shared" si="22"/>
        <v/>
      </c>
      <c r="B65" s="1"/>
      <c r="C65" s="50"/>
      <c r="D65" s="50"/>
      <c r="E65" s="50"/>
      <c r="F65" s="50"/>
      <c r="G65" s="50"/>
      <c r="H65" s="50"/>
      <c r="I65" s="50"/>
      <c r="J65" s="50"/>
      <c r="K65" s="50"/>
      <c r="L65" s="50"/>
      <c r="M65" s="54">
        <f t="shared" si="23"/>
        <v>0</v>
      </c>
    </row>
    <row r="66" spans="1:21" x14ac:dyDescent="0.35">
      <c r="A66" t="s">
        <v>159</v>
      </c>
      <c r="B66" s="1"/>
      <c r="C66" s="53" t="str">
        <f>IF(C$25&lt;&gt;"",SUM(C60:C65),"")</f>
        <v/>
      </c>
      <c r="D66" s="53" t="str">
        <f t="shared" ref="D66:L66" si="24">IF(D$25&lt;&gt;"",SUM(D60:D65),"")</f>
        <v/>
      </c>
      <c r="E66" s="53" t="str">
        <f t="shared" si="24"/>
        <v/>
      </c>
      <c r="F66" s="53" t="str">
        <f t="shared" si="24"/>
        <v/>
      </c>
      <c r="G66" s="53" t="str">
        <f t="shared" si="24"/>
        <v/>
      </c>
      <c r="H66" s="53" t="str">
        <f t="shared" si="24"/>
        <v/>
      </c>
      <c r="I66" s="53" t="str">
        <f t="shared" si="24"/>
        <v/>
      </c>
      <c r="J66" s="53" t="str">
        <f t="shared" si="24"/>
        <v/>
      </c>
      <c r="K66" s="53" t="str">
        <f t="shared" si="24"/>
        <v/>
      </c>
      <c r="L66" s="53" t="str">
        <f t="shared" si="24"/>
        <v/>
      </c>
      <c r="M66" s="34"/>
    </row>
    <row r="67" spans="1:21" x14ac:dyDescent="0.35">
      <c r="A67" t="s">
        <v>160</v>
      </c>
      <c r="B67" s="1"/>
      <c r="C67" s="31"/>
      <c r="D67" s="31"/>
      <c r="E67" s="31"/>
      <c r="F67" s="31"/>
      <c r="G67" s="31"/>
      <c r="H67" s="31"/>
      <c r="I67" s="31"/>
      <c r="J67" s="31"/>
      <c r="K67" s="31"/>
      <c r="L67" s="31"/>
    </row>
    <row r="68" spans="1:21" x14ac:dyDescent="0.35">
      <c r="A68" s="1" t="s">
        <v>186</v>
      </c>
      <c r="B68" s="1"/>
      <c r="C68"/>
    </row>
    <row r="69" spans="1:21" x14ac:dyDescent="0.35">
      <c r="A69" t="str">
        <f>IF(A6="","","    "&amp;A6)</f>
        <v xml:space="preserve">    Upper Basin</v>
      </c>
      <c r="C69" s="14" t="str">
        <f>IF(OR(C$25="",$A69=""),"",C28+C46+C53-C38-C60)</f>
        <v/>
      </c>
      <c r="D69" s="14" t="str">
        <f t="shared" ref="D69:L69" si="25">IF(OR(D$25="",$A69=""),"",D28+D46+D53-D38-D60)</f>
        <v/>
      </c>
      <c r="E69" s="14" t="str">
        <f t="shared" si="25"/>
        <v/>
      </c>
      <c r="F69" s="14" t="str">
        <f t="shared" si="25"/>
        <v/>
      </c>
      <c r="G69" s="14" t="str">
        <f t="shared" si="25"/>
        <v/>
      </c>
      <c r="H69" s="14" t="str">
        <f t="shared" si="25"/>
        <v/>
      </c>
      <c r="I69" s="14" t="str">
        <f t="shared" si="25"/>
        <v/>
      </c>
      <c r="J69" s="14" t="str">
        <f t="shared" si="25"/>
        <v/>
      </c>
      <c r="K69" s="14" t="str">
        <f t="shared" si="25"/>
        <v/>
      </c>
      <c r="L69" s="14" t="str">
        <f t="shared" si="25"/>
        <v/>
      </c>
    </row>
    <row r="70" spans="1:21" x14ac:dyDescent="0.35">
      <c r="A70" t="str">
        <f t="shared" ref="A70:A74" si="26">IF(A7="","","    "&amp;A7)</f>
        <v xml:space="preserve">    Lower Basin</v>
      </c>
      <c r="C70" s="14" t="str">
        <f t="shared" ref="C70:L74" si="27">IF(OR(C$25="",$A70=""),"",C29+C47+C54-C39-C61)</f>
        <v/>
      </c>
      <c r="D70" s="14" t="str">
        <f t="shared" si="27"/>
        <v/>
      </c>
      <c r="E70" s="14" t="str">
        <f t="shared" si="27"/>
        <v/>
      </c>
      <c r="F70" s="14" t="str">
        <f t="shared" si="27"/>
        <v/>
      </c>
      <c r="G70" s="14" t="str">
        <f t="shared" si="27"/>
        <v/>
      </c>
      <c r="H70" s="14" t="str">
        <f t="shared" si="27"/>
        <v/>
      </c>
      <c r="I70" s="14" t="str">
        <f t="shared" si="27"/>
        <v/>
      </c>
      <c r="J70" s="14" t="str">
        <f t="shared" si="27"/>
        <v/>
      </c>
      <c r="K70" s="14" t="str">
        <f t="shared" si="27"/>
        <v/>
      </c>
      <c r="L70" s="14" t="str">
        <f t="shared" si="27"/>
        <v/>
      </c>
    </row>
    <row r="71" spans="1:21" x14ac:dyDescent="0.35">
      <c r="A71" t="str">
        <f t="shared" si="26"/>
        <v xml:space="preserve">    Mexico</v>
      </c>
      <c r="C71" s="60" t="str">
        <f t="shared" si="27"/>
        <v/>
      </c>
      <c r="D71" s="14" t="str">
        <f t="shared" si="27"/>
        <v/>
      </c>
      <c r="E71" s="14" t="str">
        <f t="shared" si="27"/>
        <v/>
      </c>
      <c r="F71" s="14" t="str">
        <f t="shared" si="27"/>
        <v/>
      </c>
      <c r="G71" s="14" t="str">
        <f t="shared" si="27"/>
        <v/>
      </c>
      <c r="H71" s="14" t="str">
        <f t="shared" si="27"/>
        <v/>
      </c>
      <c r="I71" s="14" t="str">
        <f t="shared" si="27"/>
        <v/>
      </c>
      <c r="J71" s="14" t="str">
        <f t="shared" si="27"/>
        <v/>
      </c>
      <c r="K71" s="14" t="str">
        <f t="shared" si="27"/>
        <v/>
      </c>
      <c r="L71" s="14" t="str">
        <f t="shared" si="27"/>
        <v/>
      </c>
    </row>
    <row r="72" spans="1:21" x14ac:dyDescent="0.35">
      <c r="A72" t="str">
        <f t="shared" si="26"/>
        <v xml:space="preserve">    Mohave &amp; Havasu Evap &amp; ET</v>
      </c>
      <c r="C72" s="14" t="str">
        <f t="shared" si="27"/>
        <v/>
      </c>
      <c r="D72" s="14" t="str">
        <f t="shared" si="27"/>
        <v/>
      </c>
      <c r="E72" s="14" t="str">
        <f t="shared" si="27"/>
        <v/>
      </c>
      <c r="F72" s="14" t="str">
        <f t="shared" si="27"/>
        <v/>
      </c>
      <c r="G72" s="14" t="str">
        <f t="shared" si="27"/>
        <v/>
      </c>
      <c r="H72" s="14" t="str">
        <f t="shared" si="27"/>
        <v/>
      </c>
      <c r="I72" s="14" t="str">
        <f t="shared" si="27"/>
        <v/>
      </c>
      <c r="J72" s="14" t="str">
        <f t="shared" si="27"/>
        <v/>
      </c>
      <c r="K72" s="14" t="str">
        <f t="shared" si="27"/>
        <v/>
      </c>
      <c r="L72" s="14" t="str">
        <f t="shared" si="27"/>
        <v/>
      </c>
    </row>
    <row r="73" spans="1:21" x14ac:dyDescent="0.35">
      <c r="A73" t="str">
        <f t="shared" si="26"/>
        <v/>
      </c>
      <c r="C73" s="60" t="str">
        <f t="shared" si="27"/>
        <v/>
      </c>
      <c r="D73" s="60" t="str">
        <f t="shared" si="27"/>
        <v/>
      </c>
      <c r="E73" s="60" t="str">
        <f t="shared" si="27"/>
        <v/>
      </c>
      <c r="F73" s="60" t="str">
        <f t="shared" si="27"/>
        <v/>
      </c>
      <c r="G73" s="60" t="str">
        <f t="shared" si="27"/>
        <v/>
      </c>
      <c r="H73" s="60" t="str">
        <f t="shared" si="27"/>
        <v/>
      </c>
      <c r="I73" s="60" t="str">
        <f t="shared" si="27"/>
        <v/>
      </c>
      <c r="J73" s="60" t="str">
        <f t="shared" si="27"/>
        <v/>
      </c>
      <c r="K73" s="60" t="str">
        <f t="shared" si="27"/>
        <v/>
      </c>
      <c r="L73" s="60" t="str">
        <f t="shared" si="27"/>
        <v/>
      </c>
    </row>
    <row r="74" spans="1:21" x14ac:dyDescent="0.35">
      <c r="A74" t="str">
        <f t="shared" si="26"/>
        <v/>
      </c>
      <c r="C74" s="14" t="str">
        <f t="shared" si="27"/>
        <v/>
      </c>
      <c r="D74" s="14" t="str">
        <f t="shared" si="27"/>
        <v/>
      </c>
      <c r="E74" s="14" t="str">
        <f t="shared" si="27"/>
        <v/>
      </c>
      <c r="F74" s="14" t="str">
        <f t="shared" si="27"/>
        <v/>
      </c>
      <c r="G74" s="14" t="str">
        <f t="shared" si="27"/>
        <v/>
      </c>
      <c r="H74" s="14" t="str">
        <f t="shared" si="27"/>
        <v/>
      </c>
      <c r="I74" s="14" t="str">
        <f t="shared" si="27"/>
        <v/>
      </c>
      <c r="J74" s="14" t="str">
        <f t="shared" si="27"/>
        <v/>
      </c>
      <c r="K74" s="14" t="str">
        <f t="shared" si="27"/>
        <v/>
      </c>
      <c r="L74" s="14" t="str">
        <f t="shared" si="27"/>
        <v/>
      </c>
    </row>
    <row r="75" spans="1:21" x14ac:dyDescent="0.35">
      <c r="A75" s="1" t="s">
        <v>136</v>
      </c>
      <c r="B75" s="1"/>
      <c r="C75" s="69"/>
      <c r="D75" s="2"/>
      <c r="E75" s="69"/>
      <c r="F75" s="2"/>
      <c r="G75" s="2"/>
      <c r="H75" s="2"/>
      <c r="I75" s="2"/>
      <c r="J75" s="2"/>
      <c r="K75" s="2"/>
      <c r="L75" s="2"/>
    </row>
    <row r="76" spans="1:21" x14ac:dyDescent="0.35">
      <c r="A76" t="str">
        <f>IF(A6="","","    "&amp;A6&amp;" - Consumptive Use and Headwaters Losses")</f>
        <v xml:space="preserve">    Upper Basin - Consumptive Use and Headwaters Losses</v>
      </c>
      <c r="C76" s="43"/>
      <c r="D76" s="43"/>
      <c r="E76" s="43"/>
      <c r="F76" s="43"/>
      <c r="G76" s="43"/>
      <c r="H76" s="43"/>
      <c r="I76" s="43"/>
      <c r="J76" s="43"/>
      <c r="K76" s="43"/>
      <c r="L76" s="43"/>
      <c r="N76" s="1" t="s">
        <v>129</v>
      </c>
    </row>
    <row r="77" spans="1:21" x14ac:dyDescent="0.35">
      <c r="A77" t="str">
        <f>IF(A7="","","    "&amp;A7&amp;" - Release from Mead")</f>
        <v xml:space="preserve">    Lower Basin - Release from Mead</v>
      </c>
      <c r="C77" s="43"/>
      <c r="D77" s="43"/>
      <c r="E77" s="43"/>
      <c r="F77" s="43"/>
      <c r="G77" s="43"/>
      <c r="H77" s="43"/>
      <c r="I77" s="43"/>
      <c r="J77" s="43"/>
      <c r="K77" s="43"/>
      <c r="L77" s="43"/>
      <c r="N77" s="37" t="s">
        <v>130</v>
      </c>
      <c r="O77" s="37" t="s">
        <v>131</v>
      </c>
      <c r="P77" s="38" t="s">
        <v>132</v>
      </c>
      <c r="Q77" s="38" t="s">
        <v>133</v>
      </c>
      <c r="R77" s="37" t="s">
        <v>134</v>
      </c>
      <c r="S77" s="37" t="s">
        <v>134</v>
      </c>
      <c r="T77" s="51" t="s">
        <v>157</v>
      </c>
      <c r="U77" s="51" t="s">
        <v>158</v>
      </c>
    </row>
    <row r="78" spans="1:21" x14ac:dyDescent="0.35">
      <c r="A78" t="str">
        <f t="shared" ref="A78:A81" si="28">IF(A8="","","    "&amp;A8&amp;" - Release from Mead")</f>
        <v xml:space="preserve">    Mexico - Release from Mead</v>
      </c>
      <c r="C78" s="50"/>
      <c r="D78" s="50"/>
      <c r="E78" s="50"/>
      <c r="F78" s="50"/>
      <c r="G78" s="50"/>
      <c r="H78" s="50"/>
      <c r="I78" s="50"/>
      <c r="J78" s="50"/>
      <c r="K78" s="50"/>
      <c r="L78" s="50"/>
      <c r="N78" s="39">
        <v>1025</v>
      </c>
      <c r="O78" s="40">
        <v>5.981122</v>
      </c>
      <c r="P78" s="41">
        <f>S78-Q78</f>
        <v>1.2000000000000002</v>
      </c>
      <c r="Q78" s="49">
        <v>0.15</v>
      </c>
      <c r="R78" s="41">
        <v>1.325</v>
      </c>
      <c r="S78" s="49">
        <f t="shared" ref="S78:S85" si="29">U78/1000000</f>
        <v>1.35</v>
      </c>
      <c r="T78" s="42">
        <v>0.125</v>
      </c>
      <c r="U78" s="52">
        <v>1350000</v>
      </c>
    </row>
    <row r="79" spans="1:21" x14ac:dyDescent="0.35">
      <c r="A79" t="str">
        <f t="shared" si="28"/>
        <v xml:space="preserve">    Mohave &amp; Havasu Evap &amp; ET - Release from Mead</v>
      </c>
      <c r="C79" s="43"/>
      <c r="D79" s="43"/>
      <c r="E79" s="43"/>
      <c r="F79" s="43"/>
      <c r="G79" s="43"/>
      <c r="H79" s="43"/>
      <c r="I79" s="43"/>
      <c r="J79" s="43"/>
      <c r="K79" s="43"/>
      <c r="L79" s="43"/>
      <c r="N79" s="39">
        <v>1030</v>
      </c>
      <c r="O79" s="40">
        <v>6.305377</v>
      </c>
      <c r="P79" s="41">
        <f t="shared" ref="P79:P85" si="30">S79-Q79</f>
        <v>1.117</v>
      </c>
      <c r="Q79" s="49">
        <v>0.10100000000000001</v>
      </c>
      <c r="R79" s="41">
        <v>1.1870000000000001</v>
      </c>
      <c r="S79" s="41">
        <f t="shared" si="29"/>
        <v>1.218</v>
      </c>
      <c r="T79" s="42">
        <v>7.0000000000000007E-2</v>
      </c>
      <c r="U79" s="52">
        <v>1218000</v>
      </c>
    </row>
    <row r="80" spans="1:21" x14ac:dyDescent="0.35">
      <c r="A80" t="str">
        <f t="shared" si="28"/>
        <v/>
      </c>
      <c r="C80" s="68"/>
      <c r="D80" s="68"/>
      <c r="E80" s="50" t="str">
        <f>E73</f>
        <v/>
      </c>
      <c r="F80" s="50"/>
      <c r="G80" s="50"/>
      <c r="H80" s="50" t="str">
        <f>H73</f>
        <v/>
      </c>
      <c r="I80" s="50"/>
      <c r="J80" s="50"/>
      <c r="K80" s="50" t="str">
        <f>K73</f>
        <v/>
      </c>
      <c r="L80" s="50"/>
      <c r="N80" s="39">
        <v>1035</v>
      </c>
      <c r="O80" s="40">
        <v>6.6375080000000004</v>
      </c>
      <c r="P80" s="41">
        <f t="shared" si="30"/>
        <v>1.0669999999999999</v>
      </c>
      <c r="Q80" s="49">
        <v>9.1999999999999998E-2</v>
      </c>
      <c r="R80" s="41">
        <v>1.137</v>
      </c>
      <c r="S80" s="41">
        <f t="shared" si="29"/>
        <v>1.159</v>
      </c>
      <c r="T80" s="42">
        <v>7.0000000000000007E-2</v>
      </c>
      <c r="U80" s="52">
        <v>1159000</v>
      </c>
    </row>
    <row r="81" spans="1:21" x14ac:dyDescent="0.35">
      <c r="A81" t="str">
        <f t="shared" si="28"/>
        <v/>
      </c>
      <c r="C81" s="43"/>
      <c r="D81" s="43"/>
      <c r="E81" s="43"/>
      <c r="F81" s="43"/>
      <c r="G81" s="43"/>
      <c r="H81" s="43"/>
      <c r="I81" s="43"/>
      <c r="J81" s="43"/>
      <c r="K81" s="43"/>
      <c r="L81" s="43"/>
      <c r="N81" s="39">
        <v>1040</v>
      </c>
      <c r="O81" s="40">
        <v>6.977665</v>
      </c>
      <c r="P81" s="41">
        <f t="shared" si="30"/>
        <v>1.0169999999999999</v>
      </c>
      <c r="Q81" s="49">
        <v>8.4000000000000005E-2</v>
      </c>
      <c r="R81" s="41">
        <v>1.087</v>
      </c>
      <c r="S81" s="41">
        <f t="shared" si="29"/>
        <v>1.101</v>
      </c>
      <c r="T81" s="42">
        <v>7.0000000000000007E-2</v>
      </c>
      <c r="U81" s="52">
        <v>1101000</v>
      </c>
    </row>
    <row r="82" spans="1:21" x14ac:dyDescent="0.35">
      <c r="A82" s="1" t="s">
        <v>141</v>
      </c>
      <c r="B82" s="1"/>
      <c r="D82" s="2"/>
      <c r="E82" s="2"/>
      <c r="F82" s="2"/>
      <c r="G82" s="2"/>
      <c r="H82" s="2"/>
      <c r="I82" s="2"/>
      <c r="J82" s="2"/>
      <c r="K82" s="2"/>
      <c r="L82" s="2"/>
      <c r="N82" s="39">
        <v>1045</v>
      </c>
      <c r="O82" s="40">
        <v>7.3260519999999998</v>
      </c>
      <c r="P82" s="41">
        <f t="shared" si="30"/>
        <v>0.96699999999999997</v>
      </c>
      <c r="Q82" s="49">
        <v>7.5999999999999998E-2</v>
      </c>
      <c r="R82" s="41">
        <v>1.0369999999999999</v>
      </c>
      <c r="S82" s="41">
        <f t="shared" si="29"/>
        <v>1.0429999999999999</v>
      </c>
      <c r="T82" s="42">
        <v>7.0000000000000007E-2</v>
      </c>
      <c r="U82" s="52">
        <v>1043000</v>
      </c>
    </row>
    <row r="83" spans="1:21" x14ac:dyDescent="0.35">
      <c r="A83" t="str">
        <f>IF(A6="","","    "&amp;A6)</f>
        <v xml:space="preserve">    Upper Basin</v>
      </c>
      <c r="C83" s="14" t="str">
        <f>IF(OR(C$25="",$A83=""),"",C69-C76)</f>
        <v/>
      </c>
      <c r="D83" s="14" t="str">
        <f t="shared" ref="D83:L83" si="31">IF(OR(D$25="",$A83=""),"",D69-D76)</f>
        <v/>
      </c>
      <c r="E83" s="14" t="str">
        <f t="shared" si="31"/>
        <v/>
      </c>
      <c r="F83" s="14" t="str">
        <f t="shared" si="31"/>
        <v/>
      </c>
      <c r="G83" s="14" t="str">
        <f t="shared" si="31"/>
        <v/>
      </c>
      <c r="H83" s="14" t="str">
        <f t="shared" si="31"/>
        <v/>
      </c>
      <c r="I83" s="14" t="str">
        <f t="shared" si="31"/>
        <v/>
      </c>
      <c r="J83" s="14" t="str">
        <f t="shared" si="31"/>
        <v/>
      </c>
      <c r="K83" s="14" t="str">
        <f t="shared" si="31"/>
        <v/>
      </c>
      <c r="L83" s="14" t="str">
        <f t="shared" si="31"/>
        <v/>
      </c>
      <c r="N83" s="39">
        <v>1050</v>
      </c>
      <c r="O83" s="40">
        <v>7.6828779999999997</v>
      </c>
      <c r="P83" s="41">
        <f t="shared" si="30"/>
        <v>0.71699999999999997</v>
      </c>
      <c r="Q83" s="49">
        <v>3.4000000000000002E-2</v>
      </c>
      <c r="R83" s="41">
        <v>0.78700000000000003</v>
      </c>
      <c r="S83" s="41">
        <f t="shared" si="29"/>
        <v>0.751</v>
      </c>
      <c r="T83" s="42">
        <v>7.0000000000000007E-2</v>
      </c>
      <c r="U83" s="52">
        <v>751000</v>
      </c>
    </row>
    <row r="84" spans="1:21" x14ac:dyDescent="0.35">
      <c r="A84" t="str">
        <f t="shared" ref="A84:A88" si="32">IF(A7="","","    "&amp;A7)</f>
        <v xml:space="preserve">    Lower Basin</v>
      </c>
      <c r="C84" s="14" t="str">
        <f t="shared" ref="C84:L88" si="33">IF(OR(C$25="",$A84=""),"",C70-C77)</f>
        <v/>
      </c>
      <c r="D84" s="14" t="str">
        <f t="shared" si="33"/>
        <v/>
      </c>
      <c r="E84" s="14" t="str">
        <f t="shared" si="33"/>
        <v/>
      </c>
      <c r="F84" s="14" t="str">
        <f t="shared" si="33"/>
        <v/>
      </c>
      <c r="G84" s="14" t="str">
        <f t="shared" si="33"/>
        <v/>
      </c>
      <c r="H84" s="14" t="str">
        <f t="shared" si="33"/>
        <v/>
      </c>
      <c r="I84" s="14" t="str">
        <f t="shared" si="33"/>
        <v/>
      </c>
      <c r="J84" s="14" t="str">
        <f t="shared" si="33"/>
        <v/>
      </c>
      <c r="K84" s="14" t="str">
        <f t="shared" si="33"/>
        <v/>
      </c>
      <c r="L84" s="14" t="str">
        <f t="shared" si="33"/>
        <v/>
      </c>
      <c r="N84" s="39">
        <v>1075</v>
      </c>
      <c r="O84" s="40">
        <v>9.6009879999900001</v>
      </c>
      <c r="P84" s="41">
        <f t="shared" si="30"/>
        <v>0.63300000000000001</v>
      </c>
      <c r="Q84" s="49">
        <v>0.03</v>
      </c>
      <c r="R84" s="41">
        <v>0.68300000000000005</v>
      </c>
      <c r="S84" s="41">
        <f t="shared" si="29"/>
        <v>0.66300000000000003</v>
      </c>
      <c r="T84" s="42">
        <v>0.05</v>
      </c>
      <c r="U84" s="52">
        <v>663000</v>
      </c>
    </row>
    <row r="85" spans="1:21" x14ac:dyDescent="0.35">
      <c r="A85" t="str">
        <f t="shared" si="32"/>
        <v xml:space="preserve">    Mexico</v>
      </c>
      <c r="C85" s="14" t="str">
        <f t="shared" si="33"/>
        <v/>
      </c>
      <c r="D85" s="14" t="str">
        <f t="shared" si="33"/>
        <v/>
      </c>
      <c r="E85" s="14" t="str">
        <f t="shared" si="33"/>
        <v/>
      </c>
      <c r="F85" s="14" t="str">
        <f t="shared" si="33"/>
        <v/>
      </c>
      <c r="G85" s="14" t="str">
        <f t="shared" si="33"/>
        <v/>
      </c>
      <c r="H85" s="14" t="str">
        <f t="shared" si="33"/>
        <v/>
      </c>
      <c r="I85" s="14" t="str">
        <f t="shared" si="33"/>
        <v/>
      </c>
      <c r="J85" s="14" t="str">
        <f t="shared" si="33"/>
        <v/>
      </c>
      <c r="K85" s="14" t="str">
        <f t="shared" si="33"/>
        <v/>
      </c>
      <c r="L85" s="14" t="str">
        <f t="shared" si="33"/>
        <v/>
      </c>
      <c r="N85" s="39">
        <v>1090</v>
      </c>
      <c r="O85" s="40">
        <v>10.857008</v>
      </c>
      <c r="P85" s="41">
        <f t="shared" si="30"/>
        <v>0.30000000000000004</v>
      </c>
      <c r="Q85" s="49">
        <v>4.1000000000000002E-2</v>
      </c>
      <c r="R85" s="41">
        <v>0.3</v>
      </c>
      <c r="S85" s="41">
        <f t="shared" si="29"/>
        <v>0.34100000000000003</v>
      </c>
      <c r="T85" s="38"/>
      <c r="U85" s="52">
        <v>341000</v>
      </c>
    </row>
    <row r="86" spans="1:21" x14ac:dyDescent="0.35">
      <c r="A86" t="str">
        <f t="shared" si="32"/>
        <v xml:space="preserve">    Mohave &amp; Havasu Evap &amp; ET</v>
      </c>
      <c r="C86" s="14" t="str">
        <f t="shared" si="33"/>
        <v/>
      </c>
      <c r="D86" s="14" t="str">
        <f t="shared" si="33"/>
        <v/>
      </c>
      <c r="E86" s="14" t="str">
        <f t="shared" si="33"/>
        <v/>
      </c>
      <c r="F86" s="14" t="str">
        <f t="shared" si="33"/>
        <v/>
      </c>
      <c r="G86" s="14" t="str">
        <f t="shared" si="33"/>
        <v/>
      </c>
      <c r="H86" s="14" t="str">
        <f t="shared" si="33"/>
        <v/>
      </c>
      <c r="I86" s="14" t="str">
        <f t="shared" si="33"/>
        <v/>
      </c>
      <c r="J86" s="14" t="str">
        <f t="shared" si="33"/>
        <v/>
      </c>
      <c r="K86" s="14" t="str">
        <f t="shared" si="33"/>
        <v/>
      </c>
      <c r="L86" s="14" t="str">
        <f t="shared" si="33"/>
        <v/>
      </c>
    </row>
    <row r="87" spans="1:21" x14ac:dyDescent="0.35">
      <c r="A87" t="str">
        <f t="shared" si="32"/>
        <v/>
      </c>
      <c r="C87" s="59" t="str">
        <f>IF(OR(C$25="",$A87=""),"",C73-C80)</f>
        <v/>
      </c>
      <c r="D87" s="59" t="str">
        <f t="shared" si="33"/>
        <v/>
      </c>
      <c r="E87" s="59" t="str">
        <f t="shared" si="33"/>
        <v/>
      </c>
      <c r="F87" s="59" t="str">
        <f t="shared" si="33"/>
        <v/>
      </c>
      <c r="G87" s="59" t="str">
        <f t="shared" si="33"/>
        <v/>
      </c>
      <c r="H87" s="59" t="str">
        <f t="shared" si="33"/>
        <v/>
      </c>
      <c r="I87" s="59" t="str">
        <f t="shared" si="33"/>
        <v/>
      </c>
      <c r="J87" s="59" t="str">
        <f t="shared" si="33"/>
        <v/>
      </c>
      <c r="K87" s="59" t="str">
        <f t="shared" si="33"/>
        <v/>
      </c>
      <c r="L87" s="59" t="str">
        <f t="shared" si="33"/>
        <v/>
      </c>
    </row>
    <row r="88" spans="1:21" x14ac:dyDescent="0.35">
      <c r="A88" t="str">
        <f t="shared" si="32"/>
        <v/>
      </c>
      <c r="C88" s="14" t="str">
        <f t="shared" si="33"/>
        <v/>
      </c>
      <c r="D88" s="14" t="str">
        <f t="shared" si="33"/>
        <v/>
      </c>
      <c r="E88" s="14" t="str">
        <f t="shared" si="33"/>
        <v/>
      </c>
      <c r="F88" s="14" t="str">
        <f t="shared" si="33"/>
        <v/>
      </c>
      <c r="G88" s="14" t="str">
        <f t="shared" si="33"/>
        <v/>
      </c>
      <c r="H88" s="14" t="str">
        <f t="shared" si="33"/>
        <v/>
      </c>
      <c r="I88" s="14" t="str">
        <f t="shared" si="33"/>
        <v/>
      </c>
      <c r="J88" s="14" t="str">
        <f t="shared" si="33"/>
        <v/>
      </c>
      <c r="K88" s="14" t="str">
        <f t="shared" si="33"/>
        <v/>
      </c>
      <c r="L88" s="14" t="str">
        <f t="shared" si="33"/>
        <v/>
      </c>
    </row>
    <row r="89" spans="1:21" x14ac:dyDescent="0.35">
      <c r="A89" s="1" t="s">
        <v>125</v>
      </c>
      <c r="B89" s="1"/>
      <c r="C89" s="14" t="str">
        <f>IF(C$25&lt;&gt;"",SUM(C83:C88),"")</f>
        <v/>
      </c>
      <c r="D89" s="14" t="str">
        <f t="shared" ref="D89:L89" si="34">IF(D$25&lt;&gt;"",SUM(D83:D88),"")</f>
        <v/>
      </c>
      <c r="E89" s="14" t="str">
        <f t="shared" si="34"/>
        <v/>
      </c>
      <c r="F89" s="14" t="str">
        <f t="shared" si="34"/>
        <v/>
      </c>
      <c r="G89" s="14" t="str">
        <f t="shared" si="34"/>
        <v/>
      </c>
      <c r="H89" s="14" t="str">
        <f t="shared" si="34"/>
        <v/>
      </c>
      <c r="I89" s="14" t="str">
        <f t="shared" si="34"/>
        <v/>
      </c>
      <c r="J89" s="14" t="str">
        <f t="shared" si="34"/>
        <v/>
      </c>
      <c r="K89" s="14" t="str">
        <f t="shared" si="34"/>
        <v/>
      </c>
      <c r="L89" s="14" t="str">
        <f t="shared" si="34"/>
        <v/>
      </c>
    </row>
    <row r="90" spans="1:21" x14ac:dyDescent="0.35">
      <c r="A90" s="1" t="s">
        <v>147</v>
      </c>
      <c r="B90" s="1"/>
      <c r="C90" s="14" t="str">
        <f>IF(C25&lt;&gt;"",C35+C25-C38-C76-C89*$B$35,"")</f>
        <v/>
      </c>
      <c r="D90" s="14" t="str">
        <f t="shared" ref="D90:L90" si="35">IF(D25&lt;&gt;"",D35+D25-D38-D76-D89*$B$35,"")</f>
        <v/>
      </c>
      <c r="E90" s="14" t="str">
        <f t="shared" si="35"/>
        <v/>
      </c>
      <c r="F90" s="14" t="str">
        <f t="shared" si="35"/>
        <v/>
      </c>
      <c r="G90" s="14" t="str">
        <f t="shared" si="35"/>
        <v/>
      </c>
      <c r="H90" s="14" t="str">
        <f t="shared" si="35"/>
        <v/>
      </c>
      <c r="I90" s="14" t="str">
        <f t="shared" si="35"/>
        <v/>
      </c>
      <c r="J90" s="14" t="str">
        <f t="shared" si="35"/>
        <v/>
      </c>
      <c r="K90" s="14" t="str">
        <f t="shared" si="35"/>
        <v/>
      </c>
      <c r="L90" s="14" t="str">
        <f t="shared" si="35"/>
        <v/>
      </c>
    </row>
    <row r="92" spans="1:21" x14ac:dyDescent="0.35">
      <c r="A92" s="1" t="s">
        <v>127</v>
      </c>
      <c r="C92" s="12" t="str">
        <f>IF(C$25&lt;&gt;"",0.2,"")</f>
        <v/>
      </c>
      <c r="D92" s="12" t="str">
        <f t="shared" ref="D92:L92" si="36">IF(D$25&lt;&gt;"",0.2,"")</f>
        <v/>
      </c>
      <c r="E92" s="12" t="str">
        <f t="shared" si="36"/>
        <v/>
      </c>
      <c r="F92" s="12" t="str">
        <f t="shared" si="36"/>
        <v/>
      </c>
      <c r="G92" s="12" t="str">
        <f t="shared" si="36"/>
        <v/>
      </c>
      <c r="H92" s="12" t="str">
        <f t="shared" si="36"/>
        <v/>
      </c>
      <c r="I92" s="12" t="str">
        <f t="shared" si="36"/>
        <v/>
      </c>
      <c r="J92" s="12" t="str">
        <f t="shared" si="36"/>
        <v/>
      </c>
      <c r="K92" s="12" t="str">
        <f t="shared" si="36"/>
        <v/>
      </c>
      <c r="L92" s="12" t="str">
        <f t="shared" si="36"/>
        <v/>
      </c>
    </row>
    <row r="93" spans="1:21" x14ac:dyDescent="0.35">
      <c r="A93" t="s">
        <v>128</v>
      </c>
      <c r="C93" s="14" t="str">
        <f t="shared" ref="C93:L93" si="37">IF(C$25&lt;&gt;"",C77+C92,"")</f>
        <v/>
      </c>
      <c r="D93" s="14" t="str">
        <f t="shared" si="37"/>
        <v/>
      </c>
      <c r="E93" s="14" t="str">
        <f t="shared" si="37"/>
        <v/>
      </c>
      <c r="F93" s="14" t="str">
        <f t="shared" si="37"/>
        <v/>
      </c>
      <c r="G93" s="14" t="str">
        <f t="shared" si="37"/>
        <v/>
      </c>
      <c r="H93" s="14" t="str">
        <f t="shared" si="37"/>
        <v/>
      </c>
      <c r="I93" s="14" t="str">
        <f t="shared" si="37"/>
        <v/>
      </c>
      <c r="J93" s="14" t="str">
        <f t="shared" si="37"/>
        <v/>
      </c>
      <c r="K93" s="14" t="str">
        <f t="shared" si="37"/>
        <v/>
      </c>
      <c r="L93" s="14" t="str">
        <f t="shared" si="37"/>
        <v/>
      </c>
    </row>
    <row r="95" spans="1:21" x14ac:dyDescent="0.35">
      <c r="D95" s="18"/>
    </row>
  </sheetData>
  <mergeCells count="9">
    <mergeCell ref="C9:G9"/>
    <mergeCell ref="C10:G10"/>
    <mergeCell ref="C11:G11"/>
    <mergeCell ref="A3:G3"/>
    <mergeCell ref="C4:G4"/>
    <mergeCell ref="C5:G5"/>
    <mergeCell ref="C6:G6"/>
    <mergeCell ref="C7:G7"/>
    <mergeCell ref="C8:G8"/>
  </mergeCells>
  <conditionalFormatting sqref="C76">
    <cfRule type="cellIs" dxfId="432" priority="60" operator="greaterThan">
      <formula>$C$69</formula>
    </cfRule>
  </conditionalFormatting>
  <conditionalFormatting sqref="C77">
    <cfRule type="cellIs" dxfId="431" priority="59" operator="greaterThan">
      <formula>$C$70</formula>
    </cfRule>
  </conditionalFormatting>
  <conditionalFormatting sqref="C78">
    <cfRule type="cellIs" dxfId="430" priority="58" operator="greaterThan">
      <formula>$C$71</formula>
    </cfRule>
  </conditionalFormatting>
  <conditionalFormatting sqref="C79">
    <cfRule type="cellIs" dxfId="429" priority="57" operator="greaterThan">
      <formula>$C$72</formula>
    </cfRule>
  </conditionalFormatting>
  <conditionalFormatting sqref="C80">
    <cfRule type="cellIs" dxfId="428" priority="56" operator="greaterThan">
      <formula>$C$73</formula>
    </cfRule>
  </conditionalFormatting>
  <conditionalFormatting sqref="C81">
    <cfRule type="cellIs" dxfId="427" priority="55" operator="greaterThan">
      <formula>$C$74</formula>
    </cfRule>
  </conditionalFormatting>
  <conditionalFormatting sqref="D76">
    <cfRule type="cellIs" dxfId="426" priority="54" operator="greaterThan">
      <formula>$D$69</formula>
    </cfRule>
  </conditionalFormatting>
  <conditionalFormatting sqref="D77">
    <cfRule type="cellIs" dxfId="425" priority="53" operator="greaterThan">
      <formula>$D$70</formula>
    </cfRule>
  </conditionalFormatting>
  <conditionalFormatting sqref="D78">
    <cfRule type="cellIs" dxfId="424" priority="52" operator="greaterThan">
      <formula>$D$71</formula>
    </cfRule>
  </conditionalFormatting>
  <conditionalFormatting sqref="D79">
    <cfRule type="cellIs" dxfId="423" priority="51" operator="greaterThan">
      <formula>$D$72</formula>
    </cfRule>
  </conditionalFormatting>
  <conditionalFormatting sqref="D80">
    <cfRule type="cellIs" dxfId="422" priority="50" operator="greaterThan">
      <formula>$D$73</formula>
    </cfRule>
  </conditionalFormatting>
  <conditionalFormatting sqref="D81">
    <cfRule type="cellIs" dxfId="421" priority="49" operator="greaterThan">
      <formula>$D$74</formula>
    </cfRule>
  </conditionalFormatting>
  <conditionalFormatting sqref="E76">
    <cfRule type="cellIs" dxfId="420" priority="48" operator="greaterThan">
      <formula>$E$69</formula>
    </cfRule>
  </conditionalFormatting>
  <conditionalFormatting sqref="E77">
    <cfRule type="cellIs" dxfId="419" priority="47" operator="greaterThan">
      <formula>$E$70</formula>
    </cfRule>
  </conditionalFormatting>
  <conditionalFormatting sqref="E78">
    <cfRule type="cellIs" dxfId="418" priority="46" operator="greaterThan">
      <formula>$E$71</formula>
    </cfRule>
  </conditionalFormatting>
  <conditionalFormatting sqref="E79">
    <cfRule type="cellIs" dxfId="417" priority="45" operator="greaterThan">
      <formula>$E$72</formula>
    </cfRule>
  </conditionalFormatting>
  <conditionalFormatting sqref="E80">
    <cfRule type="cellIs" dxfId="416" priority="44" operator="greaterThan">
      <formula>$E$73</formula>
    </cfRule>
  </conditionalFormatting>
  <conditionalFormatting sqref="E81">
    <cfRule type="cellIs" dxfId="415" priority="43" operator="greaterThan">
      <formula>$E$74</formula>
    </cfRule>
  </conditionalFormatting>
  <conditionalFormatting sqref="F76">
    <cfRule type="cellIs" dxfId="414" priority="42" operator="greaterThan">
      <formula>$F$69</formula>
    </cfRule>
  </conditionalFormatting>
  <conditionalFormatting sqref="F77">
    <cfRule type="cellIs" dxfId="413" priority="41" operator="greaterThan">
      <formula>$F$70</formula>
    </cfRule>
  </conditionalFormatting>
  <conditionalFormatting sqref="F78">
    <cfRule type="cellIs" dxfId="412" priority="40" operator="greaterThan">
      <formula>$F$71</formula>
    </cfRule>
  </conditionalFormatting>
  <conditionalFormatting sqref="F79">
    <cfRule type="cellIs" dxfId="411" priority="39" operator="greaterThan">
      <formula>$F$72</formula>
    </cfRule>
  </conditionalFormatting>
  <conditionalFormatting sqref="F80">
    <cfRule type="cellIs" dxfId="410" priority="38" operator="greaterThan">
      <formula>$F$73</formula>
    </cfRule>
  </conditionalFormatting>
  <conditionalFormatting sqref="F81">
    <cfRule type="cellIs" dxfId="409" priority="37" operator="greaterThan">
      <formula>$F$74</formula>
    </cfRule>
  </conditionalFormatting>
  <conditionalFormatting sqref="G76">
    <cfRule type="cellIs" dxfId="408" priority="36" operator="greaterThan">
      <formula>$G$69</formula>
    </cfRule>
  </conditionalFormatting>
  <conditionalFormatting sqref="G77">
    <cfRule type="cellIs" dxfId="407" priority="35" operator="greaterThan">
      <formula>$G$70</formula>
    </cfRule>
  </conditionalFormatting>
  <conditionalFormatting sqref="G78">
    <cfRule type="cellIs" dxfId="406" priority="34" operator="greaterThan">
      <formula>$G$71</formula>
    </cfRule>
  </conditionalFormatting>
  <conditionalFormatting sqref="G79">
    <cfRule type="cellIs" dxfId="405" priority="33" operator="greaterThan">
      <formula>$G$72</formula>
    </cfRule>
  </conditionalFormatting>
  <conditionalFormatting sqref="G80">
    <cfRule type="cellIs" dxfId="404" priority="32" operator="greaterThan">
      <formula>$G$73</formula>
    </cfRule>
  </conditionalFormatting>
  <conditionalFormatting sqref="G81">
    <cfRule type="cellIs" dxfId="403" priority="31" operator="greaterThan">
      <formula>$G$74</formula>
    </cfRule>
  </conditionalFormatting>
  <conditionalFormatting sqref="H76">
    <cfRule type="cellIs" dxfId="402" priority="30" operator="greaterThan">
      <formula>$H$69</formula>
    </cfRule>
  </conditionalFormatting>
  <conditionalFormatting sqref="H77">
    <cfRule type="cellIs" dxfId="401" priority="29" operator="greaterThan">
      <formula>$H$70</formula>
    </cfRule>
  </conditionalFormatting>
  <conditionalFormatting sqref="H78">
    <cfRule type="cellIs" dxfId="400" priority="28" operator="greaterThan">
      <formula>$H$71</formula>
    </cfRule>
  </conditionalFormatting>
  <conditionalFormatting sqref="H79">
    <cfRule type="cellIs" dxfId="399" priority="27" operator="greaterThan">
      <formula>$H$72</formula>
    </cfRule>
  </conditionalFormatting>
  <conditionalFormatting sqref="H80">
    <cfRule type="cellIs" dxfId="398" priority="26" operator="greaterThan">
      <formula>$H$73</formula>
    </cfRule>
  </conditionalFormatting>
  <conditionalFormatting sqref="H81">
    <cfRule type="cellIs" dxfId="397" priority="25" operator="greaterThan">
      <formula>$H$74</formula>
    </cfRule>
  </conditionalFormatting>
  <conditionalFormatting sqref="I76">
    <cfRule type="cellIs" dxfId="396" priority="24" operator="greaterThan">
      <formula>$I$69</formula>
    </cfRule>
  </conditionalFormatting>
  <conditionalFormatting sqref="I77">
    <cfRule type="cellIs" dxfId="395" priority="23" operator="greaterThan">
      <formula>$I$70</formula>
    </cfRule>
  </conditionalFormatting>
  <conditionalFormatting sqref="I78">
    <cfRule type="cellIs" dxfId="394" priority="22" operator="greaterThan">
      <formula>$I$71</formula>
    </cfRule>
  </conditionalFormatting>
  <conditionalFormatting sqref="I79">
    <cfRule type="cellIs" dxfId="393" priority="21" operator="greaterThan">
      <formula>$I$72</formula>
    </cfRule>
  </conditionalFormatting>
  <conditionalFormatting sqref="I80">
    <cfRule type="cellIs" dxfId="392" priority="20" operator="greaterThan">
      <formula>$I$73</formula>
    </cfRule>
  </conditionalFormatting>
  <conditionalFormatting sqref="I81">
    <cfRule type="cellIs" dxfId="391" priority="19" operator="greaterThan">
      <formula>$I$74</formula>
    </cfRule>
  </conditionalFormatting>
  <conditionalFormatting sqref="J76">
    <cfRule type="cellIs" dxfId="390" priority="18" operator="greaterThan">
      <formula>$J$69</formula>
    </cfRule>
  </conditionalFormatting>
  <conditionalFormatting sqref="J77">
    <cfRule type="cellIs" dxfId="389" priority="17" operator="greaterThan">
      <formula>$J$70</formula>
    </cfRule>
  </conditionalFormatting>
  <conditionalFormatting sqref="J78">
    <cfRule type="cellIs" dxfId="388" priority="16" operator="greaterThan">
      <formula>$J$71</formula>
    </cfRule>
  </conditionalFormatting>
  <conditionalFormatting sqref="J79">
    <cfRule type="cellIs" dxfId="387" priority="15" operator="greaterThan">
      <formula>$J$72</formula>
    </cfRule>
  </conditionalFormatting>
  <conditionalFormatting sqref="J80">
    <cfRule type="cellIs" dxfId="386" priority="14" operator="greaterThan">
      <formula>$J$73</formula>
    </cfRule>
  </conditionalFormatting>
  <conditionalFormatting sqref="J81">
    <cfRule type="cellIs" dxfId="385" priority="13" operator="greaterThan">
      <formula>$J$74</formula>
    </cfRule>
  </conditionalFormatting>
  <conditionalFormatting sqref="K76">
    <cfRule type="cellIs" dxfId="384" priority="12" operator="greaterThan">
      <formula>$K$69</formula>
    </cfRule>
  </conditionalFormatting>
  <conditionalFormatting sqref="K77">
    <cfRule type="cellIs" dxfId="383" priority="11" operator="greaterThan">
      <formula>$K$70</formula>
    </cfRule>
  </conditionalFormatting>
  <conditionalFormatting sqref="K78">
    <cfRule type="cellIs" dxfId="382" priority="10" operator="greaterThan">
      <formula>$K$71</formula>
    </cfRule>
  </conditionalFormatting>
  <conditionalFormatting sqref="K79">
    <cfRule type="cellIs" dxfId="381" priority="9" operator="greaterThan">
      <formula>$K$72</formula>
    </cfRule>
  </conditionalFormatting>
  <conditionalFormatting sqref="K80">
    <cfRule type="cellIs" dxfId="380" priority="8" operator="greaterThan">
      <formula>$K$73</formula>
    </cfRule>
  </conditionalFormatting>
  <conditionalFormatting sqref="K81">
    <cfRule type="cellIs" dxfId="379" priority="7" operator="greaterThan">
      <formula>$K$74</formula>
    </cfRule>
  </conditionalFormatting>
  <conditionalFormatting sqref="L76">
    <cfRule type="cellIs" dxfId="378" priority="6" operator="greaterThan">
      <formula>$L$69</formula>
    </cfRule>
  </conditionalFormatting>
  <conditionalFormatting sqref="L77">
    <cfRule type="cellIs" dxfId="377" priority="5" operator="greaterThan">
      <formula>$L$70</formula>
    </cfRule>
  </conditionalFormatting>
  <conditionalFormatting sqref="L78">
    <cfRule type="cellIs" dxfId="376" priority="4" operator="greaterThan">
      <formula>$L$71</formula>
    </cfRule>
  </conditionalFormatting>
  <conditionalFormatting sqref="L79">
    <cfRule type="cellIs" dxfId="375" priority="3" operator="greaterThan">
      <formula>$L$72</formula>
    </cfRule>
  </conditionalFormatting>
  <conditionalFormatting sqref="L80">
    <cfRule type="cellIs" dxfId="374" priority="2" operator="greaterThan">
      <formula>$L$73</formula>
    </cfRule>
  </conditionalFormatting>
  <conditionalFormatting sqref="L81">
    <cfRule type="cellIs" dxfId="373" priority="1" operator="greaterThan">
      <formula>$L$74</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47758D-E0DB-4065-8684-DE1058D28F26}">
  <dimension ref="A1:U95"/>
  <sheetViews>
    <sheetView topLeftCell="A14" zoomScale="150" zoomScaleNormal="150" workbookViewId="0">
      <selection activeCell="N24" sqref="N24:N30"/>
    </sheetView>
  </sheetViews>
  <sheetFormatPr defaultRowHeight="14.5" x14ac:dyDescent="0.35"/>
  <cols>
    <col min="1" max="1" width="37.36328125" customWidth="1"/>
    <col min="2" max="2" width="7.81640625" customWidth="1"/>
    <col min="3" max="3" width="8" style="2" customWidth="1"/>
    <col min="4" max="4" width="7.54296875" customWidth="1"/>
    <col min="5" max="5" width="7.26953125" customWidth="1"/>
    <col min="6" max="6" width="7.6328125" customWidth="1"/>
    <col min="7" max="7" width="7.08984375" customWidth="1"/>
    <col min="8" max="8" width="7.36328125" hidden="1" customWidth="1"/>
    <col min="9" max="9" width="7.7265625" hidden="1" customWidth="1"/>
    <col min="10" max="12" width="8.7265625" hidden="1" customWidth="1"/>
    <col min="13" max="13" width="10.81640625" customWidth="1"/>
    <col min="14" max="14" width="12.26953125" customWidth="1"/>
    <col min="15" max="15" width="13" customWidth="1"/>
    <col min="16" max="16" width="9.81640625" customWidth="1"/>
    <col min="17" max="17" width="10.81640625" customWidth="1"/>
    <col min="18" max="18" width="21.6328125" customWidth="1"/>
    <col min="21" max="21" width="12.1796875" customWidth="1"/>
  </cols>
  <sheetData>
    <row r="1" spans="1:11" x14ac:dyDescent="0.35">
      <c r="A1" s="1" t="s">
        <v>110</v>
      </c>
      <c r="B1" s="1"/>
    </row>
    <row r="2" spans="1:11" x14ac:dyDescent="0.35">
      <c r="A2" s="1"/>
      <c r="B2" s="1"/>
    </row>
    <row r="3" spans="1:11" ht="32" customHeight="1" x14ac:dyDescent="0.35">
      <c r="A3" s="98" t="s">
        <v>169</v>
      </c>
      <c r="B3" s="98"/>
      <c r="C3" s="98"/>
      <c r="D3" s="98"/>
      <c r="E3" s="98"/>
      <c r="F3" s="98"/>
      <c r="G3" s="98"/>
      <c r="H3" s="63"/>
      <c r="I3" s="63"/>
      <c r="J3" s="63"/>
      <c r="K3" s="63"/>
    </row>
    <row r="4" spans="1:11" x14ac:dyDescent="0.35">
      <c r="A4" s="64" t="s">
        <v>39</v>
      </c>
      <c r="B4" s="64" t="s">
        <v>43</v>
      </c>
      <c r="C4" s="99" t="s">
        <v>44</v>
      </c>
      <c r="D4" s="100"/>
      <c r="E4" s="100"/>
      <c r="F4" s="100"/>
      <c r="G4" s="101"/>
    </row>
    <row r="5" spans="1:11" x14ac:dyDescent="0.35">
      <c r="A5" s="65" t="s">
        <v>52</v>
      </c>
      <c r="B5" s="65"/>
      <c r="C5" s="102"/>
      <c r="D5" s="102"/>
      <c r="E5" s="102"/>
      <c r="F5" s="102"/>
      <c r="G5" s="102"/>
    </row>
    <row r="6" spans="1:11" x14ac:dyDescent="0.35">
      <c r="A6" s="66" t="s">
        <v>40</v>
      </c>
      <c r="B6" s="66" t="s">
        <v>184</v>
      </c>
      <c r="C6" s="103" t="s">
        <v>189</v>
      </c>
      <c r="D6" s="103"/>
      <c r="E6" s="103"/>
      <c r="F6" s="103"/>
      <c r="G6" s="103"/>
    </row>
    <row r="7" spans="1:11" x14ac:dyDescent="0.35">
      <c r="A7" s="66" t="s">
        <v>41</v>
      </c>
      <c r="B7" s="66" t="s">
        <v>184</v>
      </c>
      <c r="C7" s="103" t="s">
        <v>190</v>
      </c>
      <c r="D7" s="103"/>
      <c r="E7" s="103"/>
      <c r="F7" s="103"/>
      <c r="G7" s="103"/>
    </row>
    <row r="8" spans="1:11" x14ac:dyDescent="0.35">
      <c r="A8" s="66" t="s">
        <v>42</v>
      </c>
      <c r="B8" s="66" t="s">
        <v>184</v>
      </c>
      <c r="C8" s="103" t="s">
        <v>181</v>
      </c>
      <c r="D8" s="103"/>
      <c r="E8" s="103"/>
      <c r="F8" s="103"/>
      <c r="G8" s="103"/>
    </row>
    <row r="9" spans="1:11" x14ac:dyDescent="0.35">
      <c r="A9" s="66" t="s">
        <v>165</v>
      </c>
      <c r="B9" s="66" t="s">
        <v>184</v>
      </c>
      <c r="C9" s="103" t="s">
        <v>182</v>
      </c>
      <c r="D9" s="103"/>
      <c r="E9" s="103"/>
      <c r="F9" s="103"/>
      <c r="G9" s="103"/>
    </row>
    <row r="10" spans="1:11" x14ac:dyDescent="0.35">
      <c r="A10" s="66"/>
      <c r="B10" s="66"/>
      <c r="C10" s="97"/>
      <c r="D10" s="97"/>
      <c r="E10" s="97"/>
      <c r="F10" s="97"/>
      <c r="G10" s="97"/>
    </row>
    <row r="11" spans="1:11" x14ac:dyDescent="0.35">
      <c r="A11" s="66"/>
      <c r="B11" s="66"/>
      <c r="C11" s="97"/>
      <c r="D11" s="97"/>
      <c r="E11" s="97"/>
      <c r="F11" s="97"/>
      <c r="G11" s="97"/>
    </row>
    <row r="12" spans="1:11" x14ac:dyDescent="0.35">
      <c r="A12" s="16"/>
      <c r="B12" s="2"/>
      <c r="C12"/>
    </row>
    <row r="13" spans="1:11" x14ac:dyDescent="0.35">
      <c r="A13" s="19" t="s">
        <v>46</v>
      </c>
      <c r="B13" s="2"/>
      <c r="C13"/>
    </row>
    <row r="14" spans="1:11" x14ac:dyDescent="0.35">
      <c r="A14" s="20" t="s">
        <v>53</v>
      </c>
    </row>
    <row r="15" spans="1:11" x14ac:dyDescent="0.35">
      <c r="A15" s="22" t="s">
        <v>48</v>
      </c>
      <c r="B15" s="19"/>
    </row>
    <row r="16" spans="1:11" x14ac:dyDescent="0.35">
      <c r="A16" s="21" t="s">
        <v>47</v>
      </c>
    </row>
    <row r="18" spans="1:14" x14ac:dyDescent="0.35">
      <c r="A18" s="1" t="s">
        <v>54</v>
      </c>
      <c r="D18" s="20" t="s">
        <v>188</v>
      </c>
    </row>
    <row r="20" spans="1:14" x14ac:dyDescent="0.35">
      <c r="A20" s="1" t="s">
        <v>32</v>
      </c>
      <c r="B20" s="1" t="s">
        <v>112</v>
      </c>
      <c r="C20" s="13" t="s">
        <v>113</v>
      </c>
    </row>
    <row r="21" spans="1:14" x14ac:dyDescent="0.35">
      <c r="A21" t="s">
        <v>111</v>
      </c>
      <c r="B21" s="12">
        <v>5.73</v>
      </c>
      <c r="C21" s="12">
        <v>6</v>
      </c>
      <c r="D21" s="23" t="s">
        <v>114</v>
      </c>
    </row>
    <row r="22" spans="1:14" x14ac:dyDescent="0.35">
      <c r="A22" t="s">
        <v>145</v>
      </c>
      <c r="B22" s="12">
        <v>11</v>
      </c>
      <c r="C22" s="12">
        <v>10.1</v>
      </c>
      <c r="D22" s="11" t="s">
        <v>34</v>
      </c>
    </row>
    <row r="24" spans="1:14" s="1" customFormat="1" x14ac:dyDescent="0.35">
      <c r="A24" s="57" t="s">
        <v>35</v>
      </c>
      <c r="B24" s="57" t="s">
        <v>49</v>
      </c>
      <c r="C24" s="58" t="s">
        <v>5</v>
      </c>
      <c r="D24" s="58" t="s">
        <v>6</v>
      </c>
      <c r="E24" s="58" t="s">
        <v>7</v>
      </c>
      <c r="F24" s="58" t="s">
        <v>8</v>
      </c>
      <c r="G24" s="58" t="s">
        <v>9</v>
      </c>
      <c r="H24" s="58" t="s">
        <v>10</v>
      </c>
      <c r="I24" s="58" t="s">
        <v>11</v>
      </c>
      <c r="J24" s="58" t="s">
        <v>12</v>
      </c>
      <c r="K24" s="58" t="s">
        <v>36</v>
      </c>
      <c r="L24" s="58" t="s">
        <v>37</v>
      </c>
      <c r="M24" s="58" t="s">
        <v>108</v>
      </c>
      <c r="N24" s="58" t="s">
        <v>221</v>
      </c>
    </row>
    <row r="25" spans="1:14" x14ac:dyDescent="0.35">
      <c r="A25" s="1" t="s">
        <v>45</v>
      </c>
      <c r="B25" s="1"/>
      <c r="C25" s="45">
        <v>11</v>
      </c>
      <c r="D25" s="45">
        <f>C25</f>
        <v>11</v>
      </c>
      <c r="E25" s="45">
        <f t="shared" ref="E25:G25" si="0">D25</f>
        <v>11</v>
      </c>
      <c r="F25" s="45">
        <f t="shared" si="0"/>
        <v>11</v>
      </c>
      <c r="G25" s="45">
        <f t="shared" si="0"/>
        <v>11</v>
      </c>
      <c r="H25" s="45"/>
      <c r="I25" s="45"/>
      <c r="J25" s="45"/>
      <c r="K25" s="45"/>
      <c r="L25" s="45"/>
    </row>
    <row r="26" spans="1:14" x14ac:dyDescent="0.35">
      <c r="A26" s="1" t="s">
        <v>123</v>
      </c>
      <c r="B26" s="1"/>
      <c r="C26" s="12">
        <f>IF(C$25&lt;&gt;"",0.8,"")</f>
        <v>0.8</v>
      </c>
      <c r="D26" s="12">
        <f t="shared" ref="D26:L26" si="1">IF(D$25&lt;&gt;"",0.8,"")</f>
        <v>0.8</v>
      </c>
      <c r="E26" s="12">
        <f t="shared" si="1"/>
        <v>0.8</v>
      </c>
      <c r="F26" s="12">
        <f t="shared" si="1"/>
        <v>0.8</v>
      </c>
      <c r="G26" s="12">
        <f t="shared" si="1"/>
        <v>0.8</v>
      </c>
      <c r="H26" s="12" t="str">
        <f t="shared" si="1"/>
        <v/>
      </c>
      <c r="I26" s="12" t="str">
        <f t="shared" si="1"/>
        <v/>
      </c>
      <c r="J26" s="12" t="str">
        <f t="shared" si="1"/>
        <v/>
      </c>
      <c r="K26" s="12" t="str">
        <f t="shared" si="1"/>
        <v/>
      </c>
      <c r="L26" s="12" t="str">
        <f t="shared" si="1"/>
        <v/>
      </c>
    </row>
    <row r="27" spans="1:14" x14ac:dyDescent="0.35">
      <c r="A27" s="1" t="s">
        <v>126</v>
      </c>
      <c r="B27" s="14">
        <f>SUM(B28:B33)-SUM(B22:C22)</f>
        <v>0</v>
      </c>
      <c r="C27" s="14">
        <f>IF(C$25&lt;&gt;"",SUM(B22:C22),"")</f>
        <v>21.1</v>
      </c>
      <c r="D27" s="14">
        <f>IF(D$25&lt;&gt;"",C89,"")</f>
        <v>19.202087997956422</v>
      </c>
      <c r="E27" s="14">
        <f t="shared" ref="E27:L27" si="2">IF(E$25&lt;&gt;"",D89,"")</f>
        <v>17.798428243956995</v>
      </c>
      <c r="F27" s="14">
        <f t="shared" si="2"/>
        <v>16.738607840956995</v>
      </c>
      <c r="G27" s="14">
        <f t="shared" si="2"/>
        <v>15.912029191456391</v>
      </c>
      <c r="H27" s="14" t="str">
        <f t="shared" si="2"/>
        <v/>
      </c>
      <c r="I27" s="14" t="str">
        <f t="shared" si="2"/>
        <v/>
      </c>
      <c r="J27" s="14" t="str">
        <f t="shared" si="2"/>
        <v/>
      </c>
      <c r="K27" s="14" t="str">
        <f t="shared" si="2"/>
        <v/>
      </c>
      <c r="L27" s="14" t="str">
        <f t="shared" si="2"/>
        <v/>
      </c>
    </row>
    <row r="28" spans="1:14" x14ac:dyDescent="0.35">
      <c r="A28" t="str">
        <f>IF(A6="","","    "&amp;A6&amp;" Balance")</f>
        <v xml:space="preserve">    Upper Basin Balance</v>
      </c>
      <c r="B28" s="55">
        <f>B22</f>
        <v>11</v>
      </c>
      <c r="C28" s="14">
        <f>IF(OR(C$25="",$A28=""),"",B28)</f>
        <v>11</v>
      </c>
      <c r="D28" s="14">
        <f>IF(OR(D$25="",$A28=""),"",C83)</f>
        <v>9.0322571336493027</v>
      </c>
      <c r="E28" s="14">
        <f t="shared" ref="E28:L28" si="3">IF(OR(E$25="",$A28=""),"",D83)</f>
        <v>7.6425607766800914</v>
      </c>
      <c r="F28" s="14">
        <f t="shared" si="3"/>
        <v>6.6113060670383863</v>
      </c>
      <c r="G28" s="14">
        <f t="shared" si="3"/>
        <v>6.2249460986089646</v>
      </c>
      <c r="H28" s="14" t="str">
        <f t="shared" si="3"/>
        <v/>
      </c>
      <c r="I28" s="14" t="str">
        <f t="shared" si="3"/>
        <v/>
      </c>
      <c r="J28" s="14" t="str">
        <f t="shared" si="3"/>
        <v/>
      </c>
      <c r="K28" s="14" t="str">
        <f t="shared" si="3"/>
        <v/>
      </c>
      <c r="L28" s="14" t="str">
        <f t="shared" si="3"/>
        <v/>
      </c>
      <c r="N28" t="s">
        <v>222</v>
      </c>
    </row>
    <row r="29" spans="1:14" x14ac:dyDescent="0.35">
      <c r="A29" t="str">
        <f t="shared" ref="A29:A33" si="4">IF(A7="","","    "&amp;A7&amp;" Balance")</f>
        <v xml:space="preserve">    Lower Basin Balance</v>
      </c>
      <c r="B29" s="55">
        <f>C22-B30</f>
        <v>10.058999999999999</v>
      </c>
      <c r="C29" s="14">
        <f t="shared" ref="C29:C33" si="5">IF(OR(C$25="",$A29=""),"",B29)</f>
        <v>10.058999999999999</v>
      </c>
      <c r="D29" s="14">
        <f t="shared" ref="D29:L33" si="6">IF(OR(D$25="",$A29=""),"",C84)</f>
        <v>10.169830864307119</v>
      </c>
      <c r="E29" s="14">
        <f t="shared" si="6"/>
        <v>10.155867467276902</v>
      </c>
      <c r="F29" s="14">
        <f t="shared" si="6"/>
        <v>10.127301773918607</v>
      </c>
      <c r="G29" s="14">
        <f t="shared" si="6"/>
        <v>9.687083092847427</v>
      </c>
      <c r="H29" s="14" t="str">
        <f t="shared" si="6"/>
        <v/>
      </c>
      <c r="I29" s="14" t="str">
        <f t="shared" si="6"/>
        <v/>
      </c>
      <c r="J29" s="14" t="str">
        <f t="shared" si="6"/>
        <v/>
      </c>
      <c r="K29" s="14" t="str">
        <f t="shared" si="6"/>
        <v/>
      </c>
      <c r="L29" s="14" t="str">
        <f t="shared" si="6"/>
        <v/>
      </c>
      <c r="N29" t="s">
        <v>223</v>
      </c>
    </row>
    <row r="30" spans="1:14" x14ac:dyDescent="0.35">
      <c r="A30" t="str">
        <f t="shared" si="4"/>
        <v xml:space="preserve">    Mexico Balance</v>
      </c>
      <c r="B30" s="56">
        <v>4.1000000000000002E-2</v>
      </c>
      <c r="C30" s="14">
        <f t="shared" si="5"/>
        <v>4.1000000000000002E-2</v>
      </c>
      <c r="D30" s="14">
        <f t="shared" si="6"/>
        <v>0</v>
      </c>
      <c r="E30" s="14">
        <f t="shared" si="6"/>
        <v>0</v>
      </c>
      <c r="F30" s="14">
        <f t="shared" si="6"/>
        <v>0</v>
      </c>
      <c r="G30" s="14">
        <f t="shared" si="6"/>
        <v>0</v>
      </c>
      <c r="H30" s="14" t="str">
        <f t="shared" si="6"/>
        <v/>
      </c>
      <c r="I30" s="14" t="str">
        <f t="shared" si="6"/>
        <v/>
      </c>
      <c r="J30" s="14" t="str">
        <f t="shared" si="6"/>
        <v/>
      </c>
      <c r="K30" s="14" t="str">
        <f t="shared" si="6"/>
        <v/>
      </c>
      <c r="L30" s="14" t="str">
        <f t="shared" si="6"/>
        <v/>
      </c>
      <c r="N30" t="s">
        <v>224</v>
      </c>
    </row>
    <row r="31" spans="1:14" x14ac:dyDescent="0.35">
      <c r="A31" t="str">
        <f t="shared" si="4"/>
        <v xml:space="preserve">    Mohave &amp; Havasu Evap &amp; ET Balance</v>
      </c>
      <c r="B31" s="56">
        <v>0</v>
      </c>
      <c r="C31" s="14">
        <f t="shared" si="5"/>
        <v>0</v>
      </c>
      <c r="D31" s="14">
        <f t="shared" si="6"/>
        <v>0</v>
      </c>
      <c r="E31" s="14">
        <f t="shared" si="6"/>
        <v>0</v>
      </c>
      <c r="F31" s="14">
        <f t="shared" si="6"/>
        <v>0</v>
      </c>
      <c r="G31" s="14">
        <f t="shared" si="6"/>
        <v>0</v>
      </c>
      <c r="H31" s="14" t="str">
        <f t="shared" si="6"/>
        <v/>
      </c>
      <c r="I31" s="14" t="str">
        <f t="shared" si="6"/>
        <v/>
      </c>
      <c r="J31" s="14" t="str">
        <f t="shared" si="6"/>
        <v/>
      </c>
      <c r="K31" s="14" t="str">
        <f t="shared" si="6"/>
        <v/>
      </c>
      <c r="L31" s="14" t="str">
        <f t="shared" si="6"/>
        <v/>
      </c>
    </row>
    <row r="32" spans="1:14" x14ac:dyDescent="0.35">
      <c r="A32" t="str">
        <f t="shared" si="4"/>
        <v/>
      </c>
      <c r="B32" s="56"/>
      <c r="C32" s="14" t="str">
        <f t="shared" si="5"/>
        <v/>
      </c>
      <c r="D32" s="14" t="str">
        <f t="shared" si="6"/>
        <v/>
      </c>
      <c r="E32" s="14" t="str">
        <f t="shared" si="6"/>
        <v/>
      </c>
      <c r="F32" s="14" t="str">
        <f t="shared" si="6"/>
        <v/>
      </c>
      <c r="G32" s="14" t="str">
        <f t="shared" si="6"/>
        <v/>
      </c>
      <c r="H32" s="14" t="str">
        <f t="shared" si="6"/>
        <v/>
      </c>
      <c r="I32" s="14" t="str">
        <f t="shared" si="6"/>
        <v/>
      </c>
      <c r="J32" s="14" t="str">
        <f t="shared" si="6"/>
        <v/>
      </c>
      <c r="K32" s="14" t="str">
        <f t="shared" si="6"/>
        <v/>
      </c>
      <c r="L32" s="14" t="str">
        <f t="shared" si="6"/>
        <v/>
      </c>
    </row>
    <row r="33" spans="1:12" x14ac:dyDescent="0.35">
      <c r="A33" t="str">
        <f t="shared" si="4"/>
        <v/>
      </c>
      <c r="B33" s="56"/>
      <c r="C33" s="14" t="str">
        <f t="shared" si="5"/>
        <v/>
      </c>
      <c r="D33" s="14" t="str">
        <f t="shared" si="6"/>
        <v/>
      </c>
      <c r="E33" s="14" t="str">
        <f t="shared" si="6"/>
        <v/>
      </c>
      <c r="F33" s="14" t="str">
        <f t="shared" si="6"/>
        <v/>
      </c>
      <c r="G33" s="14" t="str">
        <f t="shared" si="6"/>
        <v/>
      </c>
      <c r="H33" s="14" t="str">
        <f t="shared" si="6"/>
        <v/>
      </c>
      <c r="I33" s="14" t="str">
        <f t="shared" si="6"/>
        <v/>
      </c>
      <c r="J33" s="14" t="str">
        <f t="shared" si="6"/>
        <v/>
      </c>
      <c r="K33" s="14" t="str">
        <f t="shared" si="6"/>
        <v/>
      </c>
      <c r="L33" s="14" t="str">
        <f t="shared" si="6"/>
        <v/>
      </c>
    </row>
    <row r="34" spans="1:12" x14ac:dyDescent="0.35">
      <c r="A34" s="1" t="s">
        <v>117</v>
      </c>
      <c r="C34"/>
    </row>
    <row r="35" spans="1:12" x14ac:dyDescent="0.35">
      <c r="A35" t="s">
        <v>115</v>
      </c>
      <c r="B35" s="35">
        <v>0.5</v>
      </c>
      <c r="C35" s="14">
        <f>IF(C$25&lt;&gt;"",B22,"")</f>
        <v>11</v>
      </c>
      <c r="D35" s="14">
        <f t="shared" ref="D35:L36" si="7">IF(D25&lt;&gt;"",$B35*D$27,"")</f>
        <v>9.601043998978211</v>
      </c>
      <c r="E35" s="14">
        <f t="shared" si="7"/>
        <v>8.8992141219784973</v>
      </c>
      <c r="F35" s="14">
        <f t="shared" si="7"/>
        <v>8.3693039204784974</v>
      </c>
      <c r="G35" s="14">
        <f t="shared" si="7"/>
        <v>7.9560145957281954</v>
      </c>
      <c r="H35" s="14" t="str">
        <f t="shared" si="7"/>
        <v/>
      </c>
      <c r="I35" s="14" t="str">
        <f t="shared" si="7"/>
        <v/>
      </c>
      <c r="J35" s="14" t="str">
        <f t="shared" si="7"/>
        <v/>
      </c>
      <c r="K35" s="14" t="str">
        <f t="shared" si="7"/>
        <v/>
      </c>
      <c r="L35" s="14" t="str">
        <f t="shared" si="7"/>
        <v/>
      </c>
    </row>
    <row r="36" spans="1:12" x14ac:dyDescent="0.35">
      <c r="A36" t="s">
        <v>116</v>
      </c>
      <c r="B36" s="35">
        <f>1-B35</f>
        <v>0.5</v>
      </c>
      <c r="C36" s="14">
        <f>IF(C$25&lt;&gt;"",C22,"")</f>
        <v>10.1</v>
      </c>
      <c r="D36" s="14">
        <f t="shared" si="7"/>
        <v>9.601043998978211</v>
      </c>
      <c r="E36" s="14">
        <f t="shared" si="7"/>
        <v>8.8992141219784973</v>
      </c>
      <c r="F36" s="14">
        <f t="shared" si="7"/>
        <v>8.3693039204784974</v>
      </c>
      <c r="G36" s="14">
        <f t="shared" si="7"/>
        <v>7.9560145957281954</v>
      </c>
      <c r="H36" s="14" t="str">
        <f t="shared" si="7"/>
        <v/>
      </c>
      <c r="I36" s="14" t="str">
        <f t="shared" si="7"/>
        <v/>
      </c>
      <c r="J36" s="14" t="str">
        <f t="shared" si="7"/>
        <v/>
      </c>
      <c r="K36" s="14" t="str">
        <f t="shared" si="7"/>
        <v/>
      </c>
      <c r="L36" s="14" t="str">
        <f t="shared" si="7"/>
        <v/>
      </c>
    </row>
    <row r="37" spans="1:12" x14ac:dyDescent="0.35">
      <c r="A37" s="1" t="s">
        <v>121</v>
      </c>
      <c r="B37" s="1"/>
      <c r="C37" s="14">
        <f>IF(C$25&lt;&gt;"",VLOOKUP(C35*1000000,'Powell-Elevation-Area'!$B$5:$D$689,3)*$B$21/1000000 + VLOOKUP(C36*1000000,'Mead-Elevation-Area'!$B$5:$D$676,3)*$C$21/1000000,"")</f>
        <v>1.0218976799999733</v>
      </c>
      <c r="D37" s="14">
        <f>IF(D$25&lt;&gt;"",VLOOKUP(D35*1000000,'Powell-Elevation-Area'!$B$5:$D$689,3)*$B$21/1000000 + VLOOKUP(D36*1000000,'Mead-Elevation-Area'!$B$5:$D$676,3)*$C$21/1000000,"")</f>
        <v>0.96665975399942705</v>
      </c>
      <c r="E37" s="14">
        <f>IF(E$25&lt;&gt;"",VLOOKUP(E35*1000000,'Powell-Elevation-Area'!$B$5:$D$689,3)*$B$21/1000000 + VLOOKUP(E36*1000000,'Mead-Elevation-Area'!$B$5:$D$676,3)*$C$21/1000000,"")</f>
        <v>0.92282040300000001</v>
      </c>
      <c r="F37" s="14">
        <f>IF(F$25&lt;&gt;"",VLOOKUP(F35*1000000,'Powell-Elevation-Area'!$B$5:$D$689,3)*$B$21/1000000 + VLOOKUP(F36*1000000,'Mead-Elevation-Area'!$B$5:$D$676,3)*$C$21/1000000,"")</f>
        <v>0.88957864950059995</v>
      </c>
      <c r="G37" s="14">
        <f>IF(G$25&lt;&gt;"",VLOOKUP(G35*1000000,'Powell-Elevation-Area'!$B$5:$D$689,3)*$B$21/1000000 + VLOOKUP(G36*1000000,'Mead-Elevation-Area'!$B$5:$D$676,3)*$C$21/1000000,"")</f>
        <v>0.86367494250117305</v>
      </c>
      <c r="H37" s="14" t="str">
        <f>IF(H$25&lt;&gt;"",VLOOKUP(H35*1000000,'Powell-Elevation-Area'!$B$5:$D$689,3)*$B$21/1000000 + VLOOKUP(H36*1000000,'Mead-Elevation-Area'!$B$5:$D$676,3)*$C$21/1000000,"")</f>
        <v/>
      </c>
      <c r="I37" s="14" t="str">
        <f>IF(I$25&lt;&gt;"",VLOOKUP(I35*1000000,'Powell-Elevation-Area'!$B$5:$D$689,3)*$B$21/1000000 + VLOOKUP(I36*1000000,'Mead-Elevation-Area'!$B$5:$D$676,3)*$C$21/1000000,"")</f>
        <v/>
      </c>
      <c r="J37" s="14" t="str">
        <f>IF(J$25&lt;&gt;"",VLOOKUP(J35*1000000,'Powell-Elevation-Area'!$B$5:$D$689,3)*$B$21/1000000 + VLOOKUP(J36*1000000,'Mead-Elevation-Area'!$B$5:$D$676,3)*$C$21/1000000,"")</f>
        <v/>
      </c>
      <c r="K37" s="14" t="str">
        <f>IF(K$25&lt;&gt;"",VLOOKUP(K35*1000000,'Powell-Elevation-Area'!$B$5:$D$689,3)*$B$21/1000000 + VLOOKUP(K36*1000000,'Mead-Elevation-Area'!$B$5:$D$676,3)*$C$21/1000000,"")</f>
        <v/>
      </c>
      <c r="L37" s="14" t="str">
        <f>IF(L$25&lt;&gt;"",VLOOKUP(L35*1000000,'Powell-Elevation-Area'!$B$5:$D$689,3)*$B$21/1000000 + VLOOKUP(L36*1000000,'Mead-Elevation-Area'!$B$5:$D$676,3)*$C$21/1000000,"")</f>
        <v/>
      </c>
    </row>
    <row r="38" spans="1:12" x14ac:dyDescent="0.35">
      <c r="A38" t="str">
        <f>IF(A6="","","    "&amp;A6&amp;" Share")</f>
        <v xml:space="preserve">    Upper Basin Share</v>
      </c>
      <c r="B38" s="1"/>
      <c r="C38" s="14">
        <f>IF(OR(C$25="",$A38=""),"",C$37*C28/C$27)</f>
        <v>0.5327428663506969</v>
      </c>
      <c r="D38" s="14">
        <f t="shared" ref="D38:L38" si="8">IF(OR(D$25="",$A38=""),"",D$37*D28/D$27)</f>
        <v>0.45469635696921151</v>
      </c>
      <c r="E38" s="14">
        <f t="shared" si="8"/>
        <v>0.39625470964170584</v>
      </c>
      <c r="F38" s="14">
        <f t="shared" si="8"/>
        <v>0.3513599684294223</v>
      </c>
      <c r="G38" s="14">
        <f t="shared" si="8"/>
        <v>0.33787833714355547</v>
      </c>
      <c r="H38" s="14" t="str">
        <f t="shared" si="8"/>
        <v/>
      </c>
      <c r="I38" s="14" t="str">
        <f t="shared" si="8"/>
        <v/>
      </c>
      <c r="J38" s="14" t="str">
        <f t="shared" si="8"/>
        <v/>
      </c>
      <c r="K38" s="14" t="str">
        <f t="shared" si="8"/>
        <v/>
      </c>
      <c r="L38" s="14" t="str">
        <f t="shared" si="8"/>
        <v/>
      </c>
    </row>
    <row r="39" spans="1:12" x14ac:dyDescent="0.35">
      <c r="A39" t="str">
        <f t="shared" ref="A39:A43" si="9">IF(A7="","","    "&amp;A7&amp;" Share")</f>
        <v xml:space="preserve">    Lower Basin Share</v>
      </c>
      <c r="B39" s="1"/>
      <c r="C39" s="14">
        <f t="shared" ref="C39:L43" si="10">IF(OR(C$25="",$A39=""),"",C$37*C29/C$27)</f>
        <v>0.48716913569287823</v>
      </c>
      <c r="D39" s="14">
        <f t="shared" si="10"/>
        <v>0.51196339703021554</v>
      </c>
      <c r="E39" s="14">
        <f t="shared" si="10"/>
        <v>0.52656569335829417</v>
      </c>
      <c r="F39" s="14">
        <f t="shared" si="10"/>
        <v>0.53821868107117754</v>
      </c>
      <c r="G39" s="14">
        <f t="shared" si="10"/>
        <v>0.52579660535761763</v>
      </c>
      <c r="H39" s="14" t="str">
        <f t="shared" si="10"/>
        <v/>
      </c>
      <c r="I39" s="14" t="str">
        <f t="shared" si="10"/>
        <v/>
      </c>
      <c r="J39" s="14" t="str">
        <f t="shared" si="10"/>
        <v/>
      </c>
      <c r="K39" s="14" t="str">
        <f t="shared" si="10"/>
        <v/>
      </c>
      <c r="L39" s="14" t="str">
        <f t="shared" si="10"/>
        <v/>
      </c>
    </row>
    <row r="40" spans="1:12" x14ac:dyDescent="0.35">
      <c r="A40" t="str">
        <f t="shared" si="9"/>
        <v xml:space="preserve">    Mexico Share</v>
      </c>
      <c r="B40" s="1"/>
      <c r="C40" s="14">
        <f t="shared" si="10"/>
        <v>1.9856779563980523E-3</v>
      </c>
      <c r="D40" s="14">
        <f t="shared" si="10"/>
        <v>0</v>
      </c>
      <c r="E40" s="14">
        <f t="shared" si="10"/>
        <v>0</v>
      </c>
      <c r="F40" s="14">
        <f t="shared" si="10"/>
        <v>0</v>
      </c>
      <c r="G40" s="14">
        <f t="shared" si="10"/>
        <v>0</v>
      </c>
      <c r="H40" s="14" t="str">
        <f t="shared" si="10"/>
        <v/>
      </c>
      <c r="I40" s="14" t="str">
        <f t="shared" si="10"/>
        <v/>
      </c>
      <c r="J40" s="14" t="str">
        <f t="shared" si="10"/>
        <v/>
      </c>
      <c r="K40" s="14" t="str">
        <f t="shared" si="10"/>
        <v/>
      </c>
      <c r="L40" s="14" t="str">
        <f t="shared" si="10"/>
        <v/>
      </c>
    </row>
    <row r="41" spans="1:12" x14ac:dyDescent="0.35">
      <c r="A41" t="str">
        <f t="shared" si="9"/>
        <v xml:space="preserve">    Mohave &amp; Havasu Evap &amp; ET Share</v>
      </c>
      <c r="B41" s="1"/>
      <c r="C41" s="14">
        <f t="shared" si="10"/>
        <v>0</v>
      </c>
      <c r="D41" s="14">
        <f t="shared" si="10"/>
        <v>0</v>
      </c>
      <c r="E41" s="14">
        <f t="shared" si="10"/>
        <v>0</v>
      </c>
      <c r="F41" s="14">
        <f t="shared" si="10"/>
        <v>0</v>
      </c>
      <c r="G41" s="14">
        <f t="shared" si="10"/>
        <v>0</v>
      </c>
      <c r="H41" s="14" t="str">
        <f t="shared" si="10"/>
        <v/>
      </c>
      <c r="I41" s="14" t="str">
        <f t="shared" si="10"/>
        <v/>
      </c>
      <c r="J41" s="14" t="str">
        <f t="shared" si="10"/>
        <v/>
      </c>
      <c r="K41" s="14" t="str">
        <f t="shared" si="10"/>
        <v/>
      </c>
      <c r="L41" s="14" t="str">
        <f t="shared" si="10"/>
        <v/>
      </c>
    </row>
    <row r="42" spans="1:12" x14ac:dyDescent="0.35">
      <c r="A42" t="str">
        <f t="shared" si="9"/>
        <v/>
      </c>
      <c r="B42" s="1"/>
      <c r="C42" s="14" t="str">
        <f t="shared" si="10"/>
        <v/>
      </c>
      <c r="D42" s="14" t="str">
        <f t="shared" si="10"/>
        <v/>
      </c>
      <c r="E42" s="14" t="str">
        <f t="shared" si="10"/>
        <v/>
      </c>
      <c r="F42" s="14" t="str">
        <f t="shared" si="10"/>
        <v/>
      </c>
      <c r="G42" s="14" t="str">
        <f t="shared" si="10"/>
        <v/>
      </c>
      <c r="H42" s="14" t="str">
        <f t="shared" si="10"/>
        <v/>
      </c>
      <c r="I42" s="14" t="str">
        <f t="shared" si="10"/>
        <v/>
      </c>
      <c r="J42" s="14" t="str">
        <f t="shared" si="10"/>
        <v/>
      </c>
      <c r="K42" s="14" t="str">
        <f t="shared" si="10"/>
        <v/>
      </c>
      <c r="L42" s="14" t="str">
        <f t="shared" si="10"/>
        <v/>
      </c>
    </row>
    <row r="43" spans="1:12" x14ac:dyDescent="0.35">
      <c r="A43" t="str">
        <f t="shared" si="9"/>
        <v/>
      </c>
      <c r="B43" s="1"/>
      <c r="C43" s="14" t="str">
        <f t="shared" si="10"/>
        <v/>
      </c>
      <c r="D43" s="14" t="str">
        <f t="shared" si="10"/>
        <v/>
      </c>
      <c r="E43" s="14" t="str">
        <f t="shared" si="10"/>
        <v/>
      </c>
      <c r="F43" s="14" t="str">
        <f t="shared" si="10"/>
        <v/>
      </c>
      <c r="G43" s="14" t="str">
        <f t="shared" si="10"/>
        <v/>
      </c>
      <c r="H43" s="14" t="str">
        <f t="shared" si="10"/>
        <v/>
      </c>
      <c r="I43" s="14" t="str">
        <f t="shared" si="10"/>
        <v/>
      </c>
      <c r="J43" s="14" t="str">
        <f t="shared" si="10"/>
        <v/>
      </c>
      <c r="K43" s="14" t="str">
        <f t="shared" si="10"/>
        <v/>
      </c>
      <c r="L43" s="14" t="str">
        <f t="shared" si="10"/>
        <v/>
      </c>
    </row>
    <row r="44" spans="1:12" x14ac:dyDescent="0.35">
      <c r="A44" s="1" t="s">
        <v>161</v>
      </c>
      <c r="B44" s="1"/>
      <c r="C44" s="50">
        <f>IF(C$25&lt;&gt;"",1.5-$B$50/9/2-IF(C$29&lt;$O$78,$Q$78,IF(C$29&lt;=$O$85,VLOOKUP(C$29,$O$78:$Q$85,3),0)),"")</f>
        <v>1.47</v>
      </c>
      <c r="D44" s="50">
        <f t="shared" ref="D44:L44" si="11">IF(D$25&lt;&gt;"",1.5-$B$50/9-IF(D$29&lt;$O$78,$Q$78,IF(D$29&lt;=$O$85,VLOOKUP(D$29,$O$78:$Q$85,3),0)),"")</f>
        <v>1.47</v>
      </c>
      <c r="E44" s="50">
        <f t="shared" si="11"/>
        <v>1.47</v>
      </c>
      <c r="F44" s="50">
        <f t="shared" si="11"/>
        <v>1.47</v>
      </c>
      <c r="G44" s="50">
        <f t="shared" si="11"/>
        <v>1.47</v>
      </c>
      <c r="H44" s="50" t="str">
        <f t="shared" si="11"/>
        <v/>
      </c>
      <c r="I44" s="50" t="str">
        <f t="shared" si="11"/>
        <v/>
      </c>
      <c r="J44" s="50" t="str">
        <f t="shared" si="11"/>
        <v/>
      </c>
      <c r="K44" s="50" t="str">
        <f t="shared" si="11"/>
        <v/>
      </c>
      <c r="L44" s="50" t="str">
        <f t="shared" si="11"/>
        <v/>
      </c>
    </row>
    <row r="45" spans="1:12" x14ac:dyDescent="0.35">
      <c r="A45" s="1" t="s">
        <v>162</v>
      </c>
      <c r="B45" s="1"/>
      <c r="C45" s="46"/>
    </row>
    <row r="46" spans="1:12" x14ac:dyDescent="0.35">
      <c r="A46" t="str">
        <f>IF(A6="","","    To "&amp;A6)</f>
        <v xml:space="preserve">    To Upper Basin</v>
      </c>
      <c r="B46" s="24" t="s">
        <v>164</v>
      </c>
      <c r="C46" s="14">
        <f>IF(OR(C$25="",$A4=""),"",MAX(0,C$25-SUM(C47:C48)))</f>
        <v>2.7650000000000006</v>
      </c>
      <c r="D46" s="14">
        <f t="shared" ref="D46:L46" si="12">IF(OR(D$25="",$A4=""),"",MAX(0,D$25-SUM(D47:D48)))</f>
        <v>2.7650000000000006</v>
      </c>
      <c r="E46" s="14">
        <f t="shared" si="12"/>
        <v>2.7650000000000006</v>
      </c>
      <c r="F46" s="14">
        <f t="shared" si="12"/>
        <v>2.7650000000000006</v>
      </c>
      <c r="G46" s="14">
        <f t="shared" si="12"/>
        <v>2.7650000000000006</v>
      </c>
      <c r="H46" s="14" t="str">
        <f t="shared" si="12"/>
        <v/>
      </c>
      <c r="I46" s="14" t="str">
        <f t="shared" si="12"/>
        <v/>
      </c>
      <c r="J46" s="14" t="str">
        <f t="shared" si="12"/>
        <v/>
      </c>
      <c r="K46" s="14" t="str">
        <f t="shared" si="12"/>
        <v/>
      </c>
      <c r="L46" s="14" t="str">
        <f t="shared" si="12"/>
        <v/>
      </c>
    </row>
    <row r="47" spans="1:12" x14ac:dyDescent="0.35">
      <c r="A47" t="str">
        <f t="shared" ref="A47:A51" si="13">IF(A7="","","    To "&amp;A7)</f>
        <v xml:space="preserve">    To Lower Basin</v>
      </c>
      <c r="B47" s="44">
        <f>7.5-$B$50</f>
        <v>7.5</v>
      </c>
      <c r="C47" s="14">
        <f>IF(OR(C$25="",$A47=""),"",IF(C$25&lt;$B48,0,IF(C$25&gt;$B47,$B47,C$25)))</f>
        <v>7.5</v>
      </c>
      <c r="D47" s="14">
        <f t="shared" ref="D47:L47" si="14">IF(OR(D$25="",$A47=""),"",IF(D$25&lt;$B48,0,IF(D$25&gt;$B47,$B47,D$25)))</f>
        <v>7.5</v>
      </c>
      <c r="E47" s="14">
        <f t="shared" si="14"/>
        <v>7.5</v>
      </c>
      <c r="F47" s="14">
        <f t="shared" si="14"/>
        <v>7.5</v>
      </c>
      <c r="G47" s="14">
        <f t="shared" si="14"/>
        <v>7.5</v>
      </c>
      <c r="H47" s="14" t="str">
        <f t="shared" si="14"/>
        <v/>
      </c>
      <c r="I47" s="14" t="str">
        <f t="shared" si="14"/>
        <v/>
      </c>
      <c r="J47" s="14" t="str">
        <f t="shared" si="14"/>
        <v/>
      </c>
      <c r="K47" s="14" t="str">
        <f t="shared" si="14"/>
        <v/>
      </c>
      <c r="L47" s="14" t="str">
        <f t="shared" si="14"/>
        <v/>
      </c>
    </row>
    <row r="48" spans="1:12" x14ac:dyDescent="0.35">
      <c r="A48" t="str">
        <f t="shared" si="13"/>
        <v xml:space="preserve">    To Mexico</v>
      </c>
      <c r="B48" s="44">
        <f>C44/2</f>
        <v>0.73499999999999999</v>
      </c>
      <c r="C48" s="14">
        <f>IF(OR(C$25="",$A48=""),"",IF(C$25&gt;$B48,$B48,C$25))</f>
        <v>0.73499999999999999</v>
      </c>
      <c r="D48" s="14">
        <f t="shared" ref="D48:L48" si="15">IF(OR(D$25="",$A48=""),"",IF(D$25&gt;$B48,$B48,D$25))</f>
        <v>0.73499999999999999</v>
      </c>
      <c r="E48" s="14">
        <f t="shared" si="15"/>
        <v>0.73499999999999999</v>
      </c>
      <c r="F48" s="14">
        <f t="shared" si="15"/>
        <v>0.73499999999999999</v>
      </c>
      <c r="G48" s="14">
        <f t="shared" si="15"/>
        <v>0.73499999999999999</v>
      </c>
      <c r="H48" s="14" t="str">
        <f t="shared" si="15"/>
        <v/>
      </c>
      <c r="I48" s="14" t="str">
        <f t="shared" si="15"/>
        <v/>
      </c>
      <c r="J48" s="14" t="str">
        <f t="shared" si="15"/>
        <v/>
      </c>
      <c r="K48" s="14" t="str">
        <f t="shared" si="15"/>
        <v/>
      </c>
      <c r="L48" s="14" t="str">
        <f t="shared" si="15"/>
        <v/>
      </c>
    </row>
    <row r="49" spans="1:13" x14ac:dyDescent="0.35">
      <c r="A49" t="str">
        <f t="shared" si="13"/>
        <v xml:space="preserve">    To Mohave &amp; Havasu Evap &amp; ET</v>
      </c>
      <c r="B49" s="44">
        <v>0</v>
      </c>
      <c r="C49" s="14">
        <f t="shared" ref="C49:L51" si="16">IF(OR(C$25="",$A49=""),"",IF(C$25&gt;$B49,$B49,C$25))</f>
        <v>0</v>
      </c>
      <c r="D49" s="14">
        <f t="shared" si="16"/>
        <v>0</v>
      </c>
      <c r="E49" s="14">
        <f t="shared" si="16"/>
        <v>0</v>
      </c>
      <c r="F49" s="14">
        <f t="shared" si="16"/>
        <v>0</v>
      </c>
      <c r="G49" s="14">
        <f t="shared" si="16"/>
        <v>0</v>
      </c>
      <c r="H49" s="14" t="str">
        <f t="shared" si="16"/>
        <v/>
      </c>
      <c r="I49" s="14" t="str">
        <f t="shared" si="16"/>
        <v/>
      </c>
      <c r="J49" s="14" t="str">
        <f t="shared" si="16"/>
        <v/>
      </c>
      <c r="K49" s="14" t="str">
        <f t="shared" si="16"/>
        <v/>
      </c>
      <c r="L49" s="14" t="str">
        <f t="shared" si="16"/>
        <v/>
      </c>
    </row>
    <row r="50" spans="1:13" x14ac:dyDescent="0.35">
      <c r="A50" t="str">
        <f t="shared" si="13"/>
        <v/>
      </c>
      <c r="B50" s="44"/>
      <c r="C50" s="14" t="str">
        <f t="shared" si="16"/>
        <v/>
      </c>
      <c r="D50" s="59" t="str">
        <f t="shared" si="16"/>
        <v/>
      </c>
      <c r="E50" s="59" t="str">
        <f t="shared" si="16"/>
        <v/>
      </c>
      <c r="F50" s="59" t="str">
        <f t="shared" si="16"/>
        <v/>
      </c>
      <c r="G50" s="59" t="str">
        <f t="shared" si="16"/>
        <v/>
      </c>
      <c r="H50" s="59" t="str">
        <f t="shared" si="16"/>
        <v/>
      </c>
      <c r="I50" s="59" t="str">
        <f t="shared" si="16"/>
        <v/>
      </c>
      <c r="J50" s="59" t="str">
        <f t="shared" si="16"/>
        <v/>
      </c>
      <c r="K50" s="59" t="str">
        <f t="shared" si="16"/>
        <v/>
      </c>
      <c r="L50" s="59" t="str">
        <f t="shared" si="16"/>
        <v/>
      </c>
    </row>
    <row r="51" spans="1:13" x14ac:dyDescent="0.35">
      <c r="A51" t="str">
        <f t="shared" si="13"/>
        <v/>
      </c>
      <c r="B51" s="44"/>
      <c r="C51" s="14" t="str">
        <f t="shared" si="16"/>
        <v/>
      </c>
      <c r="D51" s="14" t="str">
        <f t="shared" si="16"/>
        <v/>
      </c>
      <c r="E51" s="14" t="str">
        <f t="shared" si="16"/>
        <v/>
      </c>
      <c r="F51" s="14" t="str">
        <f t="shared" si="16"/>
        <v/>
      </c>
      <c r="G51" s="14" t="str">
        <f t="shared" si="16"/>
        <v/>
      </c>
      <c r="H51" s="14" t="str">
        <f t="shared" si="16"/>
        <v/>
      </c>
      <c r="I51" s="14" t="str">
        <f t="shared" si="16"/>
        <v/>
      </c>
      <c r="J51" s="14" t="str">
        <f t="shared" si="16"/>
        <v/>
      </c>
      <c r="K51" s="14" t="str">
        <f t="shared" si="16"/>
        <v/>
      </c>
      <c r="L51" s="14" t="str">
        <f t="shared" si="16"/>
        <v/>
      </c>
    </row>
    <row r="52" spans="1:13" x14ac:dyDescent="0.35">
      <c r="A52" s="1" t="s">
        <v>163</v>
      </c>
      <c r="B52" s="1"/>
      <c r="C52"/>
    </row>
    <row r="53" spans="1:13" x14ac:dyDescent="0.35">
      <c r="A53" t="str">
        <f>IF(A6="","","    To "&amp;A6)</f>
        <v xml:space="preserve">    To Upper Basin</v>
      </c>
      <c r="B53" s="24">
        <v>0</v>
      </c>
      <c r="C53" s="14">
        <f>IF(OR($A53="",C$25=""),"",IF(C$26&gt;$B53,$B53,C$26))</f>
        <v>0</v>
      </c>
      <c r="D53" s="14">
        <f t="shared" ref="D53:L53" si="17">IF(OR($A53="",D$25=""),"",IF(D$26&gt;$B53,$B53,D$26))</f>
        <v>0</v>
      </c>
      <c r="E53" s="14">
        <f t="shared" si="17"/>
        <v>0</v>
      </c>
      <c r="F53" s="14">
        <f t="shared" si="17"/>
        <v>0</v>
      </c>
      <c r="G53" s="14">
        <f t="shared" si="17"/>
        <v>0</v>
      </c>
      <c r="H53" s="14" t="str">
        <f t="shared" si="17"/>
        <v/>
      </c>
      <c r="I53" s="14" t="str">
        <f t="shared" si="17"/>
        <v/>
      </c>
      <c r="J53" s="14" t="str">
        <f t="shared" si="17"/>
        <v/>
      </c>
      <c r="K53" s="14" t="str">
        <f t="shared" si="17"/>
        <v/>
      </c>
      <c r="L53" s="14" t="str">
        <f t="shared" si="17"/>
        <v/>
      </c>
    </row>
    <row r="54" spans="1:13" x14ac:dyDescent="0.35">
      <c r="A54" t="str">
        <f t="shared" ref="A54:A58" si="18">IF(A7="","","    To "&amp;A7)</f>
        <v xml:space="preserve">    To Lower Basin</v>
      </c>
      <c r="B54" s="44" t="s">
        <v>164</v>
      </c>
      <c r="C54" s="14">
        <f>IF(OR(C$25="",$A54=""),"",C$26-SUM(C55:C56))</f>
        <v>-0.53499999999999992</v>
      </c>
      <c r="D54" s="14">
        <f t="shared" ref="D54:L54" si="19">IF(OR(D$25="",$A54=""),"",D$26-SUM(D55:D56))</f>
        <v>-0.53499999999999992</v>
      </c>
      <c r="E54" s="14">
        <f t="shared" si="19"/>
        <v>-0.53499999999999992</v>
      </c>
      <c r="F54" s="14">
        <f t="shared" si="19"/>
        <v>-0.53499999999999992</v>
      </c>
      <c r="G54" s="14">
        <f t="shared" si="19"/>
        <v>-0.53499999999999992</v>
      </c>
      <c r="H54" s="14" t="str">
        <f t="shared" si="19"/>
        <v/>
      </c>
      <c r="I54" s="14" t="str">
        <f t="shared" si="19"/>
        <v/>
      </c>
      <c r="J54" s="14" t="str">
        <f t="shared" si="19"/>
        <v/>
      </c>
      <c r="K54" s="14" t="str">
        <f t="shared" si="19"/>
        <v/>
      </c>
      <c r="L54" s="14" t="str">
        <f t="shared" si="19"/>
        <v/>
      </c>
    </row>
    <row r="55" spans="1:13" x14ac:dyDescent="0.35">
      <c r="A55" t="str">
        <f t="shared" si="18"/>
        <v xml:space="preserve">    To Mexico</v>
      </c>
      <c r="B55" s="44">
        <f>C44/2</f>
        <v>0.73499999999999999</v>
      </c>
      <c r="C55" s="14">
        <f>IF(OR(C$25="",$A55=""),"",C44/2)</f>
        <v>0.73499999999999999</v>
      </c>
      <c r="D55" s="14">
        <f t="shared" ref="D55:L55" si="20">IF(OR(D$25="",$A55=""),"",D44/2)</f>
        <v>0.73499999999999999</v>
      </c>
      <c r="E55" s="14">
        <f t="shared" si="20"/>
        <v>0.73499999999999999</v>
      </c>
      <c r="F55" s="14">
        <f t="shared" si="20"/>
        <v>0.73499999999999999</v>
      </c>
      <c r="G55" s="14">
        <f t="shared" si="20"/>
        <v>0.73499999999999999</v>
      </c>
      <c r="H55" s="14" t="str">
        <f t="shared" si="20"/>
        <v/>
      </c>
      <c r="I55" s="14" t="str">
        <f t="shared" si="20"/>
        <v/>
      </c>
      <c r="J55" s="14" t="str">
        <f t="shared" si="20"/>
        <v/>
      </c>
      <c r="K55" s="14" t="str">
        <f t="shared" si="20"/>
        <v/>
      </c>
      <c r="L55" s="14" t="str">
        <f t="shared" si="20"/>
        <v/>
      </c>
    </row>
    <row r="56" spans="1:13" x14ac:dyDescent="0.35">
      <c r="A56" t="str">
        <f t="shared" si="18"/>
        <v xml:space="preserve">    To Mohave &amp; Havasu Evap &amp; ET</v>
      </c>
      <c r="B56" s="44">
        <v>0.6</v>
      </c>
      <c r="C56" s="14">
        <f>IF(OR($A56="",C$25=""),"",IF(C$26&gt;$B56,$B56,C$26))</f>
        <v>0.6</v>
      </c>
      <c r="D56" s="14">
        <f t="shared" ref="D56:L56" si="21">IF(OR($A56="",D$25=""),"",IF(D$26&gt;$B56,$B56,D$26))</f>
        <v>0.6</v>
      </c>
      <c r="E56" s="14">
        <f t="shared" si="21"/>
        <v>0.6</v>
      </c>
      <c r="F56" s="14">
        <f t="shared" si="21"/>
        <v>0.6</v>
      </c>
      <c r="G56" s="14">
        <f t="shared" si="21"/>
        <v>0.6</v>
      </c>
      <c r="H56" s="14" t="str">
        <f t="shared" si="21"/>
        <v/>
      </c>
      <c r="I56" s="14" t="str">
        <f t="shared" si="21"/>
        <v/>
      </c>
      <c r="J56" s="14" t="str">
        <f t="shared" si="21"/>
        <v/>
      </c>
      <c r="K56" s="14" t="str">
        <f t="shared" si="21"/>
        <v/>
      </c>
      <c r="L56" s="14" t="str">
        <f t="shared" si="21"/>
        <v/>
      </c>
    </row>
    <row r="57" spans="1:13" x14ac:dyDescent="0.35">
      <c r="A57" t="str">
        <f t="shared" si="18"/>
        <v/>
      </c>
      <c r="B57" s="61"/>
      <c r="C57" s="14" t="str">
        <f t="shared" ref="C57:L58" si="22">IF(OR($A57="",C$25=""),"",IF(C$26&gt;$B57,$B57,C$26))</f>
        <v/>
      </c>
      <c r="D57" s="14" t="str">
        <f t="shared" si="22"/>
        <v/>
      </c>
      <c r="E57" s="14" t="str">
        <f t="shared" si="22"/>
        <v/>
      </c>
      <c r="F57" s="14" t="str">
        <f t="shared" si="22"/>
        <v/>
      </c>
      <c r="G57" s="14" t="str">
        <f t="shared" si="22"/>
        <v/>
      </c>
      <c r="H57" s="14" t="str">
        <f t="shared" si="22"/>
        <v/>
      </c>
      <c r="I57" s="14" t="str">
        <f t="shared" si="22"/>
        <v/>
      </c>
      <c r="J57" s="14" t="str">
        <f t="shared" si="22"/>
        <v/>
      </c>
      <c r="K57" s="14" t="str">
        <f t="shared" si="22"/>
        <v/>
      </c>
      <c r="L57" s="14" t="str">
        <f t="shared" si="22"/>
        <v/>
      </c>
    </row>
    <row r="58" spans="1:13" x14ac:dyDescent="0.35">
      <c r="A58" t="str">
        <f t="shared" si="18"/>
        <v/>
      </c>
      <c r="B58" s="44"/>
      <c r="C58" s="14" t="str">
        <f t="shared" si="22"/>
        <v/>
      </c>
      <c r="D58" s="14" t="str">
        <f t="shared" si="22"/>
        <v/>
      </c>
      <c r="E58" s="14" t="str">
        <f t="shared" si="22"/>
        <v/>
      </c>
      <c r="F58" s="14" t="str">
        <f t="shared" si="22"/>
        <v/>
      </c>
      <c r="G58" s="14" t="str">
        <f t="shared" si="22"/>
        <v/>
      </c>
      <c r="H58" s="14" t="str">
        <f t="shared" si="22"/>
        <v/>
      </c>
      <c r="I58" s="14" t="str">
        <f t="shared" si="22"/>
        <v/>
      </c>
      <c r="J58" s="14" t="str">
        <f t="shared" si="22"/>
        <v/>
      </c>
      <c r="K58" s="14" t="str">
        <f t="shared" si="22"/>
        <v/>
      </c>
      <c r="L58" s="14" t="str">
        <f t="shared" si="22"/>
        <v/>
      </c>
    </row>
    <row r="59" spans="1:13" x14ac:dyDescent="0.35">
      <c r="A59" s="1" t="s">
        <v>167</v>
      </c>
      <c r="C59"/>
      <c r="M59" t="s">
        <v>168</v>
      </c>
    </row>
    <row r="60" spans="1:13" x14ac:dyDescent="0.35">
      <c r="A60" t="str">
        <f>IF(A6="","","    "&amp;A6)</f>
        <v xml:space="preserve">    Upper Basin</v>
      </c>
      <c r="B60" s="1"/>
      <c r="C60" s="25">
        <v>0.5</v>
      </c>
      <c r="D60" s="25">
        <v>0.4</v>
      </c>
      <c r="E60" s="25">
        <v>0.4</v>
      </c>
      <c r="F60" s="50"/>
      <c r="G60" s="50"/>
      <c r="H60" s="50"/>
      <c r="I60" s="50"/>
      <c r="J60" s="50"/>
      <c r="K60" s="50"/>
      <c r="L60" s="50"/>
      <c r="M60" s="54">
        <f>SUMPRODUCT(C60:L60,C$67:L$67)</f>
        <v>455</v>
      </c>
    </row>
    <row r="61" spans="1:13" x14ac:dyDescent="0.35">
      <c r="A61" t="str">
        <f t="shared" ref="A61:A65" si="23">IF(A7="","","    "&amp;A7)</f>
        <v xml:space="preserve">    Lower Basin</v>
      </c>
      <c r="B61" s="1"/>
      <c r="C61" s="70">
        <f>-C60</f>
        <v>-0.5</v>
      </c>
      <c r="D61" s="70">
        <f t="shared" ref="D61:E61" si="24">-D60</f>
        <v>-0.4</v>
      </c>
      <c r="E61" s="70">
        <f t="shared" si="24"/>
        <v>-0.4</v>
      </c>
      <c r="F61" s="62"/>
      <c r="G61" s="62"/>
      <c r="H61" s="62"/>
      <c r="I61" s="62"/>
      <c r="J61" s="62"/>
      <c r="K61" s="67"/>
      <c r="L61" s="62"/>
      <c r="M61" s="54">
        <f t="shared" ref="M61:M65" si="25">SUMPRODUCT(C61:L61,C$67:L$67)</f>
        <v>-455</v>
      </c>
    </row>
    <row r="62" spans="1:13" x14ac:dyDescent="0.35">
      <c r="A62" t="str">
        <f t="shared" si="23"/>
        <v xml:space="preserve">    Mexico</v>
      </c>
      <c r="B62" s="1"/>
      <c r="C62" s="50"/>
      <c r="D62" s="50"/>
      <c r="E62" s="68"/>
      <c r="F62" s="50"/>
      <c r="G62" s="50"/>
      <c r="H62" s="68"/>
      <c r="I62" s="50"/>
      <c r="J62" s="50"/>
      <c r="K62" s="68"/>
      <c r="L62" s="50"/>
      <c r="M62" s="54">
        <f t="shared" si="25"/>
        <v>0</v>
      </c>
    </row>
    <row r="63" spans="1:13" x14ac:dyDescent="0.35">
      <c r="A63" t="str">
        <f t="shared" si="23"/>
        <v xml:space="preserve">    Mohave &amp; Havasu Evap &amp; ET</v>
      </c>
      <c r="B63" s="1"/>
      <c r="C63" s="50"/>
      <c r="D63" s="50"/>
      <c r="E63" s="68"/>
      <c r="F63" s="50"/>
      <c r="G63" s="50"/>
      <c r="H63" s="68"/>
      <c r="I63" s="50"/>
      <c r="J63" s="50"/>
      <c r="K63" s="68"/>
      <c r="L63" s="50"/>
      <c r="M63" s="54">
        <f t="shared" si="25"/>
        <v>0</v>
      </c>
    </row>
    <row r="64" spans="1:13" x14ac:dyDescent="0.35">
      <c r="A64" t="str">
        <f t="shared" si="23"/>
        <v/>
      </c>
      <c r="B64" s="1"/>
      <c r="C64" s="50"/>
      <c r="D64" s="50"/>
      <c r="E64" s="68"/>
      <c r="F64" s="50"/>
      <c r="G64" s="50"/>
      <c r="H64" s="68"/>
      <c r="I64" s="50"/>
      <c r="J64" s="50"/>
      <c r="K64" s="68"/>
      <c r="L64" s="50"/>
      <c r="M64" s="54">
        <f t="shared" si="25"/>
        <v>0</v>
      </c>
    </row>
    <row r="65" spans="1:21" x14ac:dyDescent="0.35">
      <c r="A65" t="str">
        <f t="shared" si="23"/>
        <v/>
      </c>
      <c r="B65" s="1"/>
      <c r="C65" s="50"/>
      <c r="D65" s="50"/>
      <c r="E65" s="50"/>
      <c r="F65" s="50"/>
      <c r="G65" s="50"/>
      <c r="H65" s="50"/>
      <c r="I65" s="50"/>
      <c r="J65" s="50"/>
      <c r="K65" s="50"/>
      <c r="L65" s="50"/>
      <c r="M65" s="54">
        <f t="shared" si="25"/>
        <v>0</v>
      </c>
    </row>
    <row r="66" spans="1:21" x14ac:dyDescent="0.35">
      <c r="A66" t="s">
        <v>159</v>
      </c>
      <c r="B66" s="1"/>
      <c r="C66" s="53">
        <f>IF(C$25&lt;&gt;"",SUM(C60:C65),"")</f>
        <v>0</v>
      </c>
      <c r="D66" s="53">
        <f t="shared" ref="D66:L66" si="26">IF(D$25&lt;&gt;"",SUM(D60:D65),"")</f>
        <v>0</v>
      </c>
      <c r="E66" s="53">
        <f t="shared" si="26"/>
        <v>0</v>
      </c>
      <c r="F66" s="53">
        <f t="shared" si="26"/>
        <v>0</v>
      </c>
      <c r="G66" s="53">
        <f t="shared" si="26"/>
        <v>0</v>
      </c>
      <c r="H66" s="53" t="str">
        <f t="shared" si="26"/>
        <v/>
      </c>
      <c r="I66" s="53" t="str">
        <f t="shared" si="26"/>
        <v/>
      </c>
      <c r="J66" s="53" t="str">
        <f t="shared" si="26"/>
        <v/>
      </c>
      <c r="K66" s="53" t="str">
        <f t="shared" si="26"/>
        <v/>
      </c>
      <c r="L66" s="53" t="str">
        <f t="shared" si="26"/>
        <v/>
      </c>
      <c r="M66" s="34"/>
    </row>
    <row r="67" spans="1:21" x14ac:dyDescent="0.35">
      <c r="A67" t="s">
        <v>160</v>
      </c>
      <c r="B67" s="1"/>
      <c r="C67" s="31">
        <v>350</v>
      </c>
      <c r="D67" s="31">
        <v>350</v>
      </c>
      <c r="E67" s="31">
        <v>350</v>
      </c>
      <c r="F67" s="31"/>
      <c r="G67" s="31"/>
      <c r="H67" s="31"/>
      <c r="I67" s="31"/>
      <c r="J67" s="31"/>
      <c r="K67" s="31"/>
      <c r="L67" s="31"/>
    </row>
    <row r="68" spans="1:21" x14ac:dyDescent="0.35">
      <c r="A68" s="1" t="s">
        <v>186</v>
      </c>
      <c r="B68" s="1"/>
      <c r="C68"/>
    </row>
    <row r="69" spans="1:21" x14ac:dyDescent="0.35">
      <c r="A69" t="str">
        <f>IF(A6="","","    "&amp;A6)</f>
        <v xml:space="preserve">    Upper Basin</v>
      </c>
      <c r="C69" s="14">
        <f>IF(OR(C$25="",$A69=""),"",C28+C46+C53-C38-C60)</f>
        <v>12.732257133649304</v>
      </c>
      <c r="D69" s="14">
        <f t="shared" ref="D69:L69" si="27">IF(OR(D$25="",$A69=""),"",D28+D46+D53-D38-D60)</f>
        <v>10.942560776680091</v>
      </c>
      <c r="E69" s="14">
        <f t="shared" si="27"/>
        <v>9.6113060670383863</v>
      </c>
      <c r="F69" s="14">
        <f t="shared" si="27"/>
        <v>9.0249460986089645</v>
      </c>
      <c r="G69" s="14">
        <f t="shared" si="27"/>
        <v>8.6520677614654087</v>
      </c>
      <c r="H69" s="14" t="str">
        <f t="shared" si="27"/>
        <v/>
      </c>
      <c r="I69" s="14" t="str">
        <f t="shared" si="27"/>
        <v/>
      </c>
      <c r="J69" s="14" t="str">
        <f t="shared" si="27"/>
        <v/>
      </c>
      <c r="K69" s="14" t="str">
        <f t="shared" si="27"/>
        <v/>
      </c>
      <c r="L69" s="14" t="str">
        <f t="shared" si="27"/>
        <v/>
      </c>
    </row>
    <row r="70" spans="1:21" x14ac:dyDescent="0.35">
      <c r="A70" t="str">
        <f t="shared" ref="A70:A74" si="28">IF(A7="","","    "&amp;A7)</f>
        <v xml:space="preserve">    Lower Basin</v>
      </c>
      <c r="C70" s="14">
        <f t="shared" ref="C70:L74" si="29">IF(OR(C$25="",$A70=""),"",C29+C47+C54-C39-C61)</f>
        <v>17.03683086430712</v>
      </c>
      <c r="D70" s="14">
        <f t="shared" si="29"/>
        <v>17.022867467276903</v>
      </c>
      <c r="E70" s="14">
        <f t="shared" si="29"/>
        <v>16.994301773918608</v>
      </c>
      <c r="F70" s="14">
        <f t="shared" si="29"/>
        <v>16.554083092847428</v>
      </c>
      <c r="G70" s="14">
        <f t="shared" si="29"/>
        <v>16.126286487489811</v>
      </c>
      <c r="H70" s="14" t="str">
        <f t="shared" si="29"/>
        <v/>
      </c>
      <c r="I70" s="14" t="str">
        <f t="shared" si="29"/>
        <v/>
      </c>
      <c r="J70" s="14" t="str">
        <f t="shared" si="29"/>
        <v/>
      </c>
      <c r="K70" s="14" t="str">
        <f t="shared" si="29"/>
        <v/>
      </c>
      <c r="L70" s="14" t="str">
        <f t="shared" si="29"/>
        <v/>
      </c>
    </row>
    <row r="71" spans="1:21" x14ac:dyDescent="0.35">
      <c r="A71" t="str">
        <f t="shared" si="28"/>
        <v xml:space="preserve">    Mexico</v>
      </c>
      <c r="C71" s="60">
        <f t="shared" si="29"/>
        <v>1.5090143220436021</v>
      </c>
      <c r="D71" s="14">
        <f t="shared" si="29"/>
        <v>1.47</v>
      </c>
      <c r="E71" s="14">
        <f t="shared" si="29"/>
        <v>1.47</v>
      </c>
      <c r="F71" s="14">
        <f t="shared" si="29"/>
        <v>1.47</v>
      </c>
      <c r="G71" s="14">
        <f t="shared" si="29"/>
        <v>1.47</v>
      </c>
      <c r="H71" s="14" t="str">
        <f t="shared" si="29"/>
        <v/>
      </c>
      <c r="I71" s="14" t="str">
        <f t="shared" si="29"/>
        <v/>
      </c>
      <c r="J71" s="14" t="str">
        <f t="shared" si="29"/>
        <v/>
      </c>
      <c r="K71" s="14" t="str">
        <f t="shared" si="29"/>
        <v/>
      </c>
      <c r="L71" s="14" t="str">
        <f t="shared" si="29"/>
        <v/>
      </c>
    </row>
    <row r="72" spans="1:21" x14ac:dyDescent="0.35">
      <c r="A72" t="str">
        <f t="shared" si="28"/>
        <v xml:space="preserve">    Mohave &amp; Havasu Evap &amp; ET</v>
      </c>
      <c r="C72" s="14">
        <f t="shared" si="29"/>
        <v>0.6</v>
      </c>
      <c r="D72" s="14">
        <f t="shared" si="29"/>
        <v>0.6</v>
      </c>
      <c r="E72" s="14">
        <f t="shared" si="29"/>
        <v>0.6</v>
      </c>
      <c r="F72" s="14">
        <f t="shared" si="29"/>
        <v>0.6</v>
      </c>
      <c r="G72" s="14">
        <f t="shared" si="29"/>
        <v>0.6</v>
      </c>
      <c r="H72" s="14" t="str">
        <f t="shared" si="29"/>
        <v/>
      </c>
      <c r="I72" s="14" t="str">
        <f t="shared" si="29"/>
        <v/>
      </c>
      <c r="J72" s="14" t="str">
        <f t="shared" si="29"/>
        <v/>
      </c>
      <c r="K72" s="14" t="str">
        <f t="shared" si="29"/>
        <v/>
      </c>
      <c r="L72" s="14" t="str">
        <f t="shared" si="29"/>
        <v/>
      </c>
    </row>
    <row r="73" spans="1:21" x14ac:dyDescent="0.35">
      <c r="A73" t="str">
        <f t="shared" si="28"/>
        <v/>
      </c>
      <c r="C73" s="60" t="str">
        <f t="shared" si="29"/>
        <v/>
      </c>
      <c r="D73" s="60" t="str">
        <f t="shared" si="29"/>
        <v/>
      </c>
      <c r="E73" s="60" t="str">
        <f t="shared" si="29"/>
        <v/>
      </c>
      <c r="F73" s="60" t="str">
        <f t="shared" si="29"/>
        <v/>
      </c>
      <c r="G73" s="60" t="str">
        <f t="shared" si="29"/>
        <v/>
      </c>
      <c r="H73" s="60" t="str">
        <f t="shared" si="29"/>
        <v/>
      </c>
      <c r="I73" s="60" t="str">
        <f t="shared" si="29"/>
        <v/>
      </c>
      <c r="J73" s="60" t="str">
        <f t="shared" si="29"/>
        <v/>
      </c>
      <c r="K73" s="60" t="str">
        <f t="shared" si="29"/>
        <v/>
      </c>
      <c r="L73" s="60" t="str">
        <f t="shared" si="29"/>
        <v/>
      </c>
    </row>
    <row r="74" spans="1:21" x14ac:dyDescent="0.35">
      <c r="A74" t="str">
        <f t="shared" si="28"/>
        <v/>
      </c>
      <c r="C74" s="14" t="str">
        <f t="shared" si="29"/>
        <v/>
      </c>
      <c r="D74" s="14" t="str">
        <f t="shared" si="29"/>
        <v/>
      </c>
      <c r="E74" s="14" t="str">
        <f t="shared" si="29"/>
        <v/>
      </c>
      <c r="F74" s="14" t="str">
        <f t="shared" si="29"/>
        <v/>
      </c>
      <c r="G74" s="14" t="str">
        <f t="shared" si="29"/>
        <v/>
      </c>
      <c r="H74" s="14" t="str">
        <f t="shared" si="29"/>
        <v/>
      </c>
      <c r="I74" s="14" t="str">
        <f t="shared" si="29"/>
        <v/>
      </c>
      <c r="J74" s="14" t="str">
        <f t="shared" si="29"/>
        <v/>
      </c>
      <c r="K74" s="14" t="str">
        <f t="shared" si="29"/>
        <v/>
      </c>
      <c r="L74" s="14" t="str">
        <f t="shared" si="29"/>
        <v/>
      </c>
    </row>
    <row r="75" spans="1:21" x14ac:dyDescent="0.35">
      <c r="A75" s="1" t="s">
        <v>136</v>
      </c>
      <c r="B75" s="1"/>
      <c r="C75" s="69"/>
      <c r="D75" s="2"/>
      <c r="E75" s="69"/>
      <c r="F75" s="2"/>
      <c r="G75" s="2"/>
      <c r="H75" s="2"/>
      <c r="I75" s="2"/>
      <c r="J75" s="2"/>
      <c r="K75" s="2"/>
      <c r="L75" s="2"/>
    </row>
    <row r="76" spans="1:21" x14ac:dyDescent="0.35">
      <c r="A76" t="str">
        <f>IF(A6="","","    "&amp;A6&amp;" - Consumptive Use and Headwaters Losses")</f>
        <v xml:space="preserve">    Upper Basin - Consumptive Use and Headwaters Losses</v>
      </c>
      <c r="C76" s="43">
        <v>3.7</v>
      </c>
      <c r="D76" s="43">
        <v>3.3</v>
      </c>
      <c r="E76" s="43">
        <v>3</v>
      </c>
      <c r="F76" s="43">
        <v>2.8</v>
      </c>
      <c r="G76" s="43">
        <v>2.8</v>
      </c>
      <c r="H76" s="43"/>
      <c r="I76" s="43"/>
      <c r="J76" s="43"/>
      <c r="K76" s="43"/>
      <c r="L76" s="43"/>
      <c r="N76" s="1" t="s">
        <v>129</v>
      </c>
    </row>
    <row r="77" spans="1:21" x14ac:dyDescent="0.35">
      <c r="A77" t="str">
        <f>IF(A7="","","    "&amp;A7&amp;" - Release from Mead")</f>
        <v xml:space="preserve">    Lower Basin - Release from Mead</v>
      </c>
      <c r="C77" s="43">
        <f>7.5-IF(C$29&lt;$O$78,$P$78,IF(C$29&lt;=$O$85,VLOOKUP(C$29,$O$78:$P$85,2),0))</f>
        <v>6.867</v>
      </c>
      <c r="D77" s="43">
        <f t="shared" ref="D77:G77" si="30">7.5-IF(D$29&lt;$O$78,$P$78,IF(D$29&lt;=$O$85,VLOOKUP(D$29,$O$78:$P$85,2),0))</f>
        <v>6.867</v>
      </c>
      <c r="E77" s="43">
        <f t="shared" si="30"/>
        <v>6.867</v>
      </c>
      <c r="F77" s="43">
        <f t="shared" si="30"/>
        <v>6.867</v>
      </c>
      <c r="G77" s="43">
        <f t="shared" si="30"/>
        <v>6.867</v>
      </c>
      <c r="H77" s="43"/>
      <c r="I77" s="43"/>
      <c r="J77" s="43"/>
      <c r="K77" s="43"/>
      <c r="L77" s="43"/>
      <c r="N77" s="37" t="s">
        <v>130</v>
      </c>
      <c r="O77" s="37" t="s">
        <v>131</v>
      </c>
      <c r="P77" s="38" t="s">
        <v>132</v>
      </c>
      <c r="Q77" s="38" t="s">
        <v>133</v>
      </c>
      <c r="R77" s="37" t="s">
        <v>134</v>
      </c>
      <c r="S77" s="37" t="s">
        <v>134</v>
      </c>
      <c r="T77" s="51" t="s">
        <v>157</v>
      </c>
      <c r="U77" s="51" t="s">
        <v>158</v>
      </c>
    </row>
    <row r="78" spans="1:21" x14ac:dyDescent="0.35">
      <c r="A78" t="str">
        <f t="shared" ref="A78:A81" si="31">IF(A8="","","    "&amp;A8&amp;" - Release from Mead")</f>
        <v xml:space="preserve">    Mexico - Release from Mead</v>
      </c>
      <c r="C78" s="50">
        <f>C71</f>
        <v>1.5090143220436021</v>
      </c>
      <c r="D78" s="50">
        <f>D71</f>
        <v>1.47</v>
      </c>
      <c r="E78" s="50">
        <f>E71</f>
        <v>1.47</v>
      </c>
      <c r="F78" s="50">
        <f>F71</f>
        <v>1.47</v>
      </c>
      <c r="G78" s="50">
        <f>G71</f>
        <v>1.47</v>
      </c>
      <c r="H78" s="50"/>
      <c r="I78" s="50"/>
      <c r="J78" s="50"/>
      <c r="K78" s="50"/>
      <c r="L78" s="50"/>
      <c r="N78" s="39">
        <v>1025</v>
      </c>
      <c r="O78" s="40">
        <v>5.981122</v>
      </c>
      <c r="P78" s="41">
        <f>S78-Q78</f>
        <v>1.2000000000000002</v>
      </c>
      <c r="Q78" s="49">
        <v>0.15</v>
      </c>
      <c r="R78" s="41">
        <v>1.325</v>
      </c>
      <c r="S78" s="41">
        <f t="shared" ref="S78:S85" si="32">U78/1000000</f>
        <v>1.35</v>
      </c>
      <c r="T78" s="42">
        <v>0.125</v>
      </c>
      <c r="U78" s="52">
        <v>1350000</v>
      </c>
    </row>
    <row r="79" spans="1:21" x14ac:dyDescent="0.35">
      <c r="A79" t="str">
        <f t="shared" si="31"/>
        <v xml:space="preserve">    Mohave &amp; Havasu Evap &amp; ET - Release from Mead</v>
      </c>
      <c r="C79" s="43">
        <v>0.6</v>
      </c>
      <c r="D79" s="43">
        <v>0.6</v>
      </c>
      <c r="E79" s="43">
        <v>0.6</v>
      </c>
      <c r="F79" s="43">
        <v>0.6</v>
      </c>
      <c r="G79" s="43">
        <v>0.6</v>
      </c>
      <c r="H79" s="43"/>
      <c r="I79" s="43"/>
      <c r="J79" s="43"/>
      <c r="K79" s="43"/>
      <c r="L79" s="43"/>
      <c r="N79" s="39">
        <v>1030</v>
      </c>
      <c r="O79" s="40">
        <v>6.305377</v>
      </c>
      <c r="P79" s="41">
        <f t="shared" ref="P79:P85" si="33">S79-Q79</f>
        <v>1.117</v>
      </c>
      <c r="Q79" s="49">
        <v>0.10100000000000001</v>
      </c>
      <c r="R79" s="41">
        <v>1.1870000000000001</v>
      </c>
      <c r="S79" s="41">
        <f t="shared" si="32"/>
        <v>1.218</v>
      </c>
      <c r="T79" s="42">
        <v>7.0000000000000007E-2</v>
      </c>
      <c r="U79" s="52">
        <v>1218000</v>
      </c>
    </row>
    <row r="80" spans="1:21" x14ac:dyDescent="0.35">
      <c r="A80" t="str">
        <f t="shared" si="31"/>
        <v/>
      </c>
      <c r="C80" s="68"/>
      <c r="D80" s="68"/>
      <c r="E80" s="50" t="str">
        <f>E73</f>
        <v/>
      </c>
      <c r="F80" s="50"/>
      <c r="G80" s="50"/>
      <c r="H80" s="50" t="str">
        <f>H73</f>
        <v/>
      </c>
      <c r="I80" s="50"/>
      <c r="J80" s="50"/>
      <c r="K80" s="50" t="str">
        <f>K73</f>
        <v/>
      </c>
      <c r="L80" s="50"/>
      <c r="N80" s="39">
        <v>1035</v>
      </c>
      <c r="O80" s="40">
        <v>6.6375080000000004</v>
      </c>
      <c r="P80" s="41">
        <f t="shared" si="33"/>
        <v>1.0669999999999999</v>
      </c>
      <c r="Q80" s="49">
        <v>9.1999999999999998E-2</v>
      </c>
      <c r="R80" s="41">
        <v>1.137</v>
      </c>
      <c r="S80" s="41">
        <f t="shared" si="32"/>
        <v>1.159</v>
      </c>
      <c r="T80" s="42">
        <v>7.0000000000000007E-2</v>
      </c>
      <c r="U80" s="52">
        <v>1159000</v>
      </c>
    </row>
    <row r="81" spans="1:21" x14ac:dyDescent="0.35">
      <c r="A81" t="str">
        <f t="shared" si="31"/>
        <v/>
      </c>
      <c r="C81" s="43"/>
      <c r="D81" s="43"/>
      <c r="E81" s="43"/>
      <c r="F81" s="43"/>
      <c r="G81" s="43"/>
      <c r="H81" s="43"/>
      <c r="I81" s="43"/>
      <c r="J81" s="43"/>
      <c r="K81" s="43"/>
      <c r="L81" s="43"/>
      <c r="N81" s="39">
        <v>1040</v>
      </c>
      <c r="O81" s="40">
        <v>6.977665</v>
      </c>
      <c r="P81" s="41">
        <f t="shared" si="33"/>
        <v>1.0169999999999999</v>
      </c>
      <c r="Q81" s="49">
        <v>8.4000000000000005E-2</v>
      </c>
      <c r="R81" s="41">
        <v>1.087</v>
      </c>
      <c r="S81" s="41">
        <f t="shared" si="32"/>
        <v>1.101</v>
      </c>
      <c r="T81" s="42">
        <v>7.0000000000000007E-2</v>
      </c>
      <c r="U81" s="52">
        <v>1101000</v>
      </c>
    </row>
    <row r="82" spans="1:21" x14ac:dyDescent="0.35">
      <c r="A82" s="1" t="s">
        <v>141</v>
      </c>
      <c r="B82" s="1"/>
      <c r="D82" s="2"/>
      <c r="E82" s="2"/>
      <c r="F82" s="2"/>
      <c r="G82" s="2"/>
      <c r="H82" s="2"/>
      <c r="I82" s="2"/>
      <c r="J82" s="2"/>
      <c r="K82" s="2"/>
      <c r="L82" s="2"/>
      <c r="N82" s="39">
        <v>1045</v>
      </c>
      <c r="O82" s="40">
        <v>7.3260519999999998</v>
      </c>
      <c r="P82" s="41">
        <f t="shared" si="33"/>
        <v>0.96699999999999997</v>
      </c>
      <c r="Q82" s="49">
        <v>7.5999999999999998E-2</v>
      </c>
      <c r="R82" s="41">
        <v>1.0369999999999999</v>
      </c>
      <c r="S82" s="41">
        <f t="shared" si="32"/>
        <v>1.0429999999999999</v>
      </c>
      <c r="T82" s="42">
        <v>7.0000000000000007E-2</v>
      </c>
      <c r="U82" s="52">
        <v>1043000</v>
      </c>
    </row>
    <row r="83" spans="1:21" x14ac:dyDescent="0.35">
      <c r="A83" t="str">
        <f>IF(A6="","","    "&amp;A6)</f>
        <v xml:space="preserve">    Upper Basin</v>
      </c>
      <c r="C83" s="14">
        <f>IF(OR(C$25="",$A83=""),"",C69-C76)</f>
        <v>9.0322571336493027</v>
      </c>
      <c r="D83" s="14">
        <f t="shared" ref="D83:L83" si="34">IF(OR(D$25="",$A83=""),"",D69-D76)</f>
        <v>7.6425607766800914</v>
      </c>
      <c r="E83" s="14">
        <f t="shared" si="34"/>
        <v>6.6113060670383863</v>
      </c>
      <c r="F83" s="14">
        <f t="shared" si="34"/>
        <v>6.2249460986089646</v>
      </c>
      <c r="G83" s="14">
        <f t="shared" si="34"/>
        <v>5.8520677614654089</v>
      </c>
      <c r="H83" s="14" t="str">
        <f t="shared" si="34"/>
        <v/>
      </c>
      <c r="I83" s="14" t="str">
        <f t="shared" si="34"/>
        <v/>
      </c>
      <c r="J83" s="14" t="str">
        <f t="shared" si="34"/>
        <v/>
      </c>
      <c r="K83" s="14" t="str">
        <f t="shared" si="34"/>
        <v/>
      </c>
      <c r="L83" s="14" t="str">
        <f t="shared" si="34"/>
        <v/>
      </c>
      <c r="N83" s="39">
        <v>1050</v>
      </c>
      <c r="O83" s="40">
        <v>7.6828779999999997</v>
      </c>
      <c r="P83" s="41">
        <f t="shared" si="33"/>
        <v>0.71699999999999997</v>
      </c>
      <c r="Q83" s="49">
        <v>3.4000000000000002E-2</v>
      </c>
      <c r="R83" s="41">
        <v>0.78700000000000003</v>
      </c>
      <c r="S83" s="41">
        <f t="shared" si="32"/>
        <v>0.751</v>
      </c>
      <c r="T83" s="42">
        <v>7.0000000000000007E-2</v>
      </c>
      <c r="U83" s="52">
        <v>751000</v>
      </c>
    </row>
    <row r="84" spans="1:21" x14ac:dyDescent="0.35">
      <c r="A84" t="str">
        <f t="shared" ref="A84:A88" si="35">IF(A7="","","    "&amp;A7)</f>
        <v xml:space="preserve">    Lower Basin</v>
      </c>
      <c r="C84" s="14">
        <f t="shared" ref="C84:L88" si="36">IF(OR(C$25="",$A84=""),"",C70-C77)</f>
        <v>10.169830864307119</v>
      </c>
      <c r="D84" s="14">
        <f t="shared" si="36"/>
        <v>10.155867467276902</v>
      </c>
      <c r="E84" s="14">
        <f t="shared" si="36"/>
        <v>10.127301773918607</v>
      </c>
      <c r="F84" s="14">
        <f t="shared" si="36"/>
        <v>9.687083092847427</v>
      </c>
      <c r="G84" s="14">
        <f t="shared" si="36"/>
        <v>9.2592864874898098</v>
      </c>
      <c r="H84" s="14" t="str">
        <f t="shared" si="36"/>
        <v/>
      </c>
      <c r="I84" s="14" t="str">
        <f t="shared" si="36"/>
        <v/>
      </c>
      <c r="J84" s="14" t="str">
        <f t="shared" si="36"/>
        <v/>
      </c>
      <c r="K84" s="14" t="str">
        <f t="shared" si="36"/>
        <v/>
      </c>
      <c r="L84" s="14" t="str">
        <f t="shared" si="36"/>
        <v/>
      </c>
      <c r="N84" s="39">
        <v>1075</v>
      </c>
      <c r="O84" s="40">
        <v>9.6009879999900001</v>
      </c>
      <c r="P84" s="41">
        <f t="shared" si="33"/>
        <v>0.63300000000000001</v>
      </c>
      <c r="Q84" s="49">
        <v>0.03</v>
      </c>
      <c r="R84" s="41">
        <v>0.68300000000000005</v>
      </c>
      <c r="S84" s="41">
        <f t="shared" si="32"/>
        <v>0.66300000000000003</v>
      </c>
      <c r="T84" s="42">
        <v>0.05</v>
      </c>
      <c r="U84" s="52">
        <v>663000</v>
      </c>
    </row>
    <row r="85" spans="1:21" x14ac:dyDescent="0.35">
      <c r="A85" t="str">
        <f t="shared" si="35"/>
        <v xml:space="preserve">    Mexico</v>
      </c>
      <c r="C85" s="14">
        <f t="shared" si="36"/>
        <v>0</v>
      </c>
      <c r="D85" s="14">
        <f t="shared" si="36"/>
        <v>0</v>
      </c>
      <c r="E85" s="14">
        <f t="shared" si="36"/>
        <v>0</v>
      </c>
      <c r="F85" s="14">
        <f t="shared" si="36"/>
        <v>0</v>
      </c>
      <c r="G85" s="14">
        <f t="shared" si="36"/>
        <v>0</v>
      </c>
      <c r="H85" s="14" t="str">
        <f t="shared" si="36"/>
        <v/>
      </c>
      <c r="I85" s="14" t="str">
        <f t="shared" si="36"/>
        <v/>
      </c>
      <c r="J85" s="14" t="str">
        <f t="shared" si="36"/>
        <v/>
      </c>
      <c r="K85" s="14" t="str">
        <f t="shared" si="36"/>
        <v/>
      </c>
      <c r="L85" s="14" t="str">
        <f t="shared" si="36"/>
        <v/>
      </c>
      <c r="N85" s="39">
        <v>1090</v>
      </c>
      <c r="O85" s="40">
        <v>10.857008</v>
      </c>
      <c r="P85" s="41">
        <f t="shared" si="33"/>
        <v>0.30000000000000004</v>
      </c>
      <c r="Q85" s="49">
        <v>4.1000000000000002E-2</v>
      </c>
      <c r="R85" s="41">
        <v>0.3</v>
      </c>
      <c r="S85" s="41">
        <f t="shared" si="32"/>
        <v>0.34100000000000003</v>
      </c>
      <c r="T85" s="38"/>
      <c r="U85" s="52">
        <v>341000</v>
      </c>
    </row>
    <row r="86" spans="1:21" x14ac:dyDescent="0.35">
      <c r="A86" t="str">
        <f t="shared" si="35"/>
        <v xml:space="preserve">    Mohave &amp; Havasu Evap &amp; ET</v>
      </c>
      <c r="C86" s="14">
        <f t="shared" si="36"/>
        <v>0</v>
      </c>
      <c r="D86" s="14">
        <f t="shared" si="36"/>
        <v>0</v>
      </c>
      <c r="E86" s="14">
        <f t="shared" si="36"/>
        <v>0</v>
      </c>
      <c r="F86" s="14">
        <f t="shared" si="36"/>
        <v>0</v>
      </c>
      <c r="G86" s="14">
        <f t="shared" si="36"/>
        <v>0</v>
      </c>
      <c r="H86" s="14" t="str">
        <f t="shared" si="36"/>
        <v/>
      </c>
      <c r="I86" s="14" t="str">
        <f t="shared" si="36"/>
        <v/>
      </c>
      <c r="J86" s="14" t="str">
        <f t="shared" si="36"/>
        <v/>
      </c>
      <c r="K86" s="14" t="str">
        <f t="shared" si="36"/>
        <v/>
      </c>
      <c r="L86" s="14" t="str">
        <f t="shared" si="36"/>
        <v/>
      </c>
    </row>
    <row r="87" spans="1:21" x14ac:dyDescent="0.35">
      <c r="A87" t="str">
        <f t="shared" si="35"/>
        <v/>
      </c>
      <c r="C87" s="59" t="str">
        <f>IF(OR(C$25="",$A87=""),"",C73-C80)</f>
        <v/>
      </c>
      <c r="D87" s="59" t="str">
        <f t="shared" si="36"/>
        <v/>
      </c>
      <c r="E87" s="59" t="str">
        <f t="shared" si="36"/>
        <v/>
      </c>
      <c r="F87" s="59" t="str">
        <f t="shared" si="36"/>
        <v/>
      </c>
      <c r="G87" s="59" t="str">
        <f t="shared" si="36"/>
        <v/>
      </c>
      <c r="H87" s="59" t="str">
        <f t="shared" si="36"/>
        <v/>
      </c>
      <c r="I87" s="59" t="str">
        <f t="shared" si="36"/>
        <v/>
      </c>
      <c r="J87" s="59" t="str">
        <f t="shared" si="36"/>
        <v/>
      </c>
      <c r="K87" s="59" t="str">
        <f t="shared" si="36"/>
        <v/>
      </c>
      <c r="L87" s="59" t="str">
        <f t="shared" si="36"/>
        <v/>
      </c>
    </row>
    <row r="88" spans="1:21" x14ac:dyDescent="0.35">
      <c r="A88" t="str">
        <f t="shared" si="35"/>
        <v/>
      </c>
      <c r="C88" s="14" t="str">
        <f t="shared" si="36"/>
        <v/>
      </c>
      <c r="D88" s="14" t="str">
        <f t="shared" si="36"/>
        <v/>
      </c>
      <c r="E88" s="14" t="str">
        <f t="shared" si="36"/>
        <v/>
      </c>
      <c r="F88" s="14" t="str">
        <f t="shared" si="36"/>
        <v/>
      </c>
      <c r="G88" s="14" t="str">
        <f t="shared" si="36"/>
        <v/>
      </c>
      <c r="H88" s="14" t="str">
        <f t="shared" si="36"/>
        <v/>
      </c>
      <c r="I88" s="14" t="str">
        <f t="shared" si="36"/>
        <v/>
      </c>
      <c r="J88" s="14" t="str">
        <f t="shared" si="36"/>
        <v/>
      </c>
      <c r="K88" s="14" t="str">
        <f t="shared" si="36"/>
        <v/>
      </c>
      <c r="L88" s="14" t="str">
        <f t="shared" si="36"/>
        <v/>
      </c>
    </row>
    <row r="89" spans="1:21" x14ac:dyDescent="0.35">
      <c r="A89" s="1" t="s">
        <v>125</v>
      </c>
      <c r="B89" s="1"/>
      <c r="C89" s="14">
        <f>IF(C$25&lt;&gt;"",SUM(C83:C88),"")</f>
        <v>19.202087997956422</v>
      </c>
      <c r="D89" s="14">
        <f t="shared" ref="D89:L89" si="37">IF(D$25&lt;&gt;"",SUM(D83:D88),"")</f>
        <v>17.798428243956995</v>
      </c>
      <c r="E89" s="14">
        <f t="shared" si="37"/>
        <v>16.738607840956995</v>
      </c>
      <c r="F89" s="14">
        <f t="shared" si="37"/>
        <v>15.912029191456391</v>
      </c>
      <c r="G89" s="14">
        <f t="shared" si="37"/>
        <v>15.11135424895522</v>
      </c>
      <c r="H89" s="14" t="str">
        <f t="shared" si="37"/>
        <v/>
      </c>
      <c r="I89" s="14" t="str">
        <f t="shared" si="37"/>
        <v/>
      </c>
      <c r="J89" s="14" t="str">
        <f t="shared" si="37"/>
        <v/>
      </c>
      <c r="K89" s="14" t="str">
        <f t="shared" si="37"/>
        <v/>
      </c>
      <c r="L89" s="14" t="str">
        <f t="shared" si="37"/>
        <v/>
      </c>
    </row>
    <row r="90" spans="1:21" x14ac:dyDescent="0.35">
      <c r="A90" s="1" t="s">
        <v>147</v>
      </c>
      <c r="B90" s="1"/>
      <c r="C90" s="14">
        <f>IF(C25&lt;&gt;"",C35+C25-C38-C76-C89*$B$35,"")</f>
        <v>8.1662131346710911</v>
      </c>
      <c r="D90" s="14">
        <f t="shared" ref="D90:L90" si="38">IF(D25&lt;&gt;"",D35+D25-D38-D76-D89*$B$35,"")</f>
        <v>7.9471335200305031</v>
      </c>
      <c r="E90" s="14">
        <f t="shared" si="38"/>
        <v>8.133655491858292</v>
      </c>
      <c r="F90" s="14">
        <f t="shared" si="38"/>
        <v>8.2619293563208807</v>
      </c>
      <c r="G90" s="14">
        <f t="shared" si="38"/>
        <v>8.262459134107031</v>
      </c>
      <c r="H90" s="14" t="str">
        <f t="shared" si="38"/>
        <v/>
      </c>
      <c r="I90" s="14" t="str">
        <f t="shared" si="38"/>
        <v/>
      </c>
      <c r="J90" s="14" t="str">
        <f t="shared" si="38"/>
        <v/>
      </c>
      <c r="K90" s="14" t="str">
        <f t="shared" si="38"/>
        <v/>
      </c>
      <c r="L90" s="14" t="str">
        <f t="shared" si="38"/>
        <v/>
      </c>
    </row>
    <row r="92" spans="1:21" x14ac:dyDescent="0.35">
      <c r="A92" s="1" t="s">
        <v>127</v>
      </c>
      <c r="C92" s="12">
        <f>IF(C$25&lt;&gt;"",0.2,"")</f>
        <v>0.2</v>
      </c>
      <c r="D92" s="12">
        <f t="shared" ref="D92:L92" si="39">IF(D$25&lt;&gt;"",0.2,"")</f>
        <v>0.2</v>
      </c>
      <c r="E92" s="12">
        <f t="shared" si="39"/>
        <v>0.2</v>
      </c>
      <c r="F92" s="12">
        <f t="shared" si="39"/>
        <v>0.2</v>
      </c>
      <c r="G92" s="12">
        <f t="shared" si="39"/>
        <v>0.2</v>
      </c>
      <c r="H92" s="12" t="str">
        <f t="shared" si="39"/>
        <v/>
      </c>
      <c r="I92" s="12" t="str">
        <f t="shared" si="39"/>
        <v/>
      </c>
      <c r="J92" s="12" t="str">
        <f t="shared" si="39"/>
        <v/>
      </c>
      <c r="K92" s="12" t="str">
        <f t="shared" si="39"/>
        <v/>
      </c>
      <c r="L92" s="12" t="str">
        <f t="shared" si="39"/>
        <v/>
      </c>
    </row>
    <row r="93" spans="1:21" x14ac:dyDescent="0.35">
      <c r="A93" t="s">
        <v>128</v>
      </c>
      <c r="C93" s="14">
        <f t="shared" ref="C93:L93" si="40">IF(C$25&lt;&gt;"",C77+C92,"")</f>
        <v>7.0670000000000002</v>
      </c>
      <c r="D93" s="14">
        <f t="shared" si="40"/>
        <v>7.0670000000000002</v>
      </c>
      <c r="E93" s="14">
        <f t="shared" si="40"/>
        <v>7.0670000000000002</v>
      </c>
      <c r="F93" s="14">
        <f t="shared" si="40"/>
        <v>7.0670000000000002</v>
      </c>
      <c r="G93" s="14">
        <f t="shared" si="40"/>
        <v>7.0670000000000002</v>
      </c>
      <c r="H93" s="14" t="str">
        <f t="shared" si="40"/>
        <v/>
      </c>
      <c r="I93" s="14" t="str">
        <f t="shared" si="40"/>
        <v/>
      </c>
      <c r="J93" s="14" t="str">
        <f t="shared" si="40"/>
        <v/>
      </c>
      <c r="K93" s="14" t="str">
        <f t="shared" si="40"/>
        <v/>
      </c>
      <c r="L93" s="14" t="str">
        <f t="shared" si="40"/>
        <v/>
      </c>
    </row>
    <row r="95" spans="1:21" x14ac:dyDescent="0.35">
      <c r="D95" s="18"/>
    </row>
  </sheetData>
  <mergeCells count="9">
    <mergeCell ref="C9:G9"/>
    <mergeCell ref="C10:G10"/>
    <mergeCell ref="C11:G11"/>
    <mergeCell ref="A3:G3"/>
    <mergeCell ref="C4:G4"/>
    <mergeCell ref="C5:G5"/>
    <mergeCell ref="C6:G6"/>
    <mergeCell ref="C7:G7"/>
    <mergeCell ref="C8:G8"/>
  </mergeCells>
  <conditionalFormatting sqref="C77">
    <cfRule type="cellIs" dxfId="372" priority="65" operator="greaterThan">
      <formula>$C$70</formula>
    </cfRule>
  </conditionalFormatting>
  <conditionalFormatting sqref="C78">
    <cfRule type="cellIs" dxfId="371" priority="64" operator="greaterThan">
      <formula>$C$71</formula>
    </cfRule>
  </conditionalFormatting>
  <conditionalFormatting sqref="C79">
    <cfRule type="cellIs" dxfId="370" priority="63" operator="greaterThan">
      <formula>$C$72</formula>
    </cfRule>
  </conditionalFormatting>
  <conditionalFormatting sqref="C80">
    <cfRule type="cellIs" dxfId="369" priority="62" operator="greaterThan">
      <formula>$C$73</formula>
    </cfRule>
  </conditionalFormatting>
  <conditionalFormatting sqref="C81">
    <cfRule type="cellIs" dxfId="368" priority="61" operator="greaterThan">
      <formula>$C$74</formula>
    </cfRule>
  </conditionalFormatting>
  <conditionalFormatting sqref="D77">
    <cfRule type="cellIs" dxfId="367" priority="59" operator="greaterThan">
      <formula>$D$70</formula>
    </cfRule>
  </conditionalFormatting>
  <conditionalFormatting sqref="D78">
    <cfRule type="cellIs" dxfId="366" priority="58" operator="greaterThan">
      <formula>$D$71</formula>
    </cfRule>
  </conditionalFormatting>
  <conditionalFormatting sqref="D79">
    <cfRule type="cellIs" dxfId="365" priority="57" operator="greaterThan">
      <formula>$D$72</formula>
    </cfRule>
  </conditionalFormatting>
  <conditionalFormatting sqref="D80">
    <cfRule type="cellIs" dxfId="364" priority="56" operator="greaterThan">
      <formula>$D$73</formula>
    </cfRule>
  </conditionalFormatting>
  <conditionalFormatting sqref="D81">
    <cfRule type="cellIs" dxfId="363" priority="55" operator="greaterThan">
      <formula>$D$74</formula>
    </cfRule>
  </conditionalFormatting>
  <conditionalFormatting sqref="E77">
    <cfRule type="cellIs" dxfId="362" priority="53" operator="greaterThan">
      <formula>$E$70</formula>
    </cfRule>
  </conditionalFormatting>
  <conditionalFormatting sqref="E78">
    <cfRule type="cellIs" dxfId="361" priority="52" operator="greaterThan">
      <formula>$E$71</formula>
    </cfRule>
  </conditionalFormatting>
  <conditionalFormatting sqref="E79">
    <cfRule type="cellIs" dxfId="360" priority="51" operator="greaterThan">
      <formula>$E$72</formula>
    </cfRule>
  </conditionalFormatting>
  <conditionalFormatting sqref="E80">
    <cfRule type="cellIs" dxfId="359" priority="50" operator="greaterThan">
      <formula>$E$73</formula>
    </cfRule>
  </conditionalFormatting>
  <conditionalFormatting sqref="E81">
    <cfRule type="cellIs" dxfId="358" priority="49" operator="greaterThan">
      <formula>$E$74</formula>
    </cfRule>
  </conditionalFormatting>
  <conditionalFormatting sqref="F77">
    <cfRule type="cellIs" dxfId="357" priority="47" operator="greaterThan">
      <formula>$F$70</formula>
    </cfRule>
  </conditionalFormatting>
  <conditionalFormatting sqref="F78">
    <cfRule type="cellIs" dxfId="356" priority="46" operator="greaterThan">
      <formula>$F$71</formula>
    </cfRule>
  </conditionalFormatting>
  <conditionalFormatting sqref="F79">
    <cfRule type="cellIs" dxfId="355" priority="45" operator="greaterThan">
      <formula>$F$72</formula>
    </cfRule>
  </conditionalFormatting>
  <conditionalFormatting sqref="F80">
    <cfRule type="cellIs" dxfId="354" priority="44" operator="greaterThan">
      <formula>$F$73</formula>
    </cfRule>
  </conditionalFormatting>
  <conditionalFormatting sqref="F81">
    <cfRule type="cellIs" dxfId="353" priority="43" operator="greaterThan">
      <formula>$F$74</formula>
    </cfRule>
  </conditionalFormatting>
  <conditionalFormatting sqref="G77">
    <cfRule type="cellIs" dxfId="352" priority="41" operator="greaterThan">
      <formula>$G$70</formula>
    </cfRule>
  </conditionalFormatting>
  <conditionalFormatting sqref="G78">
    <cfRule type="cellIs" dxfId="351" priority="40" operator="greaterThan">
      <formula>$G$71</formula>
    </cfRule>
  </conditionalFormatting>
  <conditionalFormatting sqref="G79">
    <cfRule type="cellIs" dxfId="350" priority="39" operator="greaterThan">
      <formula>$G$72</formula>
    </cfRule>
  </conditionalFormatting>
  <conditionalFormatting sqref="G80">
    <cfRule type="cellIs" dxfId="349" priority="38" operator="greaterThan">
      <formula>$G$73</formula>
    </cfRule>
  </conditionalFormatting>
  <conditionalFormatting sqref="G81">
    <cfRule type="cellIs" dxfId="348" priority="37" operator="greaterThan">
      <formula>$G$74</formula>
    </cfRule>
  </conditionalFormatting>
  <conditionalFormatting sqref="H76">
    <cfRule type="cellIs" dxfId="347" priority="36" operator="greaterThan">
      <formula>$H$69</formula>
    </cfRule>
  </conditionalFormatting>
  <conditionalFormatting sqref="H77">
    <cfRule type="cellIs" dxfId="346" priority="35" operator="greaterThan">
      <formula>$H$70</formula>
    </cfRule>
  </conditionalFormatting>
  <conditionalFormatting sqref="H78">
    <cfRule type="cellIs" dxfId="345" priority="34" operator="greaterThan">
      <formula>$H$71</formula>
    </cfRule>
  </conditionalFormatting>
  <conditionalFormatting sqref="H79">
    <cfRule type="cellIs" dxfId="344" priority="33" operator="greaterThan">
      <formula>$H$72</formula>
    </cfRule>
  </conditionalFormatting>
  <conditionalFormatting sqref="H80">
    <cfRule type="cellIs" dxfId="343" priority="32" operator="greaterThan">
      <formula>$H$73</formula>
    </cfRule>
  </conditionalFormatting>
  <conditionalFormatting sqref="H81">
    <cfRule type="cellIs" dxfId="342" priority="31" operator="greaterThan">
      <formula>$H$74</formula>
    </cfRule>
  </conditionalFormatting>
  <conditionalFormatting sqref="I76">
    <cfRule type="cellIs" dxfId="341" priority="30" operator="greaterThan">
      <formula>$I$69</formula>
    </cfRule>
  </conditionalFormatting>
  <conditionalFormatting sqref="I77">
    <cfRule type="cellIs" dxfId="340" priority="29" operator="greaterThan">
      <formula>$I$70</formula>
    </cfRule>
  </conditionalFormatting>
  <conditionalFormatting sqref="I78">
    <cfRule type="cellIs" dxfId="339" priority="28" operator="greaterThan">
      <formula>$I$71</formula>
    </cfRule>
  </conditionalFormatting>
  <conditionalFormatting sqref="I79">
    <cfRule type="cellIs" dxfId="338" priority="27" operator="greaterThan">
      <formula>$I$72</formula>
    </cfRule>
  </conditionalFormatting>
  <conditionalFormatting sqref="I80">
    <cfRule type="cellIs" dxfId="337" priority="26" operator="greaterThan">
      <formula>$I$73</formula>
    </cfRule>
  </conditionalFormatting>
  <conditionalFormatting sqref="I81">
    <cfRule type="cellIs" dxfId="336" priority="25" operator="greaterThan">
      <formula>$I$74</formula>
    </cfRule>
  </conditionalFormatting>
  <conditionalFormatting sqref="J76">
    <cfRule type="cellIs" dxfId="335" priority="24" operator="greaterThan">
      <formula>$J$69</formula>
    </cfRule>
  </conditionalFormatting>
  <conditionalFormatting sqref="J77">
    <cfRule type="cellIs" dxfId="334" priority="23" operator="greaterThan">
      <formula>$J$70</formula>
    </cfRule>
  </conditionalFormatting>
  <conditionalFormatting sqref="J78">
    <cfRule type="cellIs" dxfId="333" priority="22" operator="greaterThan">
      <formula>$J$71</formula>
    </cfRule>
  </conditionalFormatting>
  <conditionalFormatting sqref="J79">
    <cfRule type="cellIs" dxfId="332" priority="21" operator="greaterThan">
      <formula>$J$72</formula>
    </cfRule>
  </conditionalFormatting>
  <conditionalFormatting sqref="J80">
    <cfRule type="cellIs" dxfId="331" priority="20" operator="greaterThan">
      <formula>$J$73</formula>
    </cfRule>
  </conditionalFormatting>
  <conditionalFormatting sqref="J81">
    <cfRule type="cellIs" dxfId="330" priority="19" operator="greaterThan">
      <formula>$J$74</formula>
    </cfRule>
  </conditionalFormatting>
  <conditionalFormatting sqref="K76">
    <cfRule type="cellIs" dxfId="329" priority="18" operator="greaterThan">
      <formula>$K$69</formula>
    </cfRule>
  </conditionalFormatting>
  <conditionalFormatting sqref="K77">
    <cfRule type="cellIs" dxfId="328" priority="17" operator="greaterThan">
      <formula>$K$70</formula>
    </cfRule>
  </conditionalFormatting>
  <conditionalFormatting sqref="K78">
    <cfRule type="cellIs" dxfId="327" priority="16" operator="greaterThan">
      <formula>$K$71</formula>
    </cfRule>
  </conditionalFormatting>
  <conditionalFormatting sqref="K79">
    <cfRule type="cellIs" dxfId="326" priority="15" operator="greaterThan">
      <formula>$K$72</formula>
    </cfRule>
  </conditionalFormatting>
  <conditionalFormatting sqref="K80">
    <cfRule type="cellIs" dxfId="325" priority="14" operator="greaterThan">
      <formula>$K$73</formula>
    </cfRule>
  </conditionalFormatting>
  <conditionalFormatting sqref="K81">
    <cfRule type="cellIs" dxfId="324" priority="13" operator="greaterThan">
      <formula>$K$74</formula>
    </cfRule>
  </conditionalFormatting>
  <conditionalFormatting sqref="L76">
    <cfRule type="cellIs" dxfId="323" priority="12" operator="greaterThan">
      <formula>$L$69</formula>
    </cfRule>
  </conditionalFormatting>
  <conditionalFormatting sqref="L77">
    <cfRule type="cellIs" dxfId="322" priority="11" operator="greaterThan">
      <formula>$L$70</formula>
    </cfRule>
  </conditionalFormatting>
  <conditionalFormatting sqref="L78">
    <cfRule type="cellIs" dxfId="321" priority="10" operator="greaterThan">
      <formula>$L$71</formula>
    </cfRule>
  </conditionalFormatting>
  <conditionalFormatting sqref="L79">
    <cfRule type="cellIs" dxfId="320" priority="9" operator="greaterThan">
      <formula>$L$72</formula>
    </cfRule>
  </conditionalFormatting>
  <conditionalFormatting sqref="L80">
    <cfRule type="cellIs" dxfId="319" priority="8" operator="greaterThan">
      <formula>$L$73</formula>
    </cfRule>
  </conditionalFormatting>
  <conditionalFormatting sqref="L81">
    <cfRule type="cellIs" dxfId="318" priority="7" operator="greaterThan">
      <formula>$L$74</formula>
    </cfRule>
  </conditionalFormatting>
  <conditionalFormatting sqref="D76:F76">
    <cfRule type="cellIs" dxfId="317" priority="3" operator="greaterThan">
      <formula>$D$69</formula>
    </cfRule>
  </conditionalFormatting>
  <conditionalFormatting sqref="G76">
    <cfRule type="cellIs" dxfId="316" priority="1" operator="greaterThan">
      <formula>$G$69</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919E82-F81D-4149-A4BD-C0AE45078004}">
  <dimension ref="A1:U97"/>
  <sheetViews>
    <sheetView topLeftCell="A21" zoomScale="150" zoomScaleNormal="150" workbookViewId="0">
      <selection activeCell="G73" sqref="G73"/>
    </sheetView>
  </sheetViews>
  <sheetFormatPr defaultRowHeight="14.5" x14ac:dyDescent="0.35"/>
  <cols>
    <col min="1" max="1" width="37.36328125" customWidth="1"/>
    <col min="2" max="2" width="7.81640625" customWidth="1"/>
    <col min="3" max="3" width="8" style="2" customWidth="1"/>
    <col min="4" max="4" width="7.54296875" customWidth="1"/>
    <col min="5" max="5" width="7.26953125" customWidth="1"/>
    <col min="6" max="6" width="7.6328125" customWidth="1"/>
    <col min="7" max="7" width="7.08984375" customWidth="1"/>
    <col min="8" max="8" width="7.36328125" hidden="1" customWidth="1"/>
    <col min="9" max="9" width="7.7265625" hidden="1" customWidth="1"/>
    <col min="10" max="12" width="8.7265625" hidden="1" customWidth="1"/>
    <col min="13" max="13" width="10.81640625" customWidth="1"/>
    <col min="14" max="14" width="12.26953125" customWidth="1"/>
    <col min="15" max="15" width="13" customWidth="1"/>
    <col min="16" max="16" width="9.81640625" customWidth="1"/>
    <col min="17" max="17" width="10.81640625" customWidth="1"/>
    <col min="18" max="18" width="21.6328125" customWidth="1"/>
    <col min="21" max="21" width="12.1796875" customWidth="1"/>
  </cols>
  <sheetData>
    <row r="1" spans="1:11" x14ac:dyDescent="0.35">
      <c r="A1" s="1" t="s">
        <v>110</v>
      </c>
      <c r="B1" s="1"/>
    </row>
    <row r="2" spans="1:11" x14ac:dyDescent="0.35">
      <c r="A2" s="1"/>
      <c r="B2" s="1"/>
    </row>
    <row r="3" spans="1:11" ht="32" customHeight="1" x14ac:dyDescent="0.35">
      <c r="A3" s="98" t="s">
        <v>169</v>
      </c>
      <c r="B3" s="98"/>
      <c r="C3" s="98"/>
      <c r="D3" s="98"/>
      <c r="E3" s="98"/>
      <c r="F3" s="98"/>
      <c r="G3" s="98"/>
      <c r="H3" s="75"/>
      <c r="I3" s="75"/>
      <c r="J3" s="75"/>
      <c r="K3" s="75"/>
    </row>
    <row r="4" spans="1:11" x14ac:dyDescent="0.35">
      <c r="A4" s="64" t="s">
        <v>39</v>
      </c>
      <c r="B4" s="64" t="s">
        <v>43</v>
      </c>
      <c r="C4" s="99" t="s">
        <v>44</v>
      </c>
      <c r="D4" s="100"/>
      <c r="E4" s="100"/>
      <c r="F4" s="100"/>
      <c r="G4" s="101"/>
    </row>
    <row r="5" spans="1:11" x14ac:dyDescent="0.35">
      <c r="A5" s="76" t="s">
        <v>52</v>
      </c>
      <c r="B5" s="76"/>
      <c r="C5" s="102"/>
      <c r="D5" s="102"/>
      <c r="E5" s="102"/>
      <c r="F5" s="102"/>
      <c r="G5" s="102"/>
    </row>
    <row r="6" spans="1:11" x14ac:dyDescent="0.35">
      <c r="A6" s="74" t="s">
        <v>40</v>
      </c>
      <c r="B6" s="74" t="s">
        <v>184</v>
      </c>
      <c r="C6" s="103" t="s">
        <v>189</v>
      </c>
      <c r="D6" s="103"/>
      <c r="E6" s="103"/>
      <c r="F6" s="103"/>
      <c r="G6" s="103"/>
    </row>
    <row r="7" spans="1:11" x14ac:dyDescent="0.35">
      <c r="A7" s="74" t="s">
        <v>41</v>
      </c>
      <c r="B7" s="74" t="s">
        <v>184</v>
      </c>
      <c r="C7" s="103" t="s">
        <v>190</v>
      </c>
      <c r="D7" s="103"/>
      <c r="E7" s="103"/>
      <c r="F7" s="103"/>
      <c r="G7" s="103"/>
    </row>
    <row r="8" spans="1:11" x14ac:dyDescent="0.35">
      <c r="A8" s="74" t="s">
        <v>42</v>
      </c>
      <c r="B8" s="74" t="s">
        <v>184</v>
      </c>
      <c r="C8" s="103" t="s">
        <v>181</v>
      </c>
      <c r="D8" s="103"/>
      <c r="E8" s="103"/>
      <c r="F8" s="103"/>
      <c r="G8" s="103"/>
    </row>
    <row r="9" spans="1:11" x14ac:dyDescent="0.35">
      <c r="A9" s="74" t="s">
        <v>165</v>
      </c>
      <c r="B9" s="74" t="s">
        <v>184</v>
      </c>
      <c r="C9" s="103" t="s">
        <v>182</v>
      </c>
      <c r="D9" s="103"/>
      <c r="E9" s="103"/>
      <c r="F9" s="103"/>
      <c r="G9" s="103"/>
    </row>
    <row r="10" spans="1:11" x14ac:dyDescent="0.35">
      <c r="A10" s="74" t="s">
        <v>200</v>
      </c>
      <c r="B10" s="74" t="s">
        <v>184</v>
      </c>
      <c r="C10" s="97" t="s">
        <v>201</v>
      </c>
      <c r="D10" s="97"/>
      <c r="E10" s="97"/>
      <c r="F10" s="97"/>
      <c r="G10" s="97"/>
    </row>
    <row r="11" spans="1:11" x14ac:dyDescent="0.35">
      <c r="A11" s="74"/>
      <c r="B11" s="74"/>
      <c r="C11" s="97"/>
      <c r="D11" s="97"/>
      <c r="E11" s="97"/>
      <c r="F11" s="97"/>
      <c r="G11" s="97"/>
    </row>
    <row r="12" spans="1:11" x14ac:dyDescent="0.35">
      <c r="A12" s="16"/>
      <c r="B12" s="2"/>
      <c r="C12"/>
    </row>
    <row r="13" spans="1:11" x14ac:dyDescent="0.35">
      <c r="A13" s="19" t="s">
        <v>46</v>
      </c>
      <c r="B13" s="2"/>
      <c r="C13"/>
    </row>
    <row r="14" spans="1:11" x14ac:dyDescent="0.35">
      <c r="A14" s="20" t="s">
        <v>53</v>
      </c>
    </row>
    <row r="15" spans="1:11" x14ac:dyDescent="0.35">
      <c r="A15" s="22" t="s">
        <v>48</v>
      </c>
      <c r="B15" s="19"/>
    </row>
    <row r="16" spans="1:11" x14ac:dyDescent="0.35">
      <c r="A16" s="21" t="s">
        <v>47</v>
      </c>
    </row>
    <row r="18" spans="1:14" x14ac:dyDescent="0.35">
      <c r="A18" s="1" t="s">
        <v>54</v>
      </c>
      <c r="D18" s="20" t="s">
        <v>188</v>
      </c>
    </row>
    <row r="20" spans="1:14" x14ac:dyDescent="0.35">
      <c r="A20" s="1" t="s">
        <v>32</v>
      </c>
      <c r="B20" s="1" t="s">
        <v>112</v>
      </c>
      <c r="C20" s="13" t="s">
        <v>113</v>
      </c>
    </row>
    <row r="21" spans="1:14" x14ac:dyDescent="0.35">
      <c r="A21" t="s">
        <v>111</v>
      </c>
      <c r="B21" s="12">
        <v>5.73</v>
      </c>
      <c r="C21" s="12">
        <v>6</v>
      </c>
      <c r="D21" s="23" t="s">
        <v>114</v>
      </c>
    </row>
    <row r="22" spans="1:14" x14ac:dyDescent="0.35">
      <c r="A22" t="s">
        <v>145</v>
      </c>
      <c r="B22" s="12">
        <v>11</v>
      </c>
      <c r="C22" s="12">
        <v>10.1</v>
      </c>
      <c r="D22" s="11" t="s">
        <v>34</v>
      </c>
    </row>
    <row r="23" spans="1:14" x14ac:dyDescent="0.35">
      <c r="A23" t="s">
        <v>226</v>
      </c>
      <c r="B23" s="107">
        <v>3525</v>
      </c>
      <c r="C23" s="107">
        <v>1020</v>
      </c>
      <c r="D23" s="11"/>
    </row>
    <row r="24" spans="1:14" x14ac:dyDescent="0.35">
      <c r="A24" t="s">
        <v>227</v>
      </c>
      <c r="B24" s="12">
        <f>VLOOKUP(B23,'Powell-Elevation-Area'!$A$5:$B$689,2)/1000000</f>
        <v>5.9265762500000001</v>
      </c>
      <c r="C24" s="12">
        <f>VLOOKUP(C23,'Mead-Elevation-Area'!$A$5:$B$689,2)/1000000</f>
        <v>5.664593</v>
      </c>
      <c r="D24" s="11"/>
    </row>
    <row r="26" spans="1:14" s="1" customFormat="1" x14ac:dyDescent="0.35">
      <c r="A26" s="57" t="s">
        <v>35</v>
      </c>
      <c r="B26" s="57" t="s">
        <v>49</v>
      </c>
      <c r="C26" s="58" t="s">
        <v>5</v>
      </c>
      <c r="D26" s="58" t="s">
        <v>6</v>
      </c>
      <c r="E26" s="58" t="s">
        <v>7</v>
      </c>
      <c r="F26" s="58" t="s">
        <v>8</v>
      </c>
      <c r="G26" s="58" t="s">
        <v>9</v>
      </c>
      <c r="H26" s="58" t="s">
        <v>10</v>
      </c>
      <c r="I26" s="58" t="s">
        <v>11</v>
      </c>
      <c r="J26" s="58" t="s">
        <v>12</v>
      </c>
      <c r="K26" s="58" t="s">
        <v>36</v>
      </c>
      <c r="L26" s="58" t="s">
        <v>37</v>
      </c>
      <c r="M26" s="58" t="s">
        <v>108</v>
      </c>
      <c r="N26" s="58" t="s">
        <v>221</v>
      </c>
    </row>
    <row r="27" spans="1:14" x14ac:dyDescent="0.35">
      <c r="A27" s="1" t="s">
        <v>45</v>
      </c>
      <c r="B27" s="1"/>
      <c r="C27" s="45">
        <v>11</v>
      </c>
      <c r="D27" s="45">
        <f>C27</f>
        <v>11</v>
      </c>
      <c r="E27" s="45">
        <f t="shared" ref="E27:G27" si="0">D27</f>
        <v>11</v>
      </c>
      <c r="F27" s="45">
        <f t="shared" si="0"/>
        <v>11</v>
      </c>
      <c r="G27" s="45">
        <f t="shared" si="0"/>
        <v>11</v>
      </c>
      <c r="H27" s="45"/>
      <c r="I27" s="45"/>
      <c r="J27" s="45"/>
      <c r="K27" s="45"/>
      <c r="L27" s="45"/>
    </row>
    <row r="28" spans="1:14" x14ac:dyDescent="0.35">
      <c r="A28" s="1" t="s">
        <v>123</v>
      </c>
      <c r="B28" s="1"/>
      <c r="C28" s="12">
        <f>IF(C$27&lt;&gt;"",0.8,"")</f>
        <v>0.8</v>
      </c>
      <c r="D28" s="12">
        <f t="shared" ref="D28:L28" si="1">IF(D$27&lt;&gt;"",0.8,"")</f>
        <v>0.8</v>
      </c>
      <c r="E28" s="12">
        <f t="shared" si="1"/>
        <v>0.8</v>
      </c>
      <c r="F28" s="12">
        <f t="shared" si="1"/>
        <v>0.8</v>
      </c>
      <c r="G28" s="12">
        <f t="shared" si="1"/>
        <v>0.8</v>
      </c>
      <c r="H28" s="12" t="str">
        <f t="shared" si="1"/>
        <v/>
      </c>
      <c r="I28" s="12" t="str">
        <f t="shared" si="1"/>
        <v/>
      </c>
      <c r="J28" s="12" t="str">
        <f t="shared" si="1"/>
        <v/>
      </c>
      <c r="K28" s="12" t="str">
        <f t="shared" si="1"/>
        <v/>
      </c>
      <c r="L28" s="12" t="str">
        <f t="shared" si="1"/>
        <v/>
      </c>
    </row>
    <row r="29" spans="1:14" x14ac:dyDescent="0.35">
      <c r="A29" s="1" t="s">
        <v>126</v>
      </c>
      <c r="B29" s="14">
        <f>SUM(B30:B35)-SUM(B22:C22)</f>
        <v>0</v>
      </c>
      <c r="C29" s="14">
        <f>IF(C$27&lt;&gt;"",SUM(B22:C22),"")</f>
        <v>21.1</v>
      </c>
      <c r="D29" s="14">
        <f>IF(D$27&lt;&gt;"",C91,"")</f>
        <v>19.419925837338837</v>
      </c>
      <c r="E29" s="14">
        <f t="shared" ref="E29:L29" si="2">IF(E$27&lt;&gt;"",D91,"")</f>
        <v>18.811792655184497</v>
      </c>
      <c r="F29" s="14">
        <f t="shared" si="2"/>
        <v>18.530078575694919</v>
      </c>
      <c r="G29" s="14">
        <f t="shared" si="2"/>
        <v>18.461333377576072</v>
      </c>
      <c r="H29" s="14" t="str">
        <f t="shared" si="2"/>
        <v/>
      </c>
      <c r="I29" s="14" t="str">
        <f t="shared" si="2"/>
        <v/>
      </c>
      <c r="J29" s="14" t="str">
        <f t="shared" si="2"/>
        <v/>
      </c>
      <c r="K29" s="14" t="str">
        <f t="shared" si="2"/>
        <v/>
      </c>
      <c r="L29" s="14" t="str">
        <f t="shared" si="2"/>
        <v/>
      </c>
    </row>
    <row r="30" spans="1:14" x14ac:dyDescent="0.35">
      <c r="A30" t="str">
        <f>IF(A6="","","    "&amp;A6&amp;" Balance")</f>
        <v xml:space="preserve">    Upper Basin Balance</v>
      </c>
      <c r="B30" s="55">
        <f>B22-B24</f>
        <v>5.0734237499999999</v>
      </c>
      <c r="C30" s="14">
        <f>IF(OR(C$27="",$A30=""),"",B30)</f>
        <v>5.0734237499999999</v>
      </c>
      <c r="D30" s="14">
        <f>IF(OR(D$27="",$A30=""),"",C85)</f>
        <v>3.2624438809560035</v>
      </c>
      <c r="E30" s="14">
        <f t="shared" ref="E30:L30" si="3">IF(OR(E$27="",$A30=""),"",D85)</f>
        <v>2.6059121066952144</v>
      </c>
      <c r="F30" s="14">
        <f t="shared" si="3"/>
        <v>2.2851245093047288</v>
      </c>
      <c r="G30" s="14">
        <f t="shared" si="3"/>
        <v>2.5817095100952416</v>
      </c>
      <c r="H30" s="14" t="str">
        <f t="shared" si="3"/>
        <v/>
      </c>
      <c r="I30" s="14" t="str">
        <f t="shared" si="3"/>
        <v/>
      </c>
      <c r="J30" s="14" t="str">
        <f t="shared" si="3"/>
        <v/>
      </c>
      <c r="K30" s="14" t="str">
        <f t="shared" si="3"/>
        <v/>
      </c>
      <c r="L30" s="14" t="str">
        <f t="shared" si="3"/>
        <v/>
      </c>
      <c r="N30" t="s">
        <v>229</v>
      </c>
    </row>
    <row r="31" spans="1:14" x14ac:dyDescent="0.35">
      <c r="A31" t="str">
        <f>IF(A7="","","    "&amp;A7&amp;" Balance")</f>
        <v xml:space="preserve">    Lower Basin Balance</v>
      </c>
      <c r="B31" s="55">
        <f>C22-C24-B32</f>
        <v>4.3944069999999993</v>
      </c>
      <c r="C31" s="14">
        <f t="shared" ref="C31:C35" si="4">IF(OR(C$27="",$A31=""),"",B31)</f>
        <v>4.3944069999999993</v>
      </c>
      <c r="D31" s="14">
        <f t="shared" ref="D31:L35" si="5">IF(OR(D$27="",$A31=""),"",C86)</f>
        <v>4.566312706382833</v>
      </c>
      <c r="E31" s="14">
        <f t="shared" si="5"/>
        <v>4.6147112984892829</v>
      </c>
      <c r="F31" s="14">
        <f t="shared" si="5"/>
        <v>4.6537848163901909</v>
      </c>
      <c r="G31" s="14">
        <f t="shared" si="5"/>
        <v>4.2884546174808307</v>
      </c>
      <c r="H31" s="14" t="str">
        <f t="shared" si="5"/>
        <v/>
      </c>
      <c r="I31" s="14" t="str">
        <f t="shared" si="5"/>
        <v/>
      </c>
      <c r="J31" s="14" t="str">
        <f t="shared" si="5"/>
        <v/>
      </c>
      <c r="K31" s="14" t="str">
        <f t="shared" si="5"/>
        <v/>
      </c>
      <c r="L31" s="14" t="str">
        <f t="shared" si="5"/>
        <v/>
      </c>
      <c r="N31" t="s">
        <v>225</v>
      </c>
    </row>
    <row r="32" spans="1:14" x14ac:dyDescent="0.35">
      <c r="A32" t="str">
        <f>IF(A8="","","    "&amp;A8&amp;" Balance")</f>
        <v xml:space="preserve">    Mexico Balance</v>
      </c>
      <c r="B32" s="106">
        <v>4.1000000000000002E-2</v>
      </c>
      <c r="C32" s="59">
        <f t="shared" si="4"/>
        <v>4.1000000000000002E-2</v>
      </c>
      <c r="D32" s="59">
        <f t="shared" si="5"/>
        <v>0</v>
      </c>
      <c r="E32" s="59">
        <f t="shared" si="5"/>
        <v>0</v>
      </c>
      <c r="F32" s="59">
        <f t="shared" si="5"/>
        <v>0</v>
      </c>
      <c r="G32" s="59">
        <f t="shared" si="5"/>
        <v>0</v>
      </c>
      <c r="H32" s="14" t="str">
        <f t="shared" si="5"/>
        <v/>
      </c>
      <c r="I32" s="14" t="str">
        <f t="shared" si="5"/>
        <v/>
      </c>
      <c r="J32" s="14" t="str">
        <f t="shared" si="5"/>
        <v/>
      </c>
      <c r="K32" s="14" t="str">
        <f t="shared" si="5"/>
        <v/>
      </c>
      <c r="L32" s="14" t="str">
        <f t="shared" si="5"/>
        <v/>
      </c>
      <c r="N32" t="s">
        <v>224</v>
      </c>
    </row>
    <row r="33" spans="1:15" x14ac:dyDescent="0.35">
      <c r="A33" t="str">
        <f>IF(A9="","","    "&amp;A9&amp;" Balance")</f>
        <v xml:space="preserve">    Mohave &amp; Havasu Evap &amp; ET Balance</v>
      </c>
      <c r="B33" s="56">
        <v>0</v>
      </c>
      <c r="C33" s="14">
        <f t="shared" si="4"/>
        <v>0</v>
      </c>
      <c r="D33" s="14">
        <f t="shared" si="5"/>
        <v>0</v>
      </c>
      <c r="E33" s="14">
        <f t="shared" si="5"/>
        <v>0</v>
      </c>
      <c r="F33" s="14">
        <f t="shared" si="5"/>
        <v>0</v>
      </c>
      <c r="G33" s="14">
        <f t="shared" si="5"/>
        <v>0</v>
      </c>
      <c r="H33" s="14" t="str">
        <f t="shared" si="5"/>
        <v/>
      </c>
      <c r="I33" s="14" t="str">
        <f t="shared" si="5"/>
        <v/>
      </c>
      <c r="J33" s="14" t="str">
        <f t="shared" si="5"/>
        <v/>
      </c>
      <c r="K33" s="14" t="str">
        <f t="shared" si="5"/>
        <v/>
      </c>
      <c r="L33" s="14" t="str">
        <f t="shared" si="5"/>
        <v/>
      </c>
    </row>
    <row r="34" spans="1:15" x14ac:dyDescent="0.35">
      <c r="A34" t="str">
        <f>IF(A10="","","    "&amp;A10&amp;" Balance")</f>
        <v xml:space="preserve">    Shared, Reserve Balance</v>
      </c>
      <c r="B34" s="55">
        <f>SUM(B24:C24)</f>
        <v>11.59116925</v>
      </c>
      <c r="C34" s="14">
        <f t="shared" si="4"/>
        <v>11.59116925</v>
      </c>
      <c r="D34" s="14">
        <f t="shared" si="5"/>
        <v>11.59116925</v>
      </c>
      <c r="E34" s="14">
        <f t="shared" si="5"/>
        <v>11.59116925</v>
      </c>
      <c r="F34" s="14">
        <f t="shared" si="5"/>
        <v>11.59116925</v>
      </c>
      <c r="G34" s="14">
        <f t="shared" si="5"/>
        <v>11.59116925</v>
      </c>
      <c r="H34" s="14" t="str">
        <f t="shared" si="5"/>
        <v/>
      </c>
      <c r="I34" s="14" t="str">
        <f t="shared" si="5"/>
        <v/>
      </c>
      <c r="J34" s="14" t="str">
        <f t="shared" si="5"/>
        <v/>
      </c>
      <c r="K34" s="14" t="str">
        <f t="shared" si="5"/>
        <v/>
      </c>
      <c r="L34" s="14" t="str">
        <f t="shared" si="5"/>
        <v/>
      </c>
      <c r="N34" t="s">
        <v>228</v>
      </c>
    </row>
    <row r="35" spans="1:15" x14ac:dyDescent="0.35">
      <c r="A35" t="str">
        <f>IF(A11="","","    "&amp;A11&amp;" Balance")</f>
        <v/>
      </c>
      <c r="B35" s="56"/>
      <c r="C35" s="14" t="str">
        <f t="shared" si="4"/>
        <v/>
      </c>
      <c r="D35" s="14" t="str">
        <f t="shared" si="5"/>
        <v/>
      </c>
      <c r="E35" s="14" t="str">
        <f t="shared" si="5"/>
        <v/>
      </c>
      <c r="F35" s="14" t="str">
        <f t="shared" si="5"/>
        <v/>
      </c>
      <c r="G35" s="14" t="str">
        <f t="shared" si="5"/>
        <v/>
      </c>
      <c r="H35" s="14" t="str">
        <f t="shared" si="5"/>
        <v/>
      </c>
      <c r="I35" s="14" t="str">
        <f t="shared" si="5"/>
        <v/>
      </c>
      <c r="J35" s="14" t="str">
        <f t="shared" si="5"/>
        <v/>
      </c>
      <c r="K35" s="14" t="str">
        <f t="shared" si="5"/>
        <v/>
      </c>
      <c r="L35" s="14" t="str">
        <f t="shared" si="5"/>
        <v/>
      </c>
    </row>
    <row r="36" spans="1:15" x14ac:dyDescent="0.35">
      <c r="A36" s="1" t="s">
        <v>117</v>
      </c>
      <c r="C36"/>
    </row>
    <row r="37" spans="1:15" x14ac:dyDescent="0.35">
      <c r="A37" t="s">
        <v>115</v>
      </c>
      <c r="B37" s="35">
        <v>0.5</v>
      </c>
      <c r="C37" s="14">
        <f>IF(C$27&lt;&gt;"",B22,"")</f>
        <v>11</v>
      </c>
      <c r="D37" s="14">
        <f t="shared" ref="D37:L38" si="6">IF(D27&lt;&gt;"",$B37*D$29,"")</f>
        <v>9.7099629186694187</v>
      </c>
      <c r="E37" s="14">
        <f t="shared" si="6"/>
        <v>9.4058963275922487</v>
      </c>
      <c r="F37" s="14">
        <f t="shared" si="6"/>
        <v>9.2650392878474594</v>
      </c>
      <c r="G37" s="14">
        <f t="shared" si="6"/>
        <v>9.2306666887880358</v>
      </c>
      <c r="H37" s="14" t="str">
        <f t="shared" si="6"/>
        <v/>
      </c>
      <c r="I37" s="14" t="str">
        <f t="shared" si="6"/>
        <v/>
      </c>
      <c r="J37" s="14" t="str">
        <f t="shared" si="6"/>
        <v/>
      </c>
      <c r="K37" s="14" t="str">
        <f t="shared" si="6"/>
        <v/>
      </c>
      <c r="L37" s="14" t="str">
        <f t="shared" si="6"/>
        <v/>
      </c>
    </row>
    <row r="38" spans="1:15" x14ac:dyDescent="0.35">
      <c r="A38" t="s">
        <v>116</v>
      </c>
      <c r="B38" s="35">
        <f>1-B37</f>
        <v>0.5</v>
      </c>
      <c r="C38" s="14">
        <f>IF(C$27&lt;&gt;"",C22,"")</f>
        <v>10.1</v>
      </c>
      <c r="D38" s="14">
        <f t="shared" si="6"/>
        <v>9.7099629186694187</v>
      </c>
      <c r="E38" s="14">
        <f t="shared" si="6"/>
        <v>9.4058963275922487</v>
      </c>
      <c r="F38" s="14">
        <f t="shared" si="6"/>
        <v>9.2650392878474594</v>
      </c>
      <c r="G38" s="14">
        <f t="shared" si="6"/>
        <v>9.2306666887880358</v>
      </c>
      <c r="H38" s="14" t="str">
        <f t="shared" si="6"/>
        <v/>
      </c>
      <c r="I38" s="14" t="str">
        <f t="shared" si="6"/>
        <v/>
      </c>
      <c r="J38" s="14" t="str">
        <f t="shared" si="6"/>
        <v/>
      </c>
      <c r="K38" s="14" t="str">
        <f t="shared" si="6"/>
        <v/>
      </c>
      <c r="L38" s="14" t="str">
        <f t="shared" si="6"/>
        <v/>
      </c>
    </row>
    <row r="39" spans="1:15" x14ac:dyDescent="0.35">
      <c r="A39" s="1" t="s">
        <v>121</v>
      </c>
      <c r="B39" s="1"/>
      <c r="C39" s="14">
        <f>IF(C$27&lt;&gt;"",VLOOKUP(C37*1000000,'Powell-Elevation-Area'!$B$5:$D$689,3)*$B$21/1000000 + VLOOKUP(C38*1000000,'Mead-Elevation-Area'!$B$5:$D$676,3)*$C$21/1000000,"")</f>
        <v>1.0218976799999733</v>
      </c>
      <c r="D39" s="14">
        <f>IF(D$27&lt;&gt;"",VLOOKUP(D37*1000000,'Powell-Elevation-Area'!$B$5:$D$689,3)*$B$21/1000000 + VLOOKUP(D38*1000000,'Mead-Elevation-Area'!$B$5:$D$676,3)*$C$21/1000000,"")</f>
        <v>0.97147479300117312</v>
      </c>
      <c r="E39" s="14">
        <f>IF(E$27&lt;&gt;"",VLOOKUP(E37*1000000,'Powell-Elevation-Area'!$B$5:$D$689,3)*$B$21/1000000 + VLOOKUP(E38*1000000,'Mead-Elevation-Area'!$B$5:$D$676,3)*$C$21/1000000,"")</f>
        <v>0.95461615649940001</v>
      </c>
      <c r="F39" s="14">
        <f>IF(F$27&lt;&gt;"",VLOOKUP(F37*1000000,'Powell-Elevation-Area'!$B$5:$D$689,3)*$B$21/1000000 + VLOOKUP(F38*1000000,'Mead-Elevation-Area'!$B$5:$D$676,3)*$C$21/1000000,"")</f>
        <v>0.94498607849939997</v>
      </c>
      <c r="G39" s="14">
        <f>IF(G$27&lt;&gt;"",VLOOKUP(G37*1000000,'Powell-Elevation-Area'!$B$5:$D$689,3)*$B$21/1000000 + VLOOKUP(G38*1000000,'Mead-Elevation-Area'!$B$5:$D$676,3)*$C$21/1000000,"")</f>
        <v>0.94399007849999994</v>
      </c>
      <c r="H39" s="14" t="str">
        <f>IF(H$27&lt;&gt;"",VLOOKUP(H37*1000000,'Powell-Elevation-Area'!$B$5:$D$689,3)*$B$21/1000000 + VLOOKUP(H38*1000000,'Mead-Elevation-Area'!$B$5:$D$676,3)*$C$21/1000000,"")</f>
        <v/>
      </c>
      <c r="I39" s="14" t="str">
        <f>IF(I$27&lt;&gt;"",VLOOKUP(I37*1000000,'Powell-Elevation-Area'!$B$5:$D$689,3)*$B$21/1000000 + VLOOKUP(I38*1000000,'Mead-Elevation-Area'!$B$5:$D$676,3)*$C$21/1000000,"")</f>
        <v/>
      </c>
      <c r="J39" s="14" t="str">
        <f>IF(J$27&lt;&gt;"",VLOOKUP(J37*1000000,'Powell-Elevation-Area'!$B$5:$D$689,3)*$B$21/1000000 + VLOOKUP(J38*1000000,'Mead-Elevation-Area'!$B$5:$D$676,3)*$C$21/1000000,"")</f>
        <v/>
      </c>
      <c r="K39" s="14" t="str">
        <f>IF(K$27&lt;&gt;"",VLOOKUP(K37*1000000,'Powell-Elevation-Area'!$B$5:$D$689,3)*$B$21/1000000 + VLOOKUP(K38*1000000,'Mead-Elevation-Area'!$B$5:$D$676,3)*$C$21/1000000,"")</f>
        <v/>
      </c>
      <c r="L39" s="14" t="str">
        <f>IF(L$27&lt;&gt;"",VLOOKUP(L37*1000000,'Powell-Elevation-Area'!$B$5:$D$689,3)*$B$21/1000000 + VLOOKUP(L38*1000000,'Mead-Elevation-Area'!$B$5:$D$676,3)*$C$21/1000000,"")</f>
        <v/>
      </c>
    </row>
    <row r="40" spans="1:15" x14ac:dyDescent="0.35">
      <c r="A40" t="str">
        <f>IF(A6="","","    "&amp;A6&amp;" Share")</f>
        <v xml:space="preserve">    Upper Basin Share</v>
      </c>
      <c r="B40" s="1"/>
      <c r="C40" s="14">
        <f>IF(OR(C$27="",$A40=""),"",C$39*C30/C$29)</f>
        <v>0.24571184643515467</v>
      </c>
      <c r="D40" s="14">
        <f t="shared" ref="D40:L40" si="7">IF(OR(D$27="",$A40=""),"",D$39*D30/D$29)</f>
        <v>0.16320257968420676</v>
      </c>
      <c r="E40" s="14">
        <f t="shared" si="7"/>
        <v>0.13223863589539667</v>
      </c>
      <c r="F40" s="14">
        <f t="shared" si="7"/>
        <v>0.11653543939976295</v>
      </c>
      <c r="G40" s="14">
        <f t="shared" si="7"/>
        <v>0.13201149197918824</v>
      </c>
      <c r="H40" s="14" t="str">
        <f t="shared" si="7"/>
        <v/>
      </c>
      <c r="I40" s="14" t="str">
        <f t="shared" si="7"/>
        <v/>
      </c>
      <c r="J40" s="14" t="str">
        <f t="shared" si="7"/>
        <v/>
      </c>
      <c r="K40" s="14" t="str">
        <f t="shared" si="7"/>
        <v/>
      </c>
      <c r="L40" s="14" t="str">
        <f t="shared" si="7"/>
        <v/>
      </c>
    </row>
    <row r="41" spans="1:15" x14ac:dyDescent="0.35">
      <c r="A41" t="str">
        <f>IF(A7="","","    "&amp;A7&amp;" Share")</f>
        <v xml:space="preserve">    Lower Basin Share</v>
      </c>
      <c r="B41" s="1"/>
      <c r="C41" s="14">
        <f t="shared" ref="C41:L45" si="8">IF(OR(C$27="",$A41=""),"",C$39*C31/C$29)</f>
        <v>0.21282627100832421</v>
      </c>
      <c r="D41" s="14">
        <f t="shared" si="8"/>
        <v>0.22842814789141203</v>
      </c>
      <c r="E41" s="14">
        <f t="shared" si="8"/>
        <v>0.23417640433667591</v>
      </c>
      <c r="F41" s="14">
        <f t="shared" si="8"/>
        <v>0.23733098841733816</v>
      </c>
      <c r="G41" s="14">
        <f t="shared" si="8"/>
        <v>0.21928311071596843</v>
      </c>
      <c r="H41" s="14" t="str">
        <f t="shared" si="8"/>
        <v/>
      </c>
      <c r="I41" s="14" t="str">
        <f t="shared" si="8"/>
        <v/>
      </c>
      <c r="J41" s="14" t="str">
        <f t="shared" si="8"/>
        <v/>
      </c>
      <c r="K41" s="14" t="str">
        <f t="shared" si="8"/>
        <v/>
      </c>
      <c r="L41" s="14" t="str">
        <f t="shared" si="8"/>
        <v/>
      </c>
    </row>
    <row r="42" spans="1:15" x14ac:dyDescent="0.35">
      <c r="A42" t="str">
        <f>IF(A8="","","    "&amp;A8&amp;" Share")</f>
        <v xml:space="preserve">    Mexico Share</v>
      </c>
      <c r="B42" s="1"/>
      <c r="C42" s="14">
        <f t="shared" si="8"/>
        <v>1.9856779563980523E-3</v>
      </c>
      <c r="D42" s="14">
        <f t="shared" si="8"/>
        <v>0</v>
      </c>
      <c r="E42" s="14">
        <f t="shared" si="8"/>
        <v>0</v>
      </c>
      <c r="F42" s="14">
        <f t="shared" si="8"/>
        <v>0</v>
      </c>
      <c r="G42" s="14">
        <f t="shared" si="8"/>
        <v>0</v>
      </c>
      <c r="H42" s="14" t="str">
        <f t="shared" si="8"/>
        <v/>
      </c>
      <c r="I42" s="14" t="str">
        <f t="shared" si="8"/>
        <v/>
      </c>
      <c r="J42" s="14" t="str">
        <f t="shared" si="8"/>
        <v/>
      </c>
      <c r="K42" s="14" t="str">
        <f t="shared" si="8"/>
        <v/>
      </c>
      <c r="L42" s="14" t="str">
        <f t="shared" si="8"/>
        <v/>
      </c>
    </row>
    <row r="43" spans="1:15" x14ac:dyDescent="0.35">
      <c r="A43" t="str">
        <f>IF(A9="","","    "&amp;A9&amp;" Share")</f>
        <v xml:space="preserve">    Mohave &amp; Havasu Evap &amp; ET Share</v>
      </c>
      <c r="B43" s="1"/>
      <c r="C43" s="14">
        <f t="shared" si="8"/>
        <v>0</v>
      </c>
      <c r="D43" s="14">
        <f t="shared" si="8"/>
        <v>0</v>
      </c>
      <c r="E43" s="14">
        <f t="shared" si="8"/>
        <v>0</v>
      </c>
      <c r="F43" s="14">
        <f t="shared" si="8"/>
        <v>0</v>
      </c>
      <c r="G43" s="14">
        <f t="shared" si="8"/>
        <v>0</v>
      </c>
      <c r="H43" s="14" t="str">
        <f t="shared" si="8"/>
        <v/>
      </c>
      <c r="I43" s="14" t="str">
        <f t="shared" si="8"/>
        <v/>
      </c>
      <c r="J43" s="14" t="str">
        <f t="shared" si="8"/>
        <v/>
      </c>
      <c r="K43" s="14" t="str">
        <f t="shared" si="8"/>
        <v/>
      </c>
      <c r="L43" s="14" t="str">
        <f t="shared" si="8"/>
        <v/>
      </c>
    </row>
    <row r="44" spans="1:15" x14ac:dyDescent="0.35">
      <c r="A44" t="str">
        <f>IF(A10="","","    "&amp;A10&amp;" Share")</f>
        <v xml:space="preserve">    Shared, Reserve Share</v>
      </c>
      <c r="B44" s="1"/>
      <c r="C44" s="14">
        <f t="shared" si="8"/>
        <v>0.56137388460009618</v>
      </c>
      <c r="D44" s="14">
        <f t="shared" si="8"/>
        <v>0.57984406542555433</v>
      </c>
      <c r="E44" s="14">
        <f t="shared" si="8"/>
        <v>0.58820111626732741</v>
      </c>
      <c r="F44" s="14">
        <f t="shared" si="8"/>
        <v>0.59111965068229888</v>
      </c>
      <c r="G44" s="14">
        <f t="shared" si="8"/>
        <v>0.59269547580484339</v>
      </c>
      <c r="H44" s="14" t="str">
        <f t="shared" si="8"/>
        <v/>
      </c>
      <c r="I44" s="14" t="str">
        <f t="shared" si="8"/>
        <v/>
      </c>
      <c r="J44" s="14" t="str">
        <f t="shared" si="8"/>
        <v/>
      </c>
      <c r="K44" s="14" t="str">
        <f t="shared" si="8"/>
        <v/>
      </c>
      <c r="L44" s="14" t="str">
        <f t="shared" si="8"/>
        <v/>
      </c>
    </row>
    <row r="45" spans="1:15" x14ac:dyDescent="0.35">
      <c r="A45" t="str">
        <f>IF(A11="","","    "&amp;A11&amp;" Share")</f>
        <v/>
      </c>
      <c r="B45" s="1"/>
      <c r="C45" s="14" t="str">
        <f t="shared" si="8"/>
        <v/>
      </c>
      <c r="D45" s="14" t="str">
        <f t="shared" si="8"/>
        <v/>
      </c>
      <c r="E45" s="14" t="str">
        <f t="shared" si="8"/>
        <v/>
      </c>
      <c r="F45" s="14" t="str">
        <f t="shared" si="8"/>
        <v/>
      </c>
      <c r="G45" s="14" t="str">
        <f t="shared" si="8"/>
        <v/>
      </c>
      <c r="H45" s="14" t="str">
        <f t="shared" si="8"/>
        <v/>
      </c>
      <c r="I45" s="14" t="str">
        <f t="shared" si="8"/>
        <v/>
      </c>
      <c r="J45" s="14" t="str">
        <f t="shared" si="8"/>
        <v/>
      </c>
      <c r="K45" s="14" t="str">
        <f t="shared" si="8"/>
        <v/>
      </c>
      <c r="L45" s="14" t="str">
        <f t="shared" si="8"/>
        <v/>
      </c>
    </row>
    <row r="46" spans="1:15" x14ac:dyDescent="0.35">
      <c r="A46" s="1" t="s">
        <v>161</v>
      </c>
      <c r="B46" s="1"/>
      <c r="C46" s="50">
        <f>IF(C$27&lt;&gt;"",1.5-$B$52/9/2-IF(C$31&lt;$O$80,$Q$80,IF(C$31&lt;=$O$87,VLOOKUP(C$31,$O$80:$Q$87,3),0)),"")</f>
        <v>1.35</v>
      </c>
      <c r="D46" s="50">
        <f t="shared" ref="D46:L46" si="9">IF(D$27&lt;&gt;"",1.5-$B$52/9-IF(D$31&lt;$O$80,$Q$80,IF(D$31&lt;=$O$87,VLOOKUP(D$31,$O$80:$Q$87,3),0)),"")</f>
        <v>1.35</v>
      </c>
      <c r="E46" s="50">
        <f t="shared" si="9"/>
        <v>1.35</v>
      </c>
      <c r="F46" s="50">
        <f t="shared" si="9"/>
        <v>1.35</v>
      </c>
      <c r="G46" s="50">
        <f t="shared" si="9"/>
        <v>1.35</v>
      </c>
      <c r="H46" s="50" t="str">
        <f t="shared" si="9"/>
        <v/>
      </c>
      <c r="I46" s="50" t="str">
        <f t="shared" si="9"/>
        <v/>
      </c>
      <c r="J46" s="50" t="str">
        <f t="shared" si="9"/>
        <v/>
      </c>
      <c r="K46" s="50" t="str">
        <f t="shared" si="9"/>
        <v/>
      </c>
      <c r="L46" s="50" t="str">
        <f t="shared" si="9"/>
        <v/>
      </c>
    </row>
    <row r="47" spans="1:15" x14ac:dyDescent="0.35">
      <c r="A47" s="1" t="s">
        <v>162</v>
      </c>
      <c r="B47" s="1"/>
      <c r="C47" s="46"/>
    </row>
    <row r="48" spans="1:15" x14ac:dyDescent="0.35">
      <c r="A48" t="str">
        <f>IF(A6="","","    To "&amp;A6)</f>
        <v xml:space="preserve">    To Upper Basin</v>
      </c>
      <c r="B48" s="24" t="s">
        <v>164</v>
      </c>
      <c r="C48" s="14">
        <f>IF(OR(C$27="",$A4=""),"",MAX(0,C$27-SUM(C49:C52)))</f>
        <v>2.6347319773911586</v>
      </c>
      <c r="D48" s="14">
        <f t="shared" ref="D48:L48" si="10">IF(OR(D$27="",$A4=""),"",MAX(0,D$27-SUM(D49:D50)))</f>
        <v>3.2066708054234176</v>
      </c>
      <c r="E48" s="14">
        <f t="shared" si="10"/>
        <v>3.2114510385049115</v>
      </c>
      <c r="F48" s="14">
        <f t="shared" si="10"/>
        <v>3.2131204401902753</v>
      </c>
      <c r="G48" s="14">
        <f t="shared" si="10"/>
        <v>3.2140218121603699</v>
      </c>
      <c r="H48" s="14" t="str">
        <f t="shared" si="10"/>
        <v/>
      </c>
      <c r="I48" s="14" t="str">
        <f t="shared" si="10"/>
        <v/>
      </c>
      <c r="J48" s="14" t="str">
        <f t="shared" si="10"/>
        <v/>
      </c>
      <c r="K48" s="14" t="str">
        <f t="shared" si="10"/>
        <v/>
      </c>
      <c r="L48" s="14" t="str">
        <f t="shared" si="10"/>
        <v/>
      </c>
      <c r="N48" s="78"/>
      <c r="O48" s="78"/>
    </row>
    <row r="49" spans="1:15" x14ac:dyDescent="0.35">
      <c r="A49" t="str">
        <f>IF(A7="","","    To "&amp;A7)</f>
        <v xml:space="preserve">    To Lower Basin</v>
      </c>
      <c r="B49" s="44">
        <f>7.5-$B$52</f>
        <v>7.5</v>
      </c>
      <c r="C49" s="14">
        <f>IF(OR(C$27="",$A49=""),"",IF(C$27&lt;SUM(C50:C52),0,IF(C$27&lt;SUM(C50:C52)+$B49-C52*(1-0.144)/2,C$27-SUM(C50:C52),$B49-C52*(1-0.144)/2)))</f>
        <v>7.2597319773911586</v>
      </c>
      <c r="D49" s="14">
        <f t="shared" ref="D49:G49" si="11">IF(OR(D$27="",$A49=""),"",IF(D$27&lt;SUM(D50:D52),0,IF(D$27&lt;SUM(D50:D52)+$B49-D52*(1-0.144)/2,D$27-SUM(D50:D52),$B49-D52*(1-0.144)/2)))</f>
        <v>7.2518267399978624</v>
      </c>
      <c r="E49" s="14">
        <f t="shared" si="11"/>
        <v>7.2482499222375836</v>
      </c>
      <c r="F49" s="14">
        <f t="shared" si="11"/>
        <v>7.2470007895079762</v>
      </c>
      <c r="G49" s="14">
        <f t="shared" si="11"/>
        <v>7.2463263363555273</v>
      </c>
      <c r="H49" s="14" t="str">
        <f t="shared" ref="H49:L49" si="12">IF(OR(H$27="",$A49=""),"",IF(H$27&lt;$B50,0,IF(H$27&gt;$B49,$B49,H$27)))</f>
        <v/>
      </c>
      <c r="I49" s="14" t="str">
        <f t="shared" si="12"/>
        <v/>
      </c>
      <c r="J49" s="14" t="str">
        <f t="shared" si="12"/>
        <v/>
      </c>
      <c r="K49" s="14" t="str">
        <f t="shared" si="12"/>
        <v/>
      </c>
      <c r="L49" s="14" t="str">
        <f t="shared" si="12"/>
        <v/>
      </c>
      <c r="N49" s="78"/>
      <c r="O49" s="78"/>
    </row>
    <row r="50" spans="1:15" x14ac:dyDescent="0.35">
      <c r="A50" t="str">
        <f>IF(A8="","","    To "&amp;A8)</f>
        <v xml:space="preserve">    To Mexico</v>
      </c>
      <c r="B50" s="44">
        <f>C46/2-0.05</f>
        <v>0.625</v>
      </c>
      <c r="C50" s="14">
        <f>IF(OR(C$27="",$A50=""),"",IF(C$27&gt;C52,$B50-C$44*0.144,C$27-C52))</f>
        <v>0.54416216061758615</v>
      </c>
      <c r="D50" s="14">
        <f t="shared" ref="D50:G50" si="13">IF(OR(D$27="",$A50=""),"",IF(D$27&gt;D52,$B50-D$44*0.144,D$27-D52))</f>
        <v>0.54150245457872015</v>
      </c>
      <c r="E50" s="14">
        <f t="shared" si="13"/>
        <v>0.54029903925750489</v>
      </c>
      <c r="F50" s="14">
        <f t="shared" si="13"/>
        <v>0.53987877030174891</v>
      </c>
      <c r="G50" s="14">
        <f t="shared" si="13"/>
        <v>0.53965185148410255</v>
      </c>
      <c r="H50" s="14" t="str">
        <f t="shared" ref="H50:L50" si="14">IF(OR(H$27="",$A50=""),"",IF(H$27&gt;$B50,$B50,H$27))</f>
        <v/>
      </c>
      <c r="I50" s="14" t="str">
        <f t="shared" si="14"/>
        <v/>
      </c>
      <c r="J50" s="14" t="str">
        <f t="shared" si="14"/>
        <v/>
      </c>
      <c r="K50" s="14" t="str">
        <f t="shared" si="14"/>
        <v/>
      </c>
      <c r="L50" s="14" t="str">
        <f t="shared" si="14"/>
        <v/>
      </c>
      <c r="N50" s="78"/>
      <c r="O50" s="78"/>
    </row>
    <row r="51" spans="1:15" x14ac:dyDescent="0.35">
      <c r="A51" t="str">
        <f>IF(A9="","","    To "&amp;A9)</f>
        <v xml:space="preserve">    To Mohave &amp; Havasu Evap &amp; ET</v>
      </c>
      <c r="B51" s="44">
        <v>0</v>
      </c>
      <c r="C51" s="14">
        <f t="shared" ref="C51:L53" si="15">IF(OR(C$27="",$A51=""),"",IF(C$27&gt;$B51,$B51,C$27))</f>
        <v>0</v>
      </c>
      <c r="D51" s="14">
        <f t="shared" si="15"/>
        <v>0</v>
      </c>
      <c r="E51" s="14">
        <f t="shared" si="15"/>
        <v>0</v>
      </c>
      <c r="F51" s="14">
        <f t="shared" si="15"/>
        <v>0</v>
      </c>
      <c r="G51" s="14">
        <f t="shared" si="15"/>
        <v>0</v>
      </c>
      <c r="H51" s="14" t="str">
        <f t="shared" si="15"/>
        <v/>
      </c>
      <c r="I51" s="14" t="str">
        <f t="shared" si="15"/>
        <v/>
      </c>
      <c r="J51" s="14" t="str">
        <f t="shared" si="15"/>
        <v/>
      </c>
      <c r="K51" s="14" t="str">
        <f t="shared" si="15"/>
        <v/>
      </c>
      <c r="L51" s="14" t="str">
        <f t="shared" si="15"/>
        <v/>
      </c>
    </row>
    <row r="52" spans="1:15" x14ac:dyDescent="0.35">
      <c r="A52" t="str">
        <f>IF(A10="","","    To "&amp;A10)</f>
        <v xml:space="preserve">    To Shared, Reserve</v>
      </c>
      <c r="B52" s="44"/>
      <c r="C52" s="14">
        <f>IF(OR(C$27="",$A52=""),"",IF(C$27&gt;C44,C44,C$27))</f>
        <v>0.56137388460009618</v>
      </c>
      <c r="D52" s="14">
        <f t="shared" ref="D52:G52" si="16">IF(OR(D$27="",$A52=""),"",IF(D$27&gt;D44,D44,D$27))</f>
        <v>0.57984406542555433</v>
      </c>
      <c r="E52" s="14">
        <f t="shared" si="16"/>
        <v>0.58820111626732741</v>
      </c>
      <c r="F52" s="14">
        <f t="shared" si="16"/>
        <v>0.59111965068229888</v>
      </c>
      <c r="G52" s="14">
        <f t="shared" si="16"/>
        <v>0.59269547580484339</v>
      </c>
      <c r="H52" s="59" t="str">
        <f t="shared" si="15"/>
        <v/>
      </c>
      <c r="I52" s="59" t="str">
        <f t="shared" si="15"/>
        <v/>
      </c>
      <c r="J52" s="59" t="str">
        <f t="shared" si="15"/>
        <v/>
      </c>
      <c r="K52" s="59" t="str">
        <f t="shared" si="15"/>
        <v/>
      </c>
      <c r="L52" s="59" t="str">
        <f t="shared" si="15"/>
        <v/>
      </c>
    </row>
    <row r="53" spans="1:15" x14ac:dyDescent="0.35">
      <c r="A53" t="str">
        <f>IF(A11="","","    To "&amp;A11)</f>
        <v/>
      </c>
      <c r="B53" s="44"/>
      <c r="C53" s="14" t="str">
        <f t="shared" si="15"/>
        <v/>
      </c>
      <c r="D53" s="14" t="str">
        <f t="shared" si="15"/>
        <v/>
      </c>
      <c r="E53" s="14" t="str">
        <f t="shared" si="15"/>
        <v/>
      </c>
      <c r="F53" s="14" t="str">
        <f t="shared" si="15"/>
        <v/>
      </c>
      <c r="G53" s="14" t="str">
        <f t="shared" si="15"/>
        <v/>
      </c>
      <c r="H53" s="14" t="str">
        <f t="shared" si="15"/>
        <v/>
      </c>
      <c r="I53" s="14" t="str">
        <f t="shared" si="15"/>
        <v/>
      </c>
      <c r="J53" s="14" t="str">
        <f t="shared" si="15"/>
        <v/>
      </c>
      <c r="K53" s="14" t="str">
        <f t="shared" si="15"/>
        <v/>
      </c>
      <c r="L53" s="14" t="str">
        <f t="shared" si="15"/>
        <v/>
      </c>
    </row>
    <row r="54" spans="1:15" x14ac:dyDescent="0.35">
      <c r="A54" s="1" t="s">
        <v>163</v>
      </c>
      <c r="B54" s="1"/>
      <c r="C54"/>
    </row>
    <row r="55" spans="1:15" x14ac:dyDescent="0.35">
      <c r="A55" t="str">
        <f>IF(A6="","","    To "&amp;A6)</f>
        <v xml:space="preserve">    To Upper Basin</v>
      </c>
      <c r="B55" s="24">
        <v>0</v>
      </c>
      <c r="C55" s="14">
        <f>IF(OR($A55="",C$27=""),"",IF(C$28&gt;$B55,$B55,C$28))</f>
        <v>0</v>
      </c>
      <c r="D55" s="14">
        <f t="shared" ref="D55:L55" si="17">IF(OR($A55="",D$27=""),"",IF(D$28&gt;$B55,$B55,D$28))</f>
        <v>0</v>
      </c>
      <c r="E55" s="14">
        <f t="shared" si="17"/>
        <v>0</v>
      </c>
      <c r="F55" s="14">
        <f t="shared" si="17"/>
        <v>0</v>
      </c>
      <c r="G55" s="14">
        <f t="shared" si="17"/>
        <v>0</v>
      </c>
      <c r="H55" s="14" t="str">
        <f t="shared" si="17"/>
        <v/>
      </c>
      <c r="I55" s="14" t="str">
        <f t="shared" si="17"/>
        <v/>
      </c>
      <c r="J55" s="14" t="str">
        <f t="shared" si="17"/>
        <v/>
      </c>
      <c r="K55" s="14" t="str">
        <f t="shared" si="17"/>
        <v/>
      </c>
      <c r="L55" s="14" t="str">
        <f t="shared" si="17"/>
        <v/>
      </c>
    </row>
    <row r="56" spans="1:15" x14ac:dyDescent="0.35">
      <c r="A56" t="str">
        <f>IF(A7="","","    To "&amp;A7)</f>
        <v xml:space="preserve">    To Lower Basin</v>
      </c>
      <c r="B56" s="44" t="s">
        <v>164</v>
      </c>
      <c r="C56" s="14">
        <f>IF(OR(C$27="",$A56=""),"",C$28-SUM(C57:C58))</f>
        <v>-0.47499999999999987</v>
      </c>
      <c r="D56" s="14">
        <f t="shared" ref="D56:L56" si="18">IF(OR(D$27="",$A56=""),"",D$28-SUM(D57:D58))</f>
        <v>-0.47499999999999987</v>
      </c>
      <c r="E56" s="14">
        <f t="shared" si="18"/>
        <v>-0.47499999999999987</v>
      </c>
      <c r="F56" s="14">
        <f t="shared" si="18"/>
        <v>-0.47499999999999987</v>
      </c>
      <c r="G56" s="14">
        <f t="shared" si="18"/>
        <v>-0.47499999999999987</v>
      </c>
      <c r="H56" s="14" t="str">
        <f t="shared" si="18"/>
        <v/>
      </c>
      <c r="I56" s="14" t="str">
        <f t="shared" si="18"/>
        <v/>
      </c>
      <c r="J56" s="14" t="str">
        <f t="shared" si="18"/>
        <v/>
      </c>
      <c r="K56" s="14" t="str">
        <f t="shared" si="18"/>
        <v/>
      </c>
      <c r="L56" s="14" t="str">
        <f t="shared" si="18"/>
        <v/>
      </c>
    </row>
    <row r="57" spans="1:15" x14ac:dyDescent="0.35">
      <c r="A57" t="str">
        <f>IF(A8="","","    To "&amp;A8)</f>
        <v xml:space="preserve">    To Mexico</v>
      </c>
      <c r="B57" s="44">
        <f>C46/2</f>
        <v>0.67500000000000004</v>
      </c>
      <c r="C57" s="14">
        <f>IF(OR(C$27="",$A57=""),"",C46/2)</f>
        <v>0.67500000000000004</v>
      </c>
      <c r="D57" s="14">
        <f t="shared" ref="D57:L57" si="19">IF(OR(D$27="",$A57=""),"",D46/2)</f>
        <v>0.67500000000000004</v>
      </c>
      <c r="E57" s="14">
        <f t="shared" si="19"/>
        <v>0.67500000000000004</v>
      </c>
      <c r="F57" s="14">
        <f t="shared" si="19"/>
        <v>0.67500000000000004</v>
      </c>
      <c r="G57" s="14">
        <f t="shared" si="19"/>
        <v>0.67500000000000004</v>
      </c>
      <c r="H57" s="14" t="str">
        <f t="shared" si="19"/>
        <v/>
      </c>
      <c r="I57" s="14" t="str">
        <f t="shared" si="19"/>
        <v/>
      </c>
      <c r="J57" s="14" t="str">
        <f t="shared" si="19"/>
        <v/>
      </c>
      <c r="K57" s="14" t="str">
        <f t="shared" si="19"/>
        <v/>
      </c>
      <c r="L57" s="14" t="str">
        <f t="shared" si="19"/>
        <v/>
      </c>
    </row>
    <row r="58" spans="1:15" x14ac:dyDescent="0.35">
      <c r="A58" t="str">
        <f>IF(A9="","","    To "&amp;A9)</f>
        <v xml:space="preserve">    To Mohave &amp; Havasu Evap &amp; ET</v>
      </c>
      <c r="B58" s="44">
        <v>0.6</v>
      </c>
      <c r="C58" s="14">
        <f>IF(OR($A58="",C$27=""),"",IF(C$28&gt;$B58,$B58,C$28))</f>
        <v>0.6</v>
      </c>
      <c r="D58" s="14">
        <f t="shared" ref="D58:L58" si="20">IF(OR($A58="",D$27=""),"",IF(D$28&gt;$B58,$B58,D$28))</f>
        <v>0.6</v>
      </c>
      <c r="E58" s="14">
        <f t="shared" si="20"/>
        <v>0.6</v>
      </c>
      <c r="F58" s="14">
        <f t="shared" si="20"/>
        <v>0.6</v>
      </c>
      <c r="G58" s="14">
        <f t="shared" si="20"/>
        <v>0.6</v>
      </c>
      <c r="H58" s="14" t="str">
        <f t="shared" si="20"/>
        <v/>
      </c>
      <c r="I58" s="14" t="str">
        <f t="shared" si="20"/>
        <v/>
      </c>
      <c r="J58" s="14" t="str">
        <f t="shared" si="20"/>
        <v/>
      </c>
      <c r="K58" s="14" t="str">
        <f t="shared" si="20"/>
        <v/>
      </c>
      <c r="L58" s="14" t="str">
        <f t="shared" si="20"/>
        <v/>
      </c>
    </row>
    <row r="59" spans="1:15" x14ac:dyDescent="0.35">
      <c r="A59" t="str">
        <f>IF(A10="","","    To "&amp;A10)</f>
        <v xml:space="preserve">    To Shared, Reserve</v>
      </c>
      <c r="B59" s="61"/>
      <c r="C59" s="14">
        <f t="shared" ref="C59:L60" si="21">IF(OR($A59="",C$27=""),"",IF(C$28&gt;$B59,$B59,C$28))</f>
        <v>0</v>
      </c>
      <c r="D59" s="14">
        <f t="shared" si="21"/>
        <v>0</v>
      </c>
      <c r="E59" s="14">
        <f t="shared" si="21"/>
        <v>0</v>
      </c>
      <c r="F59" s="14">
        <f t="shared" si="21"/>
        <v>0</v>
      </c>
      <c r="G59" s="14">
        <f t="shared" si="21"/>
        <v>0</v>
      </c>
      <c r="H59" s="14" t="str">
        <f t="shared" si="21"/>
        <v/>
      </c>
      <c r="I59" s="14" t="str">
        <f t="shared" si="21"/>
        <v/>
      </c>
      <c r="J59" s="14" t="str">
        <f t="shared" si="21"/>
        <v/>
      </c>
      <c r="K59" s="14" t="str">
        <f t="shared" si="21"/>
        <v/>
      </c>
      <c r="L59" s="14" t="str">
        <f t="shared" si="21"/>
        <v/>
      </c>
    </row>
    <row r="60" spans="1:15" x14ac:dyDescent="0.35">
      <c r="A60" t="str">
        <f>IF(A11="","","    To "&amp;A11)</f>
        <v/>
      </c>
      <c r="B60" s="44"/>
      <c r="C60" s="14" t="str">
        <f t="shared" si="21"/>
        <v/>
      </c>
      <c r="D60" s="14" t="str">
        <f t="shared" si="21"/>
        <v/>
      </c>
      <c r="E60" s="14" t="str">
        <f t="shared" si="21"/>
        <v/>
      </c>
      <c r="F60" s="14" t="str">
        <f t="shared" si="21"/>
        <v/>
      </c>
      <c r="G60" s="14" t="str">
        <f t="shared" si="21"/>
        <v/>
      </c>
      <c r="H60" s="14" t="str">
        <f t="shared" si="21"/>
        <v/>
      </c>
      <c r="I60" s="14" t="str">
        <f t="shared" si="21"/>
        <v/>
      </c>
      <c r="J60" s="14" t="str">
        <f t="shared" si="21"/>
        <v/>
      </c>
      <c r="K60" s="14" t="str">
        <f t="shared" si="21"/>
        <v/>
      </c>
      <c r="L60" s="14" t="str">
        <f t="shared" si="21"/>
        <v/>
      </c>
    </row>
    <row r="61" spans="1:15" x14ac:dyDescent="0.35">
      <c r="A61" s="1" t="s">
        <v>167</v>
      </c>
      <c r="C61"/>
      <c r="M61" t="s">
        <v>168</v>
      </c>
    </row>
    <row r="62" spans="1:15" x14ac:dyDescent="0.35">
      <c r="A62" t="str">
        <f>IF(A6="","","    "&amp;A6)</f>
        <v xml:space="preserve">    Upper Basin</v>
      </c>
      <c r="B62" s="1"/>
      <c r="C62" s="25">
        <v>0.5</v>
      </c>
      <c r="D62" s="25">
        <v>0.4</v>
      </c>
      <c r="E62" s="25">
        <v>0.4</v>
      </c>
      <c r="F62" s="50"/>
      <c r="G62" s="50"/>
      <c r="H62" s="50"/>
      <c r="I62" s="50"/>
      <c r="J62" s="50"/>
      <c r="K62" s="50"/>
      <c r="L62" s="50"/>
      <c r="M62" s="54">
        <f>SUMPRODUCT(C62:L62,C$69:L$69)</f>
        <v>455</v>
      </c>
    </row>
    <row r="63" spans="1:15" x14ac:dyDescent="0.35">
      <c r="A63" t="str">
        <f>IF(A7="","","    "&amp;A7)</f>
        <v xml:space="preserve">    Lower Basin</v>
      </c>
      <c r="B63" s="1"/>
      <c r="C63" s="70">
        <f>-C62</f>
        <v>-0.5</v>
      </c>
      <c r="D63" s="70">
        <f t="shared" ref="D63:E63" si="22">-D62</f>
        <v>-0.4</v>
      </c>
      <c r="E63" s="70">
        <f t="shared" si="22"/>
        <v>-0.4</v>
      </c>
      <c r="F63" s="62"/>
      <c r="G63" s="62"/>
      <c r="H63" s="62"/>
      <c r="I63" s="62"/>
      <c r="J63" s="62"/>
      <c r="K63" s="67"/>
      <c r="L63" s="62"/>
      <c r="M63" s="54">
        <f t="shared" ref="M63:M67" si="23">SUMPRODUCT(C63:L63,C$69:L$69)</f>
        <v>-455</v>
      </c>
    </row>
    <row r="64" spans="1:15" x14ac:dyDescent="0.35">
      <c r="A64" t="str">
        <f>IF(A8="","","    "&amp;A8)</f>
        <v xml:space="preserve">    Mexico</v>
      </c>
      <c r="B64" s="1"/>
      <c r="C64" s="50"/>
      <c r="D64" s="50"/>
      <c r="E64" s="68"/>
      <c r="F64" s="50"/>
      <c r="G64" s="50"/>
      <c r="H64" s="68"/>
      <c r="I64" s="50"/>
      <c r="J64" s="50"/>
      <c r="K64" s="68"/>
      <c r="L64" s="50"/>
      <c r="M64" s="54">
        <f t="shared" si="23"/>
        <v>0</v>
      </c>
    </row>
    <row r="65" spans="1:21" x14ac:dyDescent="0.35">
      <c r="A65" t="str">
        <f>IF(A9="","","    "&amp;A9)</f>
        <v xml:space="preserve">    Mohave &amp; Havasu Evap &amp; ET</v>
      </c>
      <c r="B65" s="1"/>
      <c r="C65" s="50"/>
      <c r="D65" s="50"/>
      <c r="E65" s="68"/>
      <c r="F65" s="50"/>
      <c r="G65" s="50"/>
      <c r="H65" s="68"/>
      <c r="I65" s="50"/>
      <c r="J65" s="50"/>
      <c r="K65" s="68"/>
      <c r="L65" s="50"/>
      <c r="M65" s="54">
        <f t="shared" si="23"/>
        <v>0</v>
      </c>
    </row>
    <row r="66" spans="1:21" x14ac:dyDescent="0.35">
      <c r="A66" t="str">
        <f>IF(A10="","","    "&amp;A10)</f>
        <v xml:space="preserve">    Shared, Reserve</v>
      </c>
      <c r="B66" s="1"/>
      <c r="C66" s="50"/>
      <c r="D66" s="50"/>
      <c r="E66" s="68"/>
      <c r="F66" s="50"/>
      <c r="G66" s="50"/>
      <c r="H66" s="68"/>
      <c r="I66" s="50"/>
      <c r="J66" s="50"/>
      <c r="K66" s="68"/>
      <c r="L66" s="50"/>
      <c r="M66" s="54">
        <f t="shared" si="23"/>
        <v>0</v>
      </c>
    </row>
    <row r="67" spans="1:21" x14ac:dyDescent="0.35">
      <c r="A67" t="str">
        <f>IF(A11="","","    "&amp;A11)</f>
        <v/>
      </c>
      <c r="B67" s="1"/>
      <c r="C67" s="50"/>
      <c r="D67" s="50"/>
      <c r="E67" s="50"/>
      <c r="F67" s="50"/>
      <c r="G67" s="50"/>
      <c r="H67" s="50"/>
      <c r="I67" s="50"/>
      <c r="J67" s="50"/>
      <c r="K67" s="50"/>
      <c r="L67" s="50"/>
      <c r="M67" s="54">
        <f t="shared" si="23"/>
        <v>0</v>
      </c>
    </row>
    <row r="68" spans="1:21" x14ac:dyDescent="0.35">
      <c r="A68" t="s">
        <v>159</v>
      </c>
      <c r="B68" s="1"/>
      <c r="C68" s="53">
        <f>IF(C$27&lt;&gt;"",SUM(C62:C67),"")</f>
        <v>0</v>
      </c>
      <c r="D68" s="53">
        <f t="shared" ref="D68:L68" si="24">IF(D$27&lt;&gt;"",SUM(D62:D67),"")</f>
        <v>0</v>
      </c>
      <c r="E68" s="53">
        <f t="shared" si="24"/>
        <v>0</v>
      </c>
      <c r="F68" s="53">
        <f t="shared" si="24"/>
        <v>0</v>
      </c>
      <c r="G68" s="53">
        <f t="shared" si="24"/>
        <v>0</v>
      </c>
      <c r="H68" s="53" t="str">
        <f t="shared" si="24"/>
        <v/>
      </c>
      <c r="I68" s="53" t="str">
        <f t="shared" si="24"/>
        <v/>
      </c>
      <c r="J68" s="53" t="str">
        <f t="shared" si="24"/>
        <v/>
      </c>
      <c r="K68" s="53" t="str">
        <f t="shared" si="24"/>
        <v/>
      </c>
      <c r="L68" s="53" t="str">
        <f t="shared" si="24"/>
        <v/>
      </c>
      <c r="M68" s="34"/>
    </row>
    <row r="69" spans="1:21" x14ac:dyDescent="0.35">
      <c r="A69" t="s">
        <v>160</v>
      </c>
      <c r="B69" s="1"/>
      <c r="C69" s="31">
        <v>350</v>
      </c>
      <c r="D69" s="31">
        <v>350</v>
      </c>
      <c r="E69" s="31">
        <v>350</v>
      </c>
      <c r="F69" s="31"/>
      <c r="G69" s="31"/>
      <c r="H69" s="31"/>
      <c r="I69" s="31"/>
      <c r="J69" s="31"/>
      <c r="K69" s="31"/>
      <c r="L69" s="31"/>
    </row>
    <row r="70" spans="1:21" x14ac:dyDescent="0.35">
      <c r="A70" s="1" t="s">
        <v>186</v>
      </c>
      <c r="B70" s="1"/>
      <c r="C70"/>
    </row>
    <row r="71" spans="1:21" x14ac:dyDescent="0.35">
      <c r="A71" t="str">
        <f>IF(A6="","","    "&amp;A6)</f>
        <v xml:space="preserve">    Upper Basin</v>
      </c>
      <c r="C71" s="14">
        <f>IF(OR(C$27="",$A71=""),"",C30+C48+C55-C40-C62)</f>
        <v>6.9624438809560036</v>
      </c>
      <c r="D71" s="14">
        <f t="shared" ref="D71:L71" si="25">IF(OR(D$27="",$A71=""),"",D30+D48+D55-D40-D62)</f>
        <v>5.9059121066952143</v>
      </c>
      <c r="E71" s="14">
        <f t="shared" si="25"/>
        <v>5.2851245093047288</v>
      </c>
      <c r="F71" s="14">
        <f t="shared" si="25"/>
        <v>5.3817095100952415</v>
      </c>
      <c r="G71" s="14">
        <f t="shared" si="25"/>
        <v>5.6637198302764231</v>
      </c>
      <c r="H71" s="14" t="str">
        <f t="shared" si="25"/>
        <v/>
      </c>
      <c r="I71" s="14" t="str">
        <f t="shared" si="25"/>
        <v/>
      </c>
      <c r="J71" s="14" t="str">
        <f t="shared" si="25"/>
        <v/>
      </c>
      <c r="K71" s="14" t="str">
        <f t="shared" si="25"/>
        <v/>
      </c>
      <c r="L71" s="14" t="str">
        <f t="shared" si="25"/>
        <v/>
      </c>
    </row>
    <row r="72" spans="1:21" x14ac:dyDescent="0.35">
      <c r="A72" t="str">
        <f>IF(A7="","","    "&amp;A7)</f>
        <v xml:space="preserve">    Lower Basin</v>
      </c>
      <c r="C72" s="14">
        <f t="shared" ref="C72:L76" si="26">IF(OR(C$27="",$A72=""),"",C31+C49+C56-C41-C63)</f>
        <v>11.466312706382833</v>
      </c>
      <c r="D72" s="14">
        <f t="shared" si="26"/>
        <v>11.514711298489283</v>
      </c>
      <c r="E72" s="14">
        <f t="shared" si="26"/>
        <v>11.553784816390191</v>
      </c>
      <c r="F72" s="14">
        <f t="shared" si="26"/>
        <v>11.188454617480831</v>
      </c>
      <c r="G72" s="14">
        <f t="shared" si="26"/>
        <v>10.840497843120389</v>
      </c>
      <c r="H72" s="14" t="str">
        <f t="shared" si="26"/>
        <v/>
      </c>
      <c r="I72" s="14" t="str">
        <f t="shared" si="26"/>
        <v/>
      </c>
      <c r="J72" s="14" t="str">
        <f t="shared" si="26"/>
        <v/>
      </c>
      <c r="K72" s="14" t="str">
        <f t="shared" si="26"/>
        <v/>
      </c>
      <c r="L72" s="14" t="str">
        <f t="shared" si="26"/>
        <v/>
      </c>
    </row>
    <row r="73" spans="1:21" x14ac:dyDescent="0.35">
      <c r="A73" t="str">
        <f>IF(A8="","","    "&amp;A8)</f>
        <v xml:space="preserve">    Mexico</v>
      </c>
      <c r="C73" s="60">
        <f t="shared" si="26"/>
        <v>1.2581764826611881</v>
      </c>
      <c r="D73" s="14">
        <f t="shared" si="26"/>
        <v>1.2165024545787202</v>
      </c>
      <c r="E73" s="14">
        <f t="shared" si="26"/>
        <v>1.2152990392575049</v>
      </c>
      <c r="F73" s="14">
        <f t="shared" si="26"/>
        <v>1.214878770301749</v>
      </c>
      <c r="G73" s="14">
        <f t="shared" si="26"/>
        <v>1.2146518514841027</v>
      </c>
      <c r="H73" s="14" t="str">
        <f t="shared" si="26"/>
        <v/>
      </c>
      <c r="I73" s="14" t="str">
        <f t="shared" si="26"/>
        <v/>
      </c>
      <c r="J73" s="14" t="str">
        <f t="shared" si="26"/>
        <v/>
      </c>
      <c r="K73" s="14" t="str">
        <f t="shared" si="26"/>
        <v/>
      </c>
      <c r="L73" s="14" t="str">
        <f t="shared" si="26"/>
        <v/>
      </c>
    </row>
    <row r="74" spans="1:21" x14ac:dyDescent="0.35">
      <c r="A74" t="str">
        <f>IF(A9="","","    "&amp;A9)</f>
        <v xml:space="preserve">    Mohave &amp; Havasu Evap &amp; ET</v>
      </c>
      <c r="C74" s="14">
        <f t="shared" si="26"/>
        <v>0.6</v>
      </c>
      <c r="D74" s="14">
        <f t="shared" si="26"/>
        <v>0.6</v>
      </c>
      <c r="E74" s="14">
        <f t="shared" si="26"/>
        <v>0.6</v>
      </c>
      <c r="F74" s="14">
        <f t="shared" si="26"/>
        <v>0.6</v>
      </c>
      <c r="G74" s="14">
        <f t="shared" si="26"/>
        <v>0.6</v>
      </c>
      <c r="H74" s="14" t="str">
        <f t="shared" si="26"/>
        <v/>
      </c>
      <c r="I74" s="14" t="str">
        <f t="shared" si="26"/>
        <v/>
      </c>
      <c r="J74" s="14" t="str">
        <f t="shared" si="26"/>
        <v/>
      </c>
      <c r="K74" s="14" t="str">
        <f t="shared" si="26"/>
        <v/>
      </c>
      <c r="L74" s="14" t="str">
        <f t="shared" si="26"/>
        <v/>
      </c>
    </row>
    <row r="75" spans="1:21" x14ac:dyDescent="0.35">
      <c r="A75" t="str">
        <f>IF(A10="","","    "&amp;A10)</f>
        <v xml:space="preserve">    Shared, Reserve</v>
      </c>
      <c r="C75" s="14">
        <f t="shared" si="26"/>
        <v>11.59116925</v>
      </c>
      <c r="D75" s="14">
        <f t="shared" si="26"/>
        <v>11.59116925</v>
      </c>
      <c r="E75" s="14">
        <f t="shared" si="26"/>
        <v>11.59116925</v>
      </c>
      <c r="F75" s="14">
        <f t="shared" si="26"/>
        <v>11.59116925</v>
      </c>
      <c r="G75" s="14">
        <f t="shared" si="26"/>
        <v>11.59116925</v>
      </c>
      <c r="H75" s="60" t="str">
        <f t="shared" si="26"/>
        <v/>
      </c>
      <c r="I75" s="60" t="str">
        <f t="shared" si="26"/>
        <v/>
      </c>
      <c r="J75" s="60" t="str">
        <f t="shared" si="26"/>
        <v/>
      </c>
      <c r="K75" s="60" t="str">
        <f t="shared" si="26"/>
        <v/>
      </c>
      <c r="L75" s="60" t="str">
        <f t="shared" si="26"/>
        <v/>
      </c>
    </row>
    <row r="76" spans="1:21" x14ac:dyDescent="0.35">
      <c r="A76" t="str">
        <f>IF(A11="","","    "&amp;A11)</f>
        <v/>
      </c>
      <c r="C76" s="14" t="str">
        <f t="shared" si="26"/>
        <v/>
      </c>
      <c r="D76" s="14" t="str">
        <f t="shared" si="26"/>
        <v/>
      </c>
      <c r="E76" s="14" t="str">
        <f t="shared" si="26"/>
        <v/>
      </c>
      <c r="F76" s="14" t="str">
        <f t="shared" si="26"/>
        <v/>
      </c>
      <c r="G76" s="14" t="str">
        <f t="shared" si="26"/>
        <v/>
      </c>
      <c r="H76" s="14" t="str">
        <f t="shared" si="26"/>
        <v/>
      </c>
      <c r="I76" s="14" t="str">
        <f t="shared" si="26"/>
        <v/>
      </c>
      <c r="J76" s="14" t="str">
        <f t="shared" si="26"/>
        <v/>
      </c>
      <c r="K76" s="14" t="str">
        <f t="shared" si="26"/>
        <v/>
      </c>
      <c r="L76" s="14" t="str">
        <f t="shared" si="26"/>
        <v/>
      </c>
    </row>
    <row r="77" spans="1:21" x14ac:dyDescent="0.35">
      <c r="A77" s="1" t="s">
        <v>136</v>
      </c>
      <c r="B77" s="1"/>
      <c r="C77" s="69"/>
      <c r="D77" s="2"/>
      <c r="E77" s="69"/>
      <c r="F77" s="2"/>
      <c r="G77" s="2"/>
      <c r="H77" s="2"/>
      <c r="I77" s="2"/>
      <c r="J77" s="2"/>
      <c r="K77" s="2"/>
      <c r="L77" s="2"/>
    </row>
    <row r="78" spans="1:21" x14ac:dyDescent="0.35">
      <c r="A78" t="str">
        <f>IF(A6="","","    "&amp;A6&amp;" - Consumptive Use and Headwaters Losses")</f>
        <v xml:space="preserve">    Upper Basin - Consumptive Use and Headwaters Losses</v>
      </c>
      <c r="C78" s="43">
        <v>3.7</v>
      </c>
      <c r="D78" s="43">
        <v>3.3</v>
      </c>
      <c r="E78" s="43">
        <v>3</v>
      </c>
      <c r="F78" s="43">
        <v>2.8</v>
      </c>
      <c r="G78" s="43">
        <v>2.8</v>
      </c>
      <c r="H78" s="43"/>
      <c r="I78" s="43"/>
      <c r="J78" s="43"/>
      <c r="K78" s="43"/>
      <c r="L78" s="43"/>
      <c r="N78" s="1" t="s">
        <v>129</v>
      </c>
    </row>
    <row r="79" spans="1:21" x14ac:dyDescent="0.35">
      <c r="A79" t="str">
        <f>IF(A7="","","    "&amp;A7&amp;" - Release from Mead")</f>
        <v xml:space="preserve">    Lower Basin - Release from Mead</v>
      </c>
      <c r="C79" s="43">
        <v>6.9</v>
      </c>
      <c r="D79" s="43">
        <v>6.9</v>
      </c>
      <c r="E79" s="43">
        <v>6.9</v>
      </c>
      <c r="F79" s="43">
        <v>6.9</v>
      </c>
      <c r="G79" s="43">
        <f t="shared" ref="G79" si="27">F79</f>
        <v>6.9</v>
      </c>
      <c r="H79" s="43"/>
      <c r="I79" s="43"/>
      <c r="J79" s="43"/>
      <c r="K79" s="43"/>
      <c r="L79" s="43"/>
      <c r="N79" s="37" t="s">
        <v>130</v>
      </c>
      <c r="O79" s="37" t="s">
        <v>131</v>
      </c>
      <c r="P79" s="38" t="s">
        <v>132</v>
      </c>
      <c r="Q79" s="38" t="s">
        <v>133</v>
      </c>
      <c r="R79" s="37" t="s">
        <v>134</v>
      </c>
      <c r="S79" s="37" t="s">
        <v>134</v>
      </c>
      <c r="T79" s="51" t="s">
        <v>157</v>
      </c>
      <c r="U79" s="51" t="s">
        <v>158</v>
      </c>
    </row>
    <row r="80" spans="1:21" x14ac:dyDescent="0.35">
      <c r="A80" t="str">
        <f>IF(A8="","","    "&amp;A8&amp;" - Release from Mead")</f>
        <v xml:space="preserve">    Mexico - Release from Mead</v>
      </c>
      <c r="C80" s="50">
        <f>C73</f>
        <v>1.2581764826611881</v>
      </c>
      <c r="D80" s="50">
        <f>D73</f>
        <v>1.2165024545787202</v>
      </c>
      <c r="E80" s="50">
        <f>E73</f>
        <v>1.2152990392575049</v>
      </c>
      <c r="F80" s="50">
        <f>F73</f>
        <v>1.214878770301749</v>
      </c>
      <c r="G80" s="50">
        <f>G73</f>
        <v>1.2146518514841027</v>
      </c>
      <c r="H80" s="50"/>
      <c r="I80" s="50"/>
      <c r="J80" s="50"/>
      <c r="K80" s="50"/>
      <c r="L80" s="50"/>
      <c r="N80" s="39">
        <v>1025</v>
      </c>
      <c r="O80" s="40">
        <v>5.981122</v>
      </c>
      <c r="P80" s="41">
        <f>S80-Q80</f>
        <v>1.2000000000000002</v>
      </c>
      <c r="Q80" s="49">
        <v>0.15</v>
      </c>
      <c r="R80" s="41">
        <v>1.325</v>
      </c>
      <c r="S80" s="41">
        <f t="shared" ref="S80:S87" si="28">U80/1000000</f>
        <v>1.35</v>
      </c>
      <c r="T80" s="42">
        <v>0.125</v>
      </c>
      <c r="U80" s="52">
        <v>1350000</v>
      </c>
    </row>
    <row r="81" spans="1:21" x14ac:dyDescent="0.35">
      <c r="A81" t="str">
        <f>IF(A9="","","    "&amp;A9&amp;" - Release from Mead")</f>
        <v xml:space="preserve">    Mohave &amp; Havasu Evap &amp; ET - Release from Mead</v>
      </c>
      <c r="C81" s="43">
        <v>0.6</v>
      </c>
      <c r="D81" s="43">
        <v>0.6</v>
      </c>
      <c r="E81" s="43">
        <v>0.6</v>
      </c>
      <c r="F81" s="43">
        <v>0.6</v>
      </c>
      <c r="G81" s="43">
        <v>0.6</v>
      </c>
      <c r="H81" s="43"/>
      <c r="I81" s="43"/>
      <c r="J81" s="43"/>
      <c r="K81" s="43"/>
      <c r="L81" s="43"/>
      <c r="N81" s="39">
        <v>1030</v>
      </c>
      <c r="O81" s="40">
        <v>6.305377</v>
      </c>
      <c r="P81" s="41">
        <f t="shared" ref="P81:P87" si="29">S81-Q81</f>
        <v>1.117</v>
      </c>
      <c r="Q81" s="49">
        <v>0.10100000000000001</v>
      </c>
      <c r="R81" s="41">
        <v>1.1870000000000001</v>
      </c>
      <c r="S81" s="41">
        <f t="shared" si="28"/>
        <v>1.218</v>
      </c>
      <c r="T81" s="42">
        <v>7.0000000000000007E-2</v>
      </c>
      <c r="U81" s="52">
        <v>1218000</v>
      </c>
    </row>
    <row r="82" spans="1:21" x14ac:dyDescent="0.35">
      <c r="A82" t="str">
        <f>IF(A10="","","    "&amp;A10&amp;" - Release from Mead")</f>
        <v xml:space="preserve">    Shared, Reserve - Release from Mead</v>
      </c>
      <c r="C82" s="68"/>
      <c r="D82" s="68"/>
      <c r="E82" s="50"/>
      <c r="F82" s="50"/>
      <c r="G82" s="50"/>
      <c r="H82" s="50" t="str">
        <f>H75</f>
        <v/>
      </c>
      <c r="I82" s="50"/>
      <c r="J82" s="50"/>
      <c r="K82" s="50" t="str">
        <f>K75</f>
        <v/>
      </c>
      <c r="L82" s="50"/>
      <c r="N82" s="39">
        <v>1035</v>
      </c>
      <c r="O82" s="40">
        <v>6.6375080000000004</v>
      </c>
      <c r="P82" s="41">
        <f t="shared" si="29"/>
        <v>1.0669999999999999</v>
      </c>
      <c r="Q82" s="49">
        <v>9.1999999999999998E-2</v>
      </c>
      <c r="R82" s="41">
        <v>1.137</v>
      </c>
      <c r="S82" s="41">
        <f t="shared" si="28"/>
        <v>1.159</v>
      </c>
      <c r="T82" s="42">
        <v>7.0000000000000007E-2</v>
      </c>
      <c r="U82" s="52">
        <v>1159000</v>
      </c>
    </row>
    <row r="83" spans="1:21" x14ac:dyDescent="0.35">
      <c r="A83" t="str">
        <f>IF(A11="","","    "&amp;A11&amp;" - Release from Mead")</f>
        <v/>
      </c>
      <c r="C83" s="43"/>
      <c r="D83" s="43"/>
      <c r="E83" s="43"/>
      <c r="F83" s="43"/>
      <c r="G83" s="43"/>
      <c r="H83" s="43"/>
      <c r="I83" s="43"/>
      <c r="J83" s="43"/>
      <c r="K83" s="43"/>
      <c r="L83" s="43"/>
      <c r="N83" s="39">
        <v>1040</v>
      </c>
      <c r="O83" s="40">
        <v>6.977665</v>
      </c>
      <c r="P83" s="41">
        <f t="shared" si="29"/>
        <v>1.0169999999999999</v>
      </c>
      <c r="Q83" s="49">
        <v>8.4000000000000005E-2</v>
      </c>
      <c r="R83" s="41">
        <v>1.087</v>
      </c>
      <c r="S83" s="41">
        <f t="shared" si="28"/>
        <v>1.101</v>
      </c>
      <c r="T83" s="42">
        <v>7.0000000000000007E-2</v>
      </c>
      <c r="U83" s="52">
        <v>1101000</v>
      </c>
    </row>
    <row r="84" spans="1:21" x14ac:dyDescent="0.35">
      <c r="A84" s="1" t="s">
        <v>141</v>
      </c>
      <c r="B84" s="1"/>
      <c r="D84" s="2"/>
      <c r="E84" s="2"/>
      <c r="F84" s="2"/>
      <c r="G84" s="2"/>
      <c r="H84" s="2"/>
      <c r="I84" s="2"/>
      <c r="J84" s="2"/>
      <c r="K84" s="2"/>
      <c r="L84" s="2"/>
      <c r="N84" s="39">
        <v>1045</v>
      </c>
      <c r="O84" s="40">
        <v>7.3260519999999998</v>
      </c>
      <c r="P84" s="41">
        <f t="shared" si="29"/>
        <v>0.96699999999999997</v>
      </c>
      <c r="Q84" s="49">
        <v>7.5999999999999998E-2</v>
      </c>
      <c r="R84" s="41">
        <v>1.0369999999999999</v>
      </c>
      <c r="S84" s="41">
        <f t="shared" si="28"/>
        <v>1.0429999999999999</v>
      </c>
      <c r="T84" s="42">
        <v>7.0000000000000007E-2</v>
      </c>
      <c r="U84" s="52">
        <v>1043000</v>
      </c>
    </row>
    <row r="85" spans="1:21" x14ac:dyDescent="0.35">
      <c r="A85" t="str">
        <f>IF(A6="","","    "&amp;A6)</f>
        <v xml:space="preserve">    Upper Basin</v>
      </c>
      <c r="C85" s="14">
        <f>IF(OR(C$27="",$A85=""),"",C71-C78)</f>
        <v>3.2624438809560035</v>
      </c>
      <c r="D85" s="14">
        <f t="shared" ref="D85:L85" si="30">IF(OR(D$27="",$A85=""),"",D71-D78)</f>
        <v>2.6059121066952144</v>
      </c>
      <c r="E85" s="14">
        <f t="shared" si="30"/>
        <v>2.2851245093047288</v>
      </c>
      <c r="F85" s="14">
        <f t="shared" si="30"/>
        <v>2.5817095100952416</v>
      </c>
      <c r="G85" s="14">
        <f t="shared" si="30"/>
        <v>2.8637198302764233</v>
      </c>
      <c r="H85" s="14" t="str">
        <f t="shared" si="30"/>
        <v/>
      </c>
      <c r="I85" s="14" t="str">
        <f t="shared" si="30"/>
        <v/>
      </c>
      <c r="J85" s="14" t="str">
        <f t="shared" si="30"/>
        <v/>
      </c>
      <c r="K85" s="14" t="str">
        <f t="shared" si="30"/>
        <v/>
      </c>
      <c r="L85" s="14" t="str">
        <f t="shared" si="30"/>
        <v/>
      </c>
      <c r="N85" s="39">
        <v>1050</v>
      </c>
      <c r="O85" s="40">
        <v>7.6828779999999997</v>
      </c>
      <c r="P85" s="41">
        <f t="shared" si="29"/>
        <v>0.71699999999999997</v>
      </c>
      <c r="Q85" s="49">
        <v>3.4000000000000002E-2</v>
      </c>
      <c r="R85" s="41">
        <v>0.78700000000000003</v>
      </c>
      <c r="S85" s="41">
        <f t="shared" si="28"/>
        <v>0.751</v>
      </c>
      <c r="T85" s="42">
        <v>7.0000000000000007E-2</v>
      </c>
      <c r="U85" s="52">
        <v>751000</v>
      </c>
    </row>
    <row r="86" spans="1:21" x14ac:dyDescent="0.35">
      <c r="A86" t="str">
        <f>IF(A7="","","    "&amp;A7)</f>
        <v xml:space="preserve">    Lower Basin</v>
      </c>
      <c r="C86" s="14">
        <f t="shared" ref="C86:L90" si="31">IF(OR(C$27="",$A86=""),"",C72-C79)</f>
        <v>4.566312706382833</v>
      </c>
      <c r="D86" s="14">
        <f t="shared" si="31"/>
        <v>4.6147112984892829</v>
      </c>
      <c r="E86" s="14">
        <f t="shared" si="31"/>
        <v>4.6537848163901909</v>
      </c>
      <c r="F86" s="14">
        <f t="shared" si="31"/>
        <v>4.2884546174808307</v>
      </c>
      <c r="G86" s="14">
        <f t="shared" si="31"/>
        <v>3.9404978431203883</v>
      </c>
      <c r="H86" s="14" t="str">
        <f t="shared" si="31"/>
        <v/>
      </c>
      <c r="I86" s="14" t="str">
        <f t="shared" si="31"/>
        <v/>
      </c>
      <c r="J86" s="14" t="str">
        <f t="shared" si="31"/>
        <v/>
      </c>
      <c r="K86" s="14" t="str">
        <f t="shared" si="31"/>
        <v/>
      </c>
      <c r="L86" s="14" t="str">
        <f t="shared" si="31"/>
        <v/>
      </c>
      <c r="N86" s="39">
        <v>1075</v>
      </c>
      <c r="O86" s="40">
        <v>9.6009879999900001</v>
      </c>
      <c r="P86" s="41">
        <f t="shared" si="29"/>
        <v>0.63300000000000001</v>
      </c>
      <c r="Q86" s="49">
        <v>0.03</v>
      </c>
      <c r="R86" s="41">
        <v>0.68300000000000005</v>
      </c>
      <c r="S86" s="41">
        <f t="shared" si="28"/>
        <v>0.66300000000000003</v>
      </c>
      <c r="T86" s="42">
        <v>0.05</v>
      </c>
      <c r="U86" s="52">
        <v>663000</v>
      </c>
    </row>
    <row r="87" spans="1:21" x14ac:dyDescent="0.35">
      <c r="A87" t="str">
        <f>IF(A8="","","    "&amp;A8)</f>
        <v xml:space="preserve">    Mexico</v>
      </c>
      <c r="C87" s="14">
        <f t="shared" si="31"/>
        <v>0</v>
      </c>
      <c r="D87" s="14">
        <f t="shared" si="31"/>
        <v>0</v>
      </c>
      <c r="E87" s="14">
        <f t="shared" si="31"/>
        <v>0</v>
      </c>
      <c r="F87" s="14">
        <f t="shared" si="31"/>
        <v>0</v>
      </c>
      <c r="G87" s="14">
        <f t="shared" si="31"/>
        <v>0</v>
      </c>
      <c r="H87" s="14" t="str">
        <f t="shared" si="31"/>
        <v/>
      </c>
      <c r="I87" s="14" t="str">
        <f t="shared" si="31"/>
        <v/>
      </c>
      <c r="J87" s="14" t="str">
        <f t="shared" si="31"/>
        <v/>
      </c>
      <c r="K87" s="14" t="str">
        <f t="shared" si="31"/>
        <v/>
      </c>
      <c r="L87" s="14" t="str">
        <f t="shared" si="31"/>
        <v/>
      </c>
      <c r="N87" s="39">
        <v>1090</v>
      </c>
      <c r="O87" s="40">
        <v>10.857008</v>
      </c>
      <c r="P87" s="41">
        <f t="shared" si="29"/>
        <v>0.30000000000000004</v>
      </c>
      <c r="Q87" s="49">
        <v>4.1000000000000002E-2</v>
      </c>
      <c r="R87" s="41">
        <v>0.3</v>
      </c>
      <c r="S87" s="41">
        <f t="shared" si="28"/>
        <v>0.34100000000000003</v>
      </c>
      <c r="T87" s="38"/>
      <c r="U87" s="52">
        <v>341000</v>
      </c>
    </row>
    <row r="88" spans="1:21" x14ac:dyDescent="0.35">
      <c r="A88" t="str">
        <f>IF(A9="","","    "&amp;A9)</f>
        <v xml:space="preserve">    Mohave &amp; Havasu Evap &amp; ET</v>
      </c>
      <c r="C88" s="14">
        <f t="shared" si="31"/>
        <v>0</v>
      </c>
      <c r="D88" s="14">
        <f t="shared" si="31"/>
        <v>0</v>
      </c>
      <c r="E88" s="14">
        <f t="shared" si="31"/>
        <v>0</v>
      </c>
      <c r="F88" s="14">
        <f t="shared" si="31"/>
        <v>0</v>
      </c>
      <c r="G88" s="14">
        <f t="shared" si="31"/>
        <v>0</v>
      </c>
      <c r="H88" s="14" t="str">
        <f t="shared" si="31"/>
        <v/>
      </c>
      <c r="I88" s="14" t="str">
        <f t="shared" si="31"/>
        <v/>
      </c>
      <c r="J88" s="14" t="str">
        <f t="shared" si="31"/>
        <v/>
      </c>
      <c r="K88" s="14" t="str">
        <f t="shared" si="31"/>
        <v/>
      </c>
      <c r="L88" s="14" t="str">
        <f t="shared" si="31"/>
        <v/>
      </c>
    </row>
    <row r="89" spans="1:21" x14ac:dyDescent="0.35">
      <c r="A89" t="str">
        <f>IF(A10="","","    "&amp;A10)</f>
        <v xml:space="preserve">    Shared, Reserve</v>
      </c>
      <c r="C89" s="14">
        <f>IF(OR(C$27="",$A89=""),"",C75-C82)</f>
        <v>11.59116925</v>
      </c>
      <c r="D89" s="14">
        <f t="shared" si="31"/>
        <v>11.59116925</v>
      </c>
      <c r="E89" s="14">
        <f t="shared" si="31"/>
        <v>11.59116925</v>
      </c>
      <c r="F89" s="14">
        <f t="shared" si="31"/>
        <v>11.59116925</v>
      </c>
      <c r="G89" s="14">
        <f t="shared" si="31"/>
        <v>11.59116925</v>
      </c>
      <c r="H89" s="59" t="str">
        <f t="shared" si="31"/>
        <v/>
      </c>
      <c r="I89" s="59" t="str">
        <f t="shared" si="31"/>
        <v/>
      </c>
      <c r="J89" s="59" t="str">
        <f t="shared" si="31"/>
        <v/>
      </c>
      <c r="K89" s="59" t="str">
        <f t="shared" si="31"/>
        <v/>
      </c>
      <c r="L89" s="59" t="str">
        <f t="shared" si="31"/>
        <v/>
      </c>
    </row>
    <row r="90" spans="1:21" x14ac:dyDescent="0.35">
      <c r="A90" t="str">
        <f>IF(A11="","","    "&amp;A11)</f>
        <v/>
      </c>
      <c r="C90" s="14" t="str">
        <f t="shared" si="31"/>
        <v/>
      </c>
      <c r="D90" s="14" t="str">
        <f t="shared" si="31"/>
        <v/>
      </c>
      <c r="E90" s="14" t="str">
        <f t="shared" si="31"/>
        <v/>
      </c>
      <c r="F90" s="14" t="str">
        <f t="shared" si="31"/>
        <v/>
      </c>
      <c r="G90" s="14" t="str">
        <f t="shared" si="31"/>
        <v/>
      </c>
      <c r="H90" s="14" t="str">
        <f t="shared" si="31"/>
        <v/>
      </c>
      <c r="I90" s="14" t="str">
        <f t="shared" si="31"/>
        <v/>
      </c>
      <c r="J90" s="14" t="str">
        <f t="shared" si="31"/>
        <v/>
      </c>
      <c r="K90" s="14" t="str">
        <f t="shared" si="31"/>
        <v/>
      </c>
      <c r="L90" s="14" t="str">
        <f t="shared" si="31"/>
        <v/>
      </c>
    </row>
    <row r="91" spans="1:21" x14ac:dyDescent="0.35">
      <c r="A91" s="1" t="s">
        <v>125</v>
      </c>
      <c r="B91" s="1"/>
      <c r="C91" s="14">
        <f>IF(C$27&lt;&gt;"",SUM(C85:C90),"")</f>
        <v>19.419925837338837</v>
      </c>
      <c r="D91" s="14">
        <f t="shared" ref="D91:L91" si="32">IF(D$27&lt;&gt;"",SUM(D85:D90),"")</f>
        <v>18.811792655184497</v>
      </c>
      <c r="E91" s="14">
        <f t="shared" si="32"/>
        <v>18.530078575694919</v>
      </c>
      <c r="F91" s="14">
        <f t="shared" si="32"/>
        <v>18.461333377576072</v>
      </c>
      <c r="G91" s="14">
        <f t="shared" si="32"/>
        <v>18.395386923396813</v>
      </c>
      <c r="H91" s="14" t="str">
        <f t="shared" si="32"/>
        <v/>
      </c>
      <c r="I91" s="14" t="str">
        <f t="shared" si="32"/>
        <v/>
      </c>
      <c r="J91" s="14" t="str">
        <f t="shared" si="32"/>
        <v/>
      </c>
      <c r="K91" s="14" t="str">
        <f t="shared" si="32"/>
        <v/>
      </c>
      <c r="L91" s="14" t="str">
        <f t="shared" si="32"/>
        <v/>
      </c>
    </row>
    <row r="92" spans="1:21" x14ac:dyDescent="0.35">
      <c r="A92" s="1" t="s">
        <v>147</v>
      </c>
      <c r="B92" s="1"/>
      <c r="C92" s="14">
        <f>IF(C27&lt;&gt;"",C37+C27-C40-C78-C91*$B$37,"")</f>
        <v>8.3443252348954289</v>
      </c>
      <c r="D92" s="14">
        <f t="shared" ref="D92:L92" si="33">IF(D27&lt;&gt;"",D37+D27-D40-D78-D91*$B$37,"")</f>
        <v>7.8408640113929629</v>
      </c>
      <c r="E92" s="14">
        <f t="shared" si="33"/>
        <v>8.0086184038493915</v>
      </c>
      <c r="F92" s="14">
        <f t="shared" si="33"/>
        <v>8.1178371596596595</v>
      </c>
      <c r="G92" s="14">
        <f t="shared" si="33"/>
        <v>8.1009617351104382</v>
      </c>
      <c r="H92" s="14" t="str">
        <f t="shared" si="33"/>
        <v/>
      </c>
      <c r="I92" s="14" t="str">
        <f t="shared" si="33"/>
        <v/>
      </c>
      <c r="J92" s="14" t="str">
        <f t="shared" si="33"/>
        <v/>
      </c>
      <c r="K92" s="14" t="str">
        <f t="shared" si="33"/>
        <v/>
      </c>
      <c r="L92" s="14" t="str">
        <f t="shared" si="33"/>
        <v/>
      </c>
    </row>
    <row r="94" spans="1:21" x14ac:dyDescent="0.35">
      <c r="A94" s="1" t="s">
        <v>127</v>
      </c>
      <c r="C94" s="12">
        <f>IF(C$27&lt;&gt;"",0.2,"")</f>
        <v>0.2</v>
      </c>
      <c r="D94" s="12">
        <f t="shared" ref="D94:L94" si="34">IF(D$27&lt;&gt;"",0.2,"")</f>
        <v>0.2</v>
      </c>
      <c r="E94" s="12">
        <f t="shared" si="34"/>
        <v>0.2</v>
      </c>
      <c r="F94" s="12">
        <f t="shared" si="34"/>
        <v>0.2</v>
      </c>
      <c r="G94" s="12">
        <f t="shared" si="34"/>
        <v>0.2</v>
      </c>
      <c r="H94" s="12" t="str">
        <f t="shared" si="34"/>
        <v/>
      </c>
      <c r="I94" s="12" t="str">
        <f t="shared" si="34"/>
        <v/>
      </c>
      <c r="J94" s="12" t="str">
        <f t="shared" si="34"/>
        <v/>
      </c>
      <c r="K94" s="12" t="str">
        <f t="shared" si="34"/>
        <v/>
      </c>
      <c r="L94" s="12" t="str">
        <f t="shared" si="34"/>
        <v/>
      </c>
    </row>
    <row r="95" spans="1:21" x14ac:dyDescent="0.35">
      <c r="A95" t="s">
        <v>128</v>
      </c>
      <c r="C95" s="14">
        <f t="shared" ref="C95:L95" si="35">IF(C$27&lt;&gt;"",C79+C94,"")</f>
        <v>7.1000000000000005</v>
      </c>
      <c r="D95" s="14">
        <f t="shared" si="35"/>
        <v>7.1000000000000005</v>
      </c>
      <c r="E95" s="14">
        <f t="shared" si="35"/>
        <v>7.1000000000000005</v>
      </c>
      <c r="F95" s="14">
        <f t="shared" si="35"/>
        <v>7.1000000000000005</v>
      </c>
      <c r="G95" s="14">
        <f t="shared" si="35"/>
        <v>7.1000000000000005</v>
      </c>
      <c r="H95" s="14" t="str">
        <f t="shared" si="35"/>
        <v/>
      </c>
      <c r="I95" s="14" t="str">
        <f t="shared" si="35"/>
        <v/>
      </c>
      <c r="J95" s="14" t="str">
        <f t="shared" si="35"/>
        <v/>
      </c>
      <c r="K95" s="14" t="str">
        <f t="shared" si="35"/>
        <v/>
      </c>
      <c r="L95" s="14" t="str">
        <f t="shared" si="35"/>
        <v/>
      </c>
    </row>
    <row r="97" spans="4:4" x14ac:dyDescent="0.35">
      <c r="D97" s="18"/>
    </row>
  </sheetData>
  <mergeCells count="9">
    <mergeCell ref="C9:G9"/>
    <mergeCell ref="C10:G10"/>
    <mergeCell ref="C11:G11"/>
    <mergeCell ref="A3:G3"/>
    <mergeCell ref="C4:G4"/>
    <mergeCell ref="C5:G5"/>
    <mergeCell ref="C6:G6"/>
    <mergeCell ref="C7:G7"/>
    <mergeCell ref="C8:G8"/>
  </mergeCells>
  <conditionalFormatting sqref="C79">
    <cfRule type="cellIs" dxfId="315" priority="57" operator="greaterThan">
      <formula>$C$72</formula>
    </cfRule>
  </conditionalFormatting>
  <conditionalFormatting sqref="C80">
    <cfRule type="cellIs" dxfId="314" priority="56" operator="greaterThan">
      <formula>$C$73</formula>
    </cfRule>
  </conditionalFormatting>
  <conditionalFormatting sqref="C81">
    <cfRule type="cellIs" dxfId="313" priority="55" operator="greaterThan">
      <formula>$C$74</formula>
    </cfRule>
  </conditionalFormatting>
  <conditionalFormatting sqref="C82">
    <cfRule type="cellIs" dxfId="312" priority="54" operator="greaterThan">
      <formula>$C$75</formula>
    </cfRule>
  </conditionalFormatting>
  <conditionalFormatting sqref="C83">
    <cfRule type="cellIs" dxfId="311" priority="53" operator="greaterThan">
      <formula>$C$76</formula>
    </cfRule>
  </conditionalFormatting>
  <conditionalFormatting sqref="D79:G79">
    <cfRule type="cellIs" dxfId="310" priority="52" operator="greaterThan">
      <formula>$D$72</formula>
    </cfRule>
  </conditionalFormatting>
  <conditionalFormatting sqref="D80">
    <cfRule type="cellIs" dxfId="309" priority="51" operator="greaterThan">
      <formula>$D$73</formula>
    </cfRule>
  </conditionalFormatting>
  <conditionalFormatting sqref="D81">
    <cfRule type="cellIs" dxfId="308" priority="50" operator="greaterThan">
      <formula>$D$74</formula>
    </cfRule>
  </conditionalFormatting>
  <conditionalFormatting sqref="D82">
    <cfRule type="cellIs" dxfId="307" priority="49" operator="greaterThan">
      <formula>$D$75</formula>
    </cfRule>
  </conditionalFormatting>
  <conditionalFormatting sqref="D83">
    <cfRule type="cellIs" dxfId="306" priority="48" operator="greaterThan">
      <formula>$D$76</formula>
    </cfRule>
  </conditionalFormatting>
  <conditionalFormatting sqref="E80">
    <cfRule type="cellIs" dxfId="305" priority="46" operator="greaterThan">
      <formula>$E$73</formula>
    </cfRule>
  </conditionalFormatting>
  <conditionalFormatting sqref="E81">
    <cfRule type="cellIs" dxfId="304" priority="45" operator="greaterThan">
      <formula>$E$74</formula>
    </cfRule>
  </conditionalFormatting>
  <conditionalFormatting sqref="E82">
    <cfRule type="cellIs" dxfId="303" priority="44" operator="greaterThan">
      <formula>$E$75</formula>
    </cfRule>
  </conditionalFormatting>
  <conditionalFormatting sqref="E83">
    <cfRule type="cellIs" dxfId="302" priority="43" operator="greaterThan">
      <formula>$E$76</formula>
    </cfRule>
  </conditionalFormatting>
  <conditionalFormatting sqref="F80">
    <cfRule type="cellIs" dxfId="301" priority="41" operator="greaterThan">
      <formula>$F$73</formula>
    </cfRule>
  </conditionalFormatting>
  <conditionalFormatting sqref="F81">
    <cfRule type="cellIs" dxfId="300" priority="40" operator="greaterThan">
      <formula>$F$74</formula>
    </cfRule>
  </conditionalFormatting>
  <conditionalFormatting sqref="F82">
    <cfRule type="cellIs" dxfId="299" priority="39" operator="greaterThan">
      <formula>$F$75</formula>
    </cfRule>
  </conditionalFormatting>
  <conditionalFormatting sqref="F83">
    <cfRule type="cellIs" dxfId="298" priority="38" operator="greaterThan">
      <formula>$F$76</formula>
    </cfRule>
  </conditionalFormatting>
  <conditionalFormatting sqref="G80">
    <cfRule type="cellIs" dxfId="297" priority="36" operator="greaterThan">
      <formula>$G$73</formula>
    </cfRule>
  </conditionalFormatting>
  <conditionalFormatting sqref="G81">
    <cfRule type="cellIs" dxfId="296" priority="35" operator="greaterThan">
      <formula>$G$74</formula>
    </cfRule>
  </conditionalFormatting>
  <conditionalFormatting sqref="G82">
    <cfRule type="cellIs" dxfId="295" priority="34" operator="greaterThan">
      <formula>$G$75</formula>
    </cfRule>
  </conditionalFormatting>
  <conditionalFormatting sqref="G83">
    <cfRule type="cellIs" dxfId="294" priority="33" operator="greaterThan">
      <formula>$G$76</formula>
    </cfRule>
  </conditionalFormatting>
  <conditionalFormatting sqref="H78">
    <cfRule type="cellIs" dxfId="293" priority="32" operator="greaterThan">
      <formula>$H$71</formula>
    </cfRule>
  </conditionalFormatting>
  <conditionalFormatting sqref="H79">
    <cfRule type="cellIs" dxfId="292" priority="31" operator="greaterThan">
      <formula>$H$72</formula>
    </cfRule>
  </conditionalFormatting>
  <conditionalFormatting sqref="H80">
    <cfRule type="cellIs" dxfId="291" priority="30" operator="greaterThan">
      <formula>$H$73</formula>
    </cfRule>
  </conditionalFormatting>
  <conditionalFormatting sqref="H81">
    <cfRule type="cellIs" dxfId="290" priority="29" operator="greaterThan">
      <formula>$H$74</formula>
    </cfRule>
  </conditionalFormatting>
  <conditionalFormatting sqref="H82">
    <cfRule type="cellIs" dxfId="289" priority="28" operator="greaterThan">
      <formula>$H$75</formula>
    </cfRule>
  </conditionalFormatting>
  <conditionalFormatting sqref="H83">
    <cfRule type="cellIs" dxfId="288" priority="27" operator="greaterThan">
      <formula>$H$76</formula>
    </cfRule>
  </conditionalFormatting>
  <conditionalFormatting sqref="I78">
    <cfRule type="cellIs" dxfId="287" priority="26" operator="greaterThan">
      <formula>$I$71</formula>
    </cfRule>
  </conditionalFormatting>
  <conditionalFormatting sqref="I79">
    <cfRule type="cellIs" dxfId="286" priority="25" operator="greaterThan">
      <formula>$I$72</formula>
    </cfRule>
  </conditionalFormatting>
  <conditionalFormatting sqref="I80">
    <cfRule type="cellIs" dxfId="285" priority="24" operator="greaterThan">
      <formula>$I$73</formula>
    </cfRule>
  </conditionalFormatting>
  <conditionalFormatting sqref="I81">
    <cfRule type="cellIs" dxfId="284" priority="23" operator="greaterThan">
      <formula>$I$74</formula>
    </cfRule>
  </conditionalFormatting>
  <conditionalFormatting sqref="I82">
    <cfRule type="cellIs" dxfId="283" priority="22" operator="greaterThan">
      <formula>$I$75</formula>
    </cfRule>
  </conditionalFormatting>
  <conditionalFormatting sqref="I83">
    <cfRule type="cellIs" dxfId="282" priority="21" operator="greaterThan">
      <formula>$I$76</formula>
    </cfRule>
  </conditionalFormatting>
  <conditionalFormatting sqref="J78">
    <cfRule type="cellIs" dxfId="281" priority="20" operator="greaterThan">
      <formula>$J$71</formula>
    </cfRule>
  </conditionalFormatting>
  <conditionalFormatting sqref="J79">
    <cfRule type="cellIs" dxfId="280" priority="19" operator="greaterThan">
      <formula>$J$72</formula>
    </cfRule>
  </conditionalFormatting>
  <conditionalFormatting sqref="J80">
    <cfRule type="cellIs" dxfId="279" priority="18" operator="greaterThan">
      <formula>$J$73</formula>
    </cfRule>
  </conditionalFormatting>
  <conditionalFormatting sqref="J81">
    <cfRule type="cellIs" dxfId="278" priority="17" operator="greaterThan">
      <formula>$J$74</formula>
    </cfRule>
  </conditionalFormatting>
  <conditionalFormatting sqref="J82">
    <cfRule type="cellIs" dxfId="277" priority="16" operator="greaterThan">
      <formula>$J$75</formula>
    </cfRule>
  </conditionalFormatting>
  <conditionalFormatting sqref="J83">
    <cfRule type="cellIs" dxfId="276" priority="15" operator="greaterThan">
      <formula>$J$76</formula>
    </cfRule>
  </conditionalFormatting>
  <conditionalFormatting sqref="K78">
    <cfRule type="cellIs" dxfId="275" priority="14" operator="greaterThan">
      <formula>$K$71</formula>
    </cfRule>
  </conditionalFormatting>
  <conditionalFormatting sqref="K79">
    <cfRule type="cellIs" dxfId="274" priority="13" operator="greaterThan">
      <formula>$K$72</formula>
    </cfRule>
  </conditionalFormatting>
  <conditionalFormatting sqref="K80">
    <cfRule type="cellIs" dxfId="273" priority="12" operator="greaterThan">
      <formula>$K$73</formula>
    </cfRule>
  </conditionalFormatting>
  <conditionalFormatting sqref="K81">
    <cfRule type="cellIs" dxfId="272" priority="11" operator="greaterThan">
      <formula>$K$74</formula>
    </cfRule>
  </conditionalFormatting>
  <conditionalFormatting sqref="K82">
    <cfRule type="cellIs" dxfId="271" priority="10" operator="greaterThan">
      <formula>$K$75</formula>
    </cfRule>
  </conditionalFormatting>
  <conditionalFormatting sqref="K83">
    <cfRule type="cellIs" dxfId="270" priority="9" operator="greaterThan">
      <formula>$K$76</formula>
    </cfRule>
  </conditionalFormatting>
  <conditionalFormatting sqref="L78">
    <cfRule type="cellIs" dxfId="269" priority="8" operator="greaterThan">
      <formula>$L$71</formula>
    </cfRule>
  </conditionalFormatting>
  <conditionalFormatting sqref="L79">
    <cfRule type="cellIs" dxfId="268" priority="7" operator="greaterThan">
      <formula>$L$72</formula>
    </cfRule>
  </conditionalFormatting>
  <conditionalFormatting sqref="L80">
    <cfRule type="cellIs" dxfId="267" priority="6" operator="greaterThan">
      <formula>$L$73</formula>
    </cfRule>
  </conditionalFormatting>
  <conditionalFormatting sqref="L81">
    <cfRule type="cellIs" dxfId="266" priority="5" operator="greaterThan">
      <formula>$L$74</formula>
    </cfRule>
  </conditionalFormatting>
  <conditionalFormatting sqref="L82">
    <cfRule type="cellIs" dxfId="265" priority="4" operator="greaterThan">
      <formula>$L$75</formula>
    </cfRule>
  </conditionalFormatting>
  <conditionalFormatting sqref="L83">
    <cfRule type="cellIs" dxfId="264" priority="3" operator="greaterThan">
      <formula>$L$76</formula>
    </cfRule>
  </conditionalFormatting>
  <conditionalFormatting sqref="D78:F78">
    <cfRule type="cellIs" dxfId="263" priority="2" operator="greaterThan">
      <formula>$D$71</formula>
    </cfRule>
  </conditionalFormatting>
  <conditionalFormatting sqref="G78">
    <cfRule type="cellIs" dxfId="262" priority="1" operator="greaterThan">
      <formula>$G$71</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9AAC35-3C4F-4FAD-BA5E-009A6B38BA4B}">
  <dimension ref="A1:U95"/>
  <sheetViews>
    <sheetView topLeftCell="A16" zoomScale="150" zoomScaleNormal="150" workbookViewId="0">
      <selection activeCell="N24" sqref="N24:N30"/>
    </sheetView>
  </sheetViews>
  <sheetFormatPr defaultRowHeight="14.5" x14ac:dyDescent="0.35"/>
  <cols>
    <col min="1" max="1" width="37.36328125" customWidth="1"/>
    <col min="2" max="2" width="7.81640625" customWidth="1"/>
    <col min="3" max="3" width="8" style="2" customWidth="1"/>
    <col min="4" max="4" width="7.54296875" customWidth="1"/>
    <col min="5" max="5" width="7.26953125" customWidth="1"/>
    <col min="6" max="6" width="7.6328125" customWidth="1"/>
    <col min="7" max="7" width="7.08984375" customWidth="1"/>
    <col min="8" max="8" width="7.36328125" hidden="1" customWidth="1"/>
    <col min="9" max="9" width="7.7265625" hidden="1" customWidth="1"/>
    <col min="10" max="12" width="8.7265625" hidden="1" customWidth="1"/>
    <col min="13" max="13" width="10.81640625" customWidth="1"/>
    <col min="14" max="14" width="12.26953125" customWidth="1"/>
    <col min="15" max="15" width="13" customWidth="1"/>
    <col min="16" max="16" width="9.81640625" customWidth="1"/>
    <col min="17" max="17" width="10.81640625" customWidth="1"/>
    <col min="18" max="18" width="21.6328125" customWidth="1"/>
    <col min="21" max="21" width="12.1796875" customWidth="1"/>
  </cols>
  <sheetData>
    <row r="1" spans="1:11" x14ac:dyDescent="0.35">
      <c r="A1" s="1" t="s">
        <v>110</v>
      </c>
      <c r="B1" s="1"/>
    </row>
    <row r="2" spans="1:11" x14ac:dyDescent="0.35">
      <c r="A2" s="1"/>
      <c r="B2" s="1"/>
    </row>
    <row r="3" spans="1:11" ht="32" customHeight="1" x14ac:dyDescent="0.35">
      <c r="A3" s="98" t="s">
        <v>169</v>
      </c>
      <c r="B3" s="98"/>
      <c r="C3" s="98"/>
      <c r="D3" s="98"/>
      <c r="E3" s="98"/>
      <c r="F3" s="98"/>
      <c r="G3" s="98"/>
      <c r="H3" s="63"/>
      <c r="I3" s="63"/>
      <c r="J3" s="63"/>
      <c r="K3" s="63"/>
    </row>
    <row r="4" spans="1:11" x14ac:dyDescent="0.35">
      <c r="A4" s="64" t="s">
        <v>39</v>
      </c>
      <c r="B4" s="64" t="s">
        <v>43</v>
      </c>
      <c r="C4" s="99" t="s">
        <v>44</v>
      </c>
      <c r="D4" s="100"/>
      <c r="E4" s="100"/>
      <c r="F4" s="100"/>
      <c r="G4" s="101"/>
    </row>
    <row r="5" spans="1:11" x14ac:dyDescent="0.35">
      <c r="A5" s="65" t="s">
        <v>52</v>
      </c>
      <c r="B5" s="65"/>
      <c r="C5" s="102"/>
      <c r="D5" s="102"/>
      <c r="E5" s="102"/>
      <c r="F5" s="102"/>
      <c r="G5" s="102"/>
    </row>
    <row r="6" spans="1:11" x14ac:dyDescent="0.35">
      <c r="A6" s="66" t="s">
        <v>40</v>
      </c>
      <c r="B6" s="66" t="s">
        <v>184</v>
      </c>
      <c r="C6" s="103" t="s">
        <v>183</v>
      </c>
      <c r="D6" s="103"/>
      <c r="E6" s="103"/>
      <c r="F6" s="103"/>
      <c r="G6" s="103"/>
    </row>
    <row r="7" spans="1:11" x14ac:dyDescent="0.35">
      <c r="A7" s="66" t="s">
        <v>41</v>
      </c>
      <c r="B7" s="66" t="s">
        <v>184</v>
      </c>
      <c r="C7" s="97" t="s">
        <v>181</v>
      </c>
      <c r="D7" s="97"/>
      <c r="E7" s="97"/>
      <c r="F7" s="97"/>
      <c r="G7" s="97"/>
    </row>
    <row r="8" spans="1:11" x14ac:dyDescent="0.35">
      <c r="A8" s="66" t="s">
        <v>42</v>
      </c>
      <c r="B8" s="66" t="s">
        <v>184</v>
      </c>
      <c r="C8" s="103" t="s">
        <v>183</v>
      </c>
      <c r="D8" s="103"/>
      <c r="E8" s="103"/>
      <c r="F8" s="103"/>
      <c r="G8" s="103"/>
    </row>
    <row r="9" spans="1:11" x14ac:dyDescent="0.35">
      <c r="A9" s="66" t="s">
        <v>165</v>
      </c>
      <c r="B9" s="66" t="s">
        <v>184</v>
      </c>
      <c r="C9" s="97" t="s">
        <v>182</v>
      </c>
      <c r="D9" s="97"/>
      <c r="E9" s="97"/>
      <c r="F9" s="97"/>
      <c r="G9" s="97"/>
    </row>
    <row r="10" spans="1:11" x14ac:dyDescent="0.35">
      <c r="A10" s="66"/>
      <c r="B10" s="66"/>
      <c r="C10" s="97"/>
      <c r="D10" s="97"/>
      <c r="E10" s="97"/>
      <c r="F10" s="97"/>
      <c r="G10" s="97"/>
    </row>
    <row r="11" spans="1:11" x14ac:dyDescent="0.35">
      <c r="A11" s="66"/>
      <c r="B11" s="66"/>
      <c r="C11" s="97"/>
      <c r="D11" s="97"/>
      <c r="E11" s="97"/>
      <c r="F11" s="97"/>
      <c r="G11" s="97"/>
    </row>
    <row r="12" spans="1:11" x14ac:dyDescent="0.35">
      <c r="A12" s="16"/>
      <c r="B12" s="2"/>
      <c r="C12"/>
    </row>
    <row r="13" spans="1:11" x14ac:dyDescent="0.35">
      <c r="A13" s="19" t="s">
        <v>46</v>
      </c>
      <c r="B13" s="2"/>
      <c r="C13"/>
    </row>
    <row r="14" spans="1:11" x14ac:dyDescent="0.35">
      <c r="A14" s="20" t="s">
        <v>53</v>
      </c>
    </row>
    <row r="15" spans="1:11" x14ac:dyDescent="0.35">
      <c r="A15" s="22" t="s">
        <v>48</v>
      </c>
      <c r="B15" s="19"/>
    </row>
    <row r="16" spans="1:11" x14ac:dyDescent="0.35">
      <c r="A16" s="21" t="s">
        <v>47</v>
      </c>
    </row>
    <row r="18" spans="1:14" x14ac:dyDescent="0.35">
      <c r="A18" s="1" t="s">
        <v>54</v>
      </c>
      <c r="D18" s="20" t="s">
        <v>188</v>
      </c>
    </row>
    <row r="20" spans="1:14" x14ac:dyDescent="0.35">
      <c r="A20" s="1" t="s">
        <v>32</v>
      </c>
      <c r="B20" s="1" t="s">
        <v>112</v>
      </c>
      <c r="C20" s="13" t="s">
        <v>113</v>
      </c>
    </row>
    <row r="21" spans="1:14" x14ac:dyDescent="0.35">
      <c r="A21" t="s">
        <v>111</v>
      </c>
      <c r="B21" s="12">
        <v>5.73</v>
      </c>
      <c r="C21" s="12">
        <v>6</v>
      </c>
      <c r="D21" s="23" t="s">
        <v>114</v>
      </c>
    </row>
    <row r="22" spans="1:14" x14ac:dyDescent="0.35">
      <c r="A22" t="s">
        <v>145</v>
      </c>
      <c r="B22" s="12">
        <v>11</v>
      </c>
      <c r="C22" s="12">
        <v>10.1</v>
      </c>
      <c r="D22" s="11" t="s">
        <v>34</v>
      </c>
    </row>
    <row r="24" spans="1:14" s="1" customFormat="1" x14ac:dyDescent="0.35">
      <c r="A24" s="57" t="s">
        <v>35</v>
      </c>
      <c r="B24" s="57" t="s">
        <v>49</v>
      </c>
      <c r="C24" s="58" t="s">
        <v>5</v>
      </c>
      <c r="D24" s="58" t="s">
        <v>6</v>
      </c>
      <c r="E24" s="58" t="s">
        <v>7</v>
      </c>
      <c r="F24" s="58" t="s">
        <v>8</v>
      </c>
      <c r="G24" s="58" t="s">
        <v>9</v>
      </c>
      <c r="H24" s="58" t="s">
        <v>10</v>
      </c>
      <c r="I24" s="58" t="s">
        <v>11</v>
      </c>
      <c r="J24" s="58" t="s">
        <v>12</v>
      </c>
      <c r="K24" s="58" t="s">
        <v>36</v>
      </c>
      <c r="L24" s="58" t="s">
        <v>37</v>
      </c>
      <c r="M24" s="58" t="s">
        <v>108</v>
      </c>
      <c r="N24" s="58" t="s">
        <v>221</v>
      </c>
    </row>
    <row r="25" spans="1:14" x14ac:dyDescent="0.35">
      <c r="A25" s="1" t="s">
        <v>45</v>
      </c>
      <c r="B25" s="1"/>
      <c r="C25" s="45">
        <v>11</v>
      </c>
      <c r="D25" s="45">
        <f>C25</f>
        <v>11</v>
      </c>
      <c r="E25" s="45">
        <f t="shared" ref="E25:G25" si="0">D25</f>
        <v>11</v>
      </c>
      <c r="F25" s="45">
        <f t="shared" si="0"/>
        <v>11</v>
      </c>
      <c r="G25" s="45">
        <f t="shared" si="0"/>
        <v>11</v>
      </c>
      <c r="H25" s="45"/>
      <c r="I25" s="45"/>
      <c r="J25" s="45"/>
      <c r="K25" s="45"/>
      <c r="L25" s="45"/>
    </row>
    <row r="26" spans="1:14" x14ac:dyDescent="0.35">
      <c r="A26" s="1" t="s">
        <v>123</v>
      </c>
      <c r="B26" s="1"/>
      <c r="C26" s="12">
        <f>IF(C$25&lt;&gt;"",0.8,"")</f>
        <v>0.8</v>
      </c>
      <c r="D26" s="12">
        <f t="shared" ref="D26:L26" si="1">IF(D$25&lt;&gt;"",0.8,"")</f>
        <v>0.8</v>
      </c>
      <c r="E26" s="12">
        <f t="shared" si="1"/>
        <v>0.8</v>
      </c>
      <c r="F26" s="12">
        <f t="shared" si="1"/>
        <v>0.8</v>
      </c>
      <c r="G26" s="12">
        <f t="shared" si="1"/>
        <v>0.8</v>
      </c>
      <c r="H26" s="12" t="str">
        <f t="shared" si="1"/>
        <v/>
      </c>
      <c r="I26" s="12" t="str">
        <f t="shared" si="1"/>
        <v/>
      </c>
      <c r="J26" s="12" t="str">
        <f t="shared" si="1"/>
        <v/>
      </c>
      <c r="K26" s="12" t="str">
        <f t="shared" si="1"/>
        <v/>
      </c>
      <c r="L26" s="12" t="str">
        <f t="shared" si="1"/>
        <v/>
      </c>
    </row>
    <row r="27" spans="1:14" x14ac:dyDescent="0.35">
      <c r="A27" s="1" t="s">
        <v>126</v>
      </c>
      <c r="B27" s="14">
        <f>SUM(B28:B33)-SUM(B22:C22)</f>
        <v>0</v>
      </c>
      <c r="C27" s="14">
        <f>IF(C$25&lt;&gt;"",SUM(B22:C22),"")</f>
        <v>21.1</v>
      </c>
      <c r="D27" s="14">
        <f>IF(D$25&lt;&gt;"",C89,"")</f>
        <v>18.702087997956422</v>
      </c>
      <c r="E27" s="14">
        <f t="shared" ref="E27:L27" si="2">IF(E$25&lt;&gt;"",D89,"")</f>
        <v>16.415286880456996</v>
      </c>
      <c r="F27" s="14">
        <f t="shared" si="2"/>
        <v>15.064095076101138</v>
      </c>
      <c r="G27" s="14">
        <f t="shared" si="2"/>
        <v>14.750680962076862</v>
      </c>
      <c r="H27" s="14" t="str">
        <f t="shared" si="2"/>
        <v/>
      </c>
      <c r="I27" s="14" t="str">
        <f t="shared" si="2"/>
        <v/>
      </c>
      <c r="J27" s="14" t="str">
        <f t="shared" si="2"/>
        <v/>
      </c>
      <c r="K27" s="14" t="str">
        <f t="shared" si="2"/>
        <v/>
      </c>
      <c r="L27" s="14" t="str">
        <f t="shared" si="2"/>
        <v/>
      </c>
    </row>
    <row r="28" spans="1:14" x14ac:dyDescent="0.35">
      <c r="A28" t="str">
        <f>IF(A6="","","    "&amp;A6&amp;" Balance")</f>
        <v xml:space="preserve">    Upper Basin Balance</v>
      </c>
      <c r="B28" s="55">
        <f>B22</f>
        <v>11</v>
      </c>
      <c r="C28" s="14">
        <f>IF(OR(C$25="",$A28=""),"",B28)</f>
        <v>11</v>
      </c>
      <c r="D28" s="14">
        <f>IF(OR(D$25="",$A28=""),"",C83)</f>
        <v>9.0322571336493027</v>
      </c>
      <c r="E28" s="14">
        <f t="shared" ref="E28:L28" si="3">IF(OR(E$25="",$A28=""),"",D83)</f>
        <v>7.1385464313993898</v>
      </c>
      <c r="F28" s="14">
        <f t="shared" si="3"/>
        <v>6.1</v>
      </c>
      <c r="G28" s="14">
        <f t="shared" si="3"/>
        <v>6.1</v>
      </c>
      <c r="H28" s="14" t="str">
        <f t="shared" si="3"/>
        <v/>
      </c>
      <c r="I28" s="14" t="str">
        <f t="shared" si="3"/>
        <v/>
      </c>
      <c r="J28" s="14" t="str">
        <f t="shared" si="3"/>
        <v/>
      </c>
      <c r="K28" s="14" t="str">
        <f t="shared" si="3"/>
        <v/>
      </c>
      <c r="L28" s="14" t="str">
        <f t="shared" si="3"/>
        <v/>
      </c>
      <c r="N28" t="s">
        <v>222</v>
      </c>
    </row>
    <row r="29" spans="1:14" x14ac:dyDescent="0.35">
      <c r="A29" t="str">
        <f t="shared" ref="A29:A33" si="4">IF(A7="","","    "&amp;A7&amp;" Balance")</f>
        <v xml:space="preserve">    Lower Basin Balance</v>
      </c>
      <c r="B29" s="55">
        <f>C22-B30</f>
        <v>10.058999999999999</v>
      </c>
      <c r="C29" s="14">
        <f t="shared" ref="C29:C33" si="5">IF(OR(C$25="",$A29=""),"",B29)</f>
        <v>10.058999999999999</v>
      </c>
      <c r="D29" s="14">
        <f t="shared" ref="D29:L33" si="6">IF(OR(D$25="",$A29=""),"",C84)</f>
        <v>9.6698308643071194</v>
      </c>
      <c r="E29" s="14">
        <f t="shared" si="6"/>
        <v>9.2767404490576055</v>
      </c>
      <c r="F29" s="14">
        <f t="shared" si="6"/>
        <v>8.9640950761011382</v>
      </c>
      <c r="G29" s="14">
        <f t="shared" si="6"/>
        <v>8.6506809620768621</v>
      </c>
      <c r="H29" s="14" t="str">
        <f t="shared" si="6"/>
        <v/>
      </c>
      <c r="I29" s="14" t="str">
        <f t="shared" si="6"/>
        <v/>
      </c>
      <c r="J29" s="14" t="str">
        <f t="shared" si="6"/>
        <v/>
      </c>
      <c r="K29" s="14" t="str">
        <f t="shared" si="6"/>
        <v/>
      </c>
      <c r="L29" s="14" t="str">
        <f t="shared" si="6"/>
        <v/>
      </c>
      <c r="N29" t="s">
        <v>223</v>
      </c>
    </row>
    <row r="30" spans="1:14" x14ac:dyDescent="0.35">
      <c r="A30" t="str">
        <f t="shared" si="4"/>
        <v xml:space="preserve">    Mexico Balance</v>
      </c>
      <c r="B30" s="106">
        <v>4.1000000000000002E-2</v>
      </c>
      <c r="C30" s="14">
        <f t="shared" si="5"/>
        <v>4.1000000000000002E-2</v>
      </c>
      <c r="D30" s="14">
        <f t="shared" si="6"/>
        <v>0</v>
      </c>
      <c r="E30" s="14">
        <f t="shared" si="6"/>
        <v>0</v>
      </c>
      <c r="F30" s="14">
        <f t="shared" si="6"/>
        <v>0</v>
      </c>
      <c r="G30" s="14">
        <f t="shared" si="6"/>
        <v>0</v>
      </c>
      <c r="H30" s="14" t="str">
        <f t="shared" si="6"/>
        <v/>
      </c>
      <c r="I30" s="14" t="str">
        <f t="shared" si="6"/>
        <v/>
      </c>
      <c r="J30" s="14" t="str">
        <f t="shared" si="6"/>
        <v/>
      </c>
      <c r="K30" s="14" t="str">
        <f t="shared" si="6"/>
        <v/>
      </c>
      <c r="L30" s="14" t="str">
        <f t="shared" si="6"/>
        <v/>
      </c>
      <c r="N30" t="s">
        <v>224</v>
      </c>
    </row>
    <row r="31" spans="1:14" x14ac:dyDescent="0.35">
      <c r="A31" t="str">
        <f t="shared" si="4"/>
        <v xml:space="preserve">    Mohave &amp; Havasu Evap &amp; ET Balance</v>
      </c>
      <c r="B31" s="56">
        <v>0</v>
      </c>
      <c r="C31" s="14">
        <f t="shared" si="5"/>
        <v>0</v>
      </c>
      <c r="D31" s="14">
        <f t="shared" si="6"/>
        <v>0</v>
      </c>
      <c r="E31" s="14">
        <f t="shared" si="6"/>
        <v>0</v>
      </c>
      <c r="F31" s="14">
        <f t="shared" si="6"/>
        <v>0</v>
      </c>
      <c r="G31" s="14">
        <f t="shared" si="6"/>
        <v>0</v>
      </c>
      <c r="H31" s="14" t="str">
        <f t="shared" si="6"/>
        <v/>
      </c>
      <c r="I31" s="14" t="str">
        <f t="shared" si="6"/>
        <v/>
      </c>
      <c r="J31" s="14" t="str">
        <f t="shared" si="6"/>
        <v/>
      </c>
      <c r="K31" s="14" t="str">
        <f t="shared" si="6"/>
        <v/>
      </c>
      <c r="L31" s="14" t="str">
        <f t="shared" si="6"/>
        <v/>
      </c>
    </row>
    <row r="32" spans="1:14" x14ac:dyDescent="0.35">
      <c r="A32" t="str">
        <f t="shared" si="4"/>
        <v/>
      </c>
      <c r="B32" s="56"/>
      <c r="C32" s="14" t="str">
        <f t="shared" si="5"/>
        <v/>
      </c>
      <c r="D32" s="14" t="str">
        <f t="shared" si="6"/>
        <v/>
      </c>
      <c r="E32" s="14" t="str">
        <f t="shared" si="6"/>
        <v/>
      </c>
      <c r="F32" s="14" t="str">
        <f t="shared" si="6"/>
        <v/>
      </c>
      <c r="G32" s="14" t="str">
        <f t="shared" si="6"/>
        <v/>
      </c>
      <c r="H32" s="14" t="str">
        <f t="shared" si="6"/>
        <v/>
      </c>
      <c r="I32" s="14" t="str">
        <f t="shared" si="6"/>
        <v/>
      </c>
      <c r="J32" s="14" t="str">
        <f t="shared" si="6"/>
        <v/>
      </c>
      <c r="K32" s="14" t="str">
        <f t="shared" si="6"/>
        <v/>
      </c>
      <c r="L32" s="14" t="str">
        <f t="shared" si="6"/>
        <v/>
      </c>
    </row>
    <row r="33" spans="1:12" x14ac:dyDescent="0.35">
      <c r="A33" t="str">
        <f t="shared" si="4"/>
        <v/>
      </c>
      <c r="B33" s="56"/>
      <c r="C33" s="14" t="str">
        <f t="shared" si="5"/>
        <v/>
      </c>
      <c r="D33" s="14" t="str">
        <f t="shared" si="6"/>
        <v/>
      </c>
      <c r="E33" s="14" t="str">
        <f t="shared" si="6"/>
        <v/>
      </c>
      <c r="F33" s="14" t="str">
        <f t="shared" si="6"/>
        <v/>
      </c>
      <c r="G33" s="14" t="str">
        <f t="shared" si="6"/>
        <v/>
      </c>
      <c r="H33" s="14" t="str">
        <f t="shared" si="6"/>
        <v/>
      </c>
      <c r="I33" s="14" t="str">
        <f t="shared" si="6"/>
        <v/>
      </c>
      <c r="J33" s="14" t="str">
        <f t="shared" si="6"/>
        <v/>
      </c>
      <c r="K33" s="14" t="str">
        <f t="shared" si="6"/>
        <v/>
      </c>
      <c r="L33" s="14" t="str">
        <f t="shared" si="6"/>
        <v/>
      </c>
    </row>
    <row r="34" spans="1:12" x14ac:dyDescent="0.35">
      <c r="A34" s="1" t="s">
        <v>117</v>
      </c>
      <c r="C34"/>
    </row>
    <row r="35" spans="1:12" x14ac:dyDescent="0.35">
      <c r="A35" t="s">
        <v>115</v>
      </c>
      <c r="B35" s="35">
        <v>0.5</v>
      </c>
      <c r="C35" s="14">
        <f>IF(C$25&lt;&gt;"",B22,"")</f>
        <v>11</v>
      </c>
      <c r="D35" s="14">
        <f t="shared" ref="D35:L36" si="7">IF(D25&lt;&gt;"",$B35*D$27,"")</f>
        <v>9.351043998978211</v>
      </c>
      <c r="E35" s="14">
        <f t="shared" si="7"/>
        <v>8.2076434402284981</v>
      </c>
      <c r="F35" s="14">
        <f t="shared" si="7"/>
        <v>7.5320475380505689</v>
      </c>
      <c r="G35" s="14">
        <f t="shared" si="7"/>
        <v>7.3753404810384309</v>
      </c>
      <c r="H35" s="14" t="str">
        <f t="shared" si="7"/>
        <v/>
      </c>
      <c r="I35" s="14" t="str">
        <f t="shared" si="7"/>
        <v/>
      </c>
      <c r="J35" s="14" t="str">
        <f t="shared" si="7"/>
        <v/>
      </c>
      <c r="K35" s="14" t="str">
        <f t="shared" si="7"/>
        <v/>
      </c>
      <c r="L35" s="14" t="str">
        <f t="shared" si="7"/>
        <v/>
      </c>
    </row>
    <row r="36" spans="1:12" x14ac:dyDescent="0.35">
      <c r="A36" t="s">
        <v>116</v>
      </c>
      <c r="B36" s="35">
        <f>1-B35</f>
        <v>0.5</v>
      </c>
      <c r="C36" s="14">
        <f>IF(C$25&lt;&gt;"",C22,"")</f>
        <v>10.1</v>
      </c>
      <c r="D36" s="14">
        <f t="shared" si="7"/>
        <v>9.351043998978211</v>
      </c>
      <c r="E36" s="14">
        <f t="shared" si="7"/>
        <v>8.2076434402284981</v>
      </c>
      <c r="F36" s="14">
        <f t="shared" si="7"/>
        <v>7.5320475380505689</v>
      </c>
      <c r="G36" s="14">
        <f t="shared" si="7"/>
        <v>7.3753404810384309</v>
      </c>
      <c r="H36" s="14" t="str">
        <f t="shared" si="7"/>
        <v/>
      </c>
      <c r="I36" s="14" t="str">
        <f t="shared" si="7"/>
        <v/>
      </c>
      <c r="J36" s="14" t="str">
        <f t="shared" si="7"/>
        <v/>
      </c>
      <c r="K36" s="14" t="str">
        <f t="shared" si="7"/>
        <v/>
      </c>
      <c r="L36" s="14" t="str">
        <f t="shared" si="7"/>
        <v/>
      </c>
    </row>
    <row r="37" spans="1:12" x14ac:dyDescent="0.35">
      <c r="A37" s="1" t="s">
        <v>121</v>
      </c>
      <c r="B37" s="1"/>
      <c r="C37" s="14">
        <f>IF(C$25&lt;&gt;"",VLOOKUP(C35*1000000,'Powell-Elevation-Area'!$B$5:$D$689,3)*$B$21/1000000 + VLOOKUP(C36*1000000,'Mead-Elevation-Area'!$B$5:$D$676,3)*$C$21/1000000,"")</f>
        <v>1.0218976799999733</v>
      </c>
      <c r="D37" s="14">
        <f>IF(D$25&lt;&gt;"",VLOOKUP(D35*1000000,'Powell-Elevation-Area'!$B$5:$D$689,3)*$B$21/1000000 + VLOOKUP(D36*1000000,'Mead-Elevation-Area'!$B$5:$D$676,3)*$C$21/1000000,"")</f>
        <v>0.94980111749942708</v>
      </c>
      <c r="E37" s="14">
        <f>IF(E$25&lt;&gt;"",VLOOKUP(E35*1000000,'Powell-Elevation-Area'!$B$5:$D$689,3)*$B$21/1000000 + VLOOKUP(E36*1000000,'Mead-Elevation-Area'!$B$5:$D$676,3)*$C$21/1000000,"")</f>
        <v>0.87881905500117308</v>
      </c>
      <c r="F37" s="14">
        <f>IF(F$25&lt;&gt;"",VLOOKUP(F35*1000000,'Powell-Elevation-Area'!$B$5:$D$689,3)*$B$21/1000000 + VLOOKUP(F36*1000000,'Mead-Elevation-Area'!$B$5:$D$676,3)*$C$21/1000000,"")</f>
        <v>0.83590071750057304</v>
      </c>
      <c r="G37" s="14">
        <f>IF(G$25&lt;&gt;"",VLOOKUP(G35*1000000,'Powell-Elevation-Area'!$B$5:$D$689,3)*$B$21/1000000 + VLOOKUP(G36*1000000,'Mead-Elevation-Area'!$B$5:$D$676,3)*$C$21/1000000,"")</f>
        <v>0.82682864249940002</v>
      </c>
      <c r="H37" s="14" t="str">
        <f>IF(H$25&lt;&gt;"",VLOOKUP(H35*1000000,'Powell-Elevation-Area'!$B$5:$D$689,3)*$B$21/1000000 + VLOOKUP(H36*1000000,'Mead-Elevation-Area'!$B$5:$D$676,3)*$C$21/1000000,"")</f>
        <v/>
      </c>
      <c r="I37" s="14" t="str">
        <f>IF(I$25&lt;&gt;"",VLOOKUP(I35*1000000,'Powell-Elevation-Area'!$B$5:$D$689,3)*$B$21/1000000 + VLOOKUP(I36*1000000,'Mead-Elevation-Area'!$B$5:$D$676,3)*$C$21/1000000,"")</f>
        <v/>
      </c>
      <c r="J37" s="14" t="str">
        <f>IF(J$25&lt;&gt;"",VLOOKUP(J35*1000000,'Powell-Elevation-Area'!$B$5:$D$689,3)*$B$21/1000000 + VLOOKUP(J36*1000000,'Mead-Elevation-Area'!$B$5:$D$676,3)*$C$21/1000000,"")</f>
        <v/>
      </c>
      <c r="K37" s="14" t="str">
        <f>IF(K$25&lt;&gt;"",VLOOKUP(K35*1000000,'Powell-Elevation-Area'!$B$5:$D$689,3)*$B$21/1000000 + VLOOKUP(K36*1000000,'Mead-Elevation-Area'!$B$5:$D$676,3)*$C$21/1000000,"")</f>
        <v/>
      </c>
      <c r="L37" s="14" t="str">
        <f>IF(L$25&lt;&gt;"",VLOOKUP(L35*1000000,'Powell-Elevation-Area'!$B$5:$D$689,3)*$B$21/1000000 + VLOOKUP(L36*1000000,'Mead-Elevation-Area'!$B$5:$D$676,3)*$C$21/1000000,"")</f>
        <v/>
      </c>
    </row>
    <row r="38" spans="1:12" x14ac:dyDescent="0.35">
      <c r="A38" t="str">
        <f>IF(A6="","","    "&amp;A6&amp;" Share")</f>
        <v xml:space="preserve">    Upper Basin Share</v>
      </c>
      <c r="B38" s="1"/>
      <c r="C38" s="14">
        <f>IF(OR(C$25="",$A38=""),"",C$37*C28/C$27)</f>
        <v>0.5327428663506969</v>
      </c>
      <c r="D38" s="14">
        <f t="shared" ref="D38:L38" si="8">IF(OR(D$25="",$A38=""),"",D$37*D28/D$27)</f>
        <v>0.45871070224991406</v>
      </c>
      <c r="E38" s="14">
        <f t="shared" si="8"/>
        <v>0.38217368204470614</v>
      </c>
      <c r="F38" s="14">
        <f t="shared" si="8"/>
        <v>0.33848660347629778</v>
      </c>
      <c r="G38" s="14">
        <f t="shared" si="8"/>
        <v>0.3419269071179345</v>
      </c>
      <c r="H38" s="14" t="str">
        <f t="shared" si="8"/>
        <v/>
      </c>
      <c r="I38" s="14" t="str">
        <f t="shared" si="8"/>
        <v/>
      </c>
      <c r="J38" s="14" t="str">
        <f t="shared" si="8"/>
        <v/>
      </c>
      <c r="K38" s="14" t="str">
        <f t="shared" si="8"/>
        <v/>
      </c>
      <c r="L38" s="14" t="str">
        <f t="shared" si="8"/>
        <v/>
      </c>
    </row>
    <row r="39" spans="1:12" x14ac:dyDescent="0.35">
      <c r="A39" t="str">
        <f t="shared" ref="A39:A43" si="9">IF(A7="","","    "&amp;A7&amp;" Share")</f>
        <v xml:space="preserve">    Lower Basin Share</v>
      </c>
      <c r="B39" s="1"/>
      <c r="C39" s="14">
        <f t="shared" ref="C39:L43" si="10">IF(OR(C$25="",$A39=""),"",C$37*C29/C$27)</f>
        <v>0.48716913569287823</v>
      </c>
      <c r="D39" s="14">
        <f t="shared" si="10"/>
        <v>0.49109041524951297</v>
      </c>
      <c r="E39" s="14">
        <f t="shared" si="10"/>
        <v>0.49664537295646694</v>
      </c>
      <c r="F39" s="14">
        <f t="shared" si="10"/>
        <v>0.49741411402427532</v>
      </c>
      <c r="G39" s="14">
        <f t="shared" si="10"/>
        <v>0.48490173538146553</v>
      </c>
      <c r="H39" s="14" t="str">
        <f t="shared" si="10"/>
        <v/>
      </c>
      <c r="I39" s="14" t="str">
        <f t="shared" si="10"/>
        <v/>
      </c>
      <c r="J39" s="14" t="str">
        <f t="shared" si="10"/>
        <v/>
      </c>
      <c r="K39" s="14" t="str">
        <f t="shared" si="10"/>
        <v/>
      </c>
      <c r="L39" s="14" t="str">
        <f t="shared" si="10"/>
        <v/>
      </c>
    </row>
    <row r="40" spans="1:12" x14ac:dyDescent="0.35">
      <c r="A40" t="str">
        <f t="shared" si="9"/>
        <v xml:space="preserve">    Mexico Share</v>
      </c>
      <c r="B40" s="1"/>
      <c r="C40" s="14">
        <f t="shared" si="10"/>
        <v>1.9856779563980523E-3</v>
      </c>
      <c r="D40" s="14">
        <f t="shared" si="10"/>
        <v>0</v>
      </c>
      <c r="E40" s="14">
        <f t="shared" si="10"/>
        <v>0</v>
      </c>
      <c r="F40" s="14">
        <f t="shared" si="10"/>
        <v>0</v>
      </c>
      <c r="G40" s="14">
        <f t="shared" si="10"/>
        <v>0</v>
      </c>
      <c r="H40" s="14" t="str">
        <f t="shared" si="10"/>
        <v/>
      </c>
      <c r="I40" s="14" t="str">
        <f t="shared" si="10"/>
        <v/>
      </c>
      <c r="J40" s="14" t="str">
        <f t="shared" si="10"/>
        <v/>
      </c>
      <c r="K40" s="14" t="str">
        <f t="shared" si="10"/>
        <v/>
      </c>
      <c r="L40" s="14" t="str">
        <f t="shared" si="10"/>
        <v/>
      </c>
    </row>
    <row r="41" spans="1:12" x14ac:dyDescent="0.35">
      <c r="A41" t="str">
        <f t="shared" si="9"/>
        <v xml:space="preserve">    Mohave &amp; Havasu Evap &amp; ET Share</v>
      </c>
      <c r="B41" s="1"/>
      <c r="C41" s="14">
        <f t="shared" si="10"/>
        <v>0</v>
      </c>
      <c r="D41" s="14">
        <f t="shared" si="10"/>
        <v>0</v>
      </c>
      <c r="E41" s="14">
        <f t="shared" si="10"/>
        <v>0</v>
      </c>
      <c r="F41" s="14">
        <f t="shared" si="10"/>
        <v>0</v>
      </c>
      <c r="G41" s="14">
        <f t="shared" si="10"/>
        <v>0</v>
      </c>
      <c r="H41" s="14" t="str">
        <f t="shared" si="10"/>
        <v/>
      </c>
      <c r="I41" s="14" t="str">
        <f t="shared" si="10"/>
        <v/>
      </c>
      <c r="J41" s="14" t="str">
        <f t="shared" si="10"/>
        <v/>
      </c>
      <c r="K41" s="14" t="str">
        <f t="shared" si="10"/>
        <v/>
      </c>
      <c r="L41" s="14" t="str">
        <f t="shared" si="10"/>
        <v/>
      </c>
    </row>
    <row r="42" spans="1:12" x14ac:dyDescent="0.35">
      <c r="A42" t="str">
        <f t="shared" si="9"/>
        <v/>
      </c>
      <c r="B42" s="1"/>
      <c r="C42" s="14" t="str">
        <f t="shared" si="10"/>
        <v/>
      </c>
      <c r="D42" s="14" t="str">
        <f t="shared" si="10"/>
        <v/>
      </c>
      <c r="E42" s="14" t="str">
        <f t="shared" si="10"/>
        <v/>
      </c>
      <c r="F42" s="14" t="str">
        <f t="shared" si="10"/>
        <v/>
      </c>
      <c r="G42" s="14" t="str">
        <f t="shared" si="10"/>
        <v/>
      </c>
      <c r="H42" s="14" t="str">
        <f t="shared" si="10"/>
        <v/>
      </c>
      <c r="I42" s="14" t="str">
        <f t="shared" si="10"/>
        <v/>
      </c>
      <c r="J42" s="14" t="str">
        <f t="shared" si="10"/>
        <v/>
      </c>
      <c r="K42" s="14" t="str">
        <f t="shared" si="10"/>
        <v/>
      </c>
      <c r="L42" s="14" t="str">
        <f t="shared" si="10"/>
        <v/>
      </c>
    </row>
    <row r="43" spans="1:12" x14ac:dyDescent="0.35">
      <c r="A43" t="str">
        <f t="shared" si="9"/>
        <v/>
      </c>
      <c r="B43" s="1"/>
      <c r="C43" s="14" t="str">
        <f t="shared" si="10"/>
        <v/>
      </c>
      <c r="D43" s="14" t="str">
        <f t="shared" si="10"/>
        <v/>
      </c>
      <c r="E43" s="14" t="str">
        <f t="shared" si="10"/>
        <v/>
      </c>
      <c r="F43" s="14" t="str">
        <f t="shared" si="10"/>
        <v/>
      </c>
      <c r="G43" s="14" t="str">
        <f t="shared" si="10"/>
        <v/>
      </c>
      <c r="H43" s="14" t="str">
        <f t="shared" si="10"/>
        <v/>
      </c>
      <c r="I43" s="14" t="str">
        <f t="shared" si="10"/>
        <v/>
      </c>
      <c r="J43" s="14" t="str">
        <f t="shared" si="10"/>
        <v/>
      </c>
      <c r="K43" s="14" t="str">
        <f t="shared" si="10"/>
        <v/>
      </c>
      <c r="L43" s="14" t="str">
        <f t="shared" si="10"/>
        <v/>
      </c>
    </row>
    <row r="44" spans="1:12" x14ac:dyDescent="0.35">
      <c r="A44" s="1" t="s">
        <v>161</v>
      </c>
      <c r="B44" s="1"/>
      <c r="C44" s="50">
        <f>IF(C$25&lt;&gt;"",1.5-$B$50/9/2-IF(C$29&lt;$O$78,$Q$78,IF(C$29&lt;=$O$85,VLOOKUP(C$29,$O$78:$Q$85,3),0)),"")</f>
        <v>1.47</v>
      </c>
      <c r="D44" s="50">
        <f t="shared" ref="D44:L44" si="11">IF(D$25&lt;&gt;"",1.5-$B$50/9-IF(D$29&lt;$O$78,$Q$78,IF(D$29&lt;=$O$85,VLOOKUP(D$29,$O$78:$Q$85,3),0)),"")</f>
        <v>1.47</v>
      </c>
      <c r="E44" s="50">
        <f t="shared" si="11"/>
        <v>1.466</v>
      </c>
      <c r="F44" s="50">
        <f t="shared" si="11"/>
        <v>1.466</v>
      </c>
      <c r="G44" s="50">
        <f t="shared" si="11"/>
        <v>1.466</v>
      </c>
      <c r="H44" s="50" t="str">
        <f t="shared" si="11"/>
        <v/>
      </c>
      <c r="I44" s="50" t="str">
        <f t="shared" si="11"/>
        <v/>
      </c>
      <c r="J44" s="50" t="str">
        <f t="shared" si="11"/>
        <v/>
      </c>
      <c r="K44" s="50" t="str">
        <f t="shared" si="11"/>
        <v/>
      </c>
      <c r="L44" s="50" t="str">
        <f t="shared" si="11"/>
        <v/>
      </c>
    </row>
    <row r="45" spans="1:12" x14ac:dyDescent="0.35">
      <c r="A45" s="1" t="s">
        <v>162</v>
      </c>
      <c r="B45" s="1"/>
      <c r="C45"/>
    </row>
    <row r="46" spans="1:12" x14ac:dyDescent="0.35">
      <c r="A46" t="str">
        <f>IF(A6="","","    To "&amp;A6)</f>
        <v xml:space="preserve">    To Upper Basin</v>
      </c>
      <c r="B46" s="24" t="s">
        <v>164</v>
      </c>
      <c r="C46" s="14">
        <f>IF(OR(C$25="",$A4=""),"",MAX(0,C$25-SUM(C47:C48)))</f>
        <v>2.7650000000000006</v>
      </c>
      <c r="D46" s="14">
        <f t="shared" ref="D46:L46" si="12">IF(OR(D$25="",$A4=""),"",MAX(0,D$25-SUM(D47:D48)))</f>
        <v>2.7650000000000006</v>
      </c>
      <c r="E46" s="14">
        <f t="shared" si="12"/>
        <v>2.7650000000000006</v>
      </c>
      <c r="F46" s="14">
        <f t="shared" si="12"/>
        <v>2.7650000000000006</v>
      </c>
      <c r="G46" s="14">
        <f t="shared" si="12"/>
        <v>2.7650000000000006</v>
      </c>
      <c r="H46" s="14" t="str">
        <f t="shared" si="12"/>
        <v/>
      </c>
      <c r="I46" s="14" t="str">
        <f t="shared" si="12"/>
        <v/>
      </c>
      <c r="J46" s="14" t="str">
        <f t="shared" si="12"/>
        <v/>
      </c>
      <c r="K46" s="14" t="str">
        <f t="shared" si="12"/>
        <v/>
      </c>
      <c r="L46" s="14" t="str">
        <f t="shared" si="12"/>
        <v/>
      </c>
    </row>
    <row r="47" spans="1:12" x14ac:dyDescent="0.35">
      <c r="A47" t="str">
        <f t="shared" ref="A47:A51" si="13">IF(A7="","","    To "&amp;A7)</f>
        <v xml:space="preserve">    To Lower Basin</v>
      </c>
      <c r="B47" s="44">
        <f>7.5-$B$50</f>
        <v>7.5</v>
      </c>
      <c r="C47" s="14">
        <f>IF(OR(C$25="",$A47=""),"",IF(C$25&lt;$B48,0,IF(C$25&gt;$B47,$B47,C$25)))</f>
        <v>7.5</v>
      </c>
      <c r="D47" s="14">
        <f t="shared" ref="D47:L47" si="14">IF(OR(D$25="",$A47=""),"",IF(D$25&lt;$B48,0,IF(D$25&gt;$B47,$B47,D$25)))</f>
        <v>7.5</v>
      </c>
      <c r="E47" s="14">
        <f t="shared" si="14"/>
        <v>7.5</v>
      </c>
      <c r="F47" s="14">
        <f t="shared" si="14"/>
        <v>7.5</v>
      </c>
      <c r="G47" s="14">
        <f t="shared" si="14"/>
        <v>7.5</v>
      </c>
      <c r="H47" s="14" t="str">
        <f t="shared" si="14"/>
        <v/>
      </c>
      <c r="I47" s="14" t="str">
        <f t="shared" si="14"/>
        <v/>
      </c>
      <c r="J47" s="14" t="str">
        <f t="shared" si="14"/>
        <v/>
      </c>
      <c r="K47" s="14" t="str">
        <f t="shared" si="14"/>
        <v/>
      </c>
      <c r="L47" s="14" t="str">
        <f t="shared" si="14"/>
        <v/>
      </c>
    </row>
    <row r="48" spans="1:12" x14ac:dyDescent="0.35">
      <c r="A48" t="str">
        <f t="shared" si="13"/>
        <v xml:space="preserve">    To Mexico</v>
      </c>
      <c r="B48" s="44">
        <f>C44/2</f>
        <v>0.73499999999999999</v>
      </c>
      <c r="C48" s="14">
        <f>IF(OR(C$25="",$A48=""),"",IF(C$25&gt;$B48,$B48,C$25))</f>
        <v>0.73499999999999999</v>
      </c>
      <c r="D48" s="14">
        <f t="shared" ref="D48:L48" si="15">IF(OR(D$25="",$A48=""),"",IF(D$25&gt;$B48,$B48,D$25))</f>
        <v>0.73499999999999999</v>
      </c>
      <c r="E48" s="14">
        <f t="shared" si="15"/>
        <v>0.73499999999999999</v>
      </c>
      <c r="F48" s="14">
        <f t="shared" si="15"/>
        <v>0.73499999999999999</v>
      </c>
      <c r="G48" s="14">
        <f t="shared" si="15"/>
        <v>0.73499999999999999</v>
      </c>
      <c r="H48" s="14" t="str">
        <f t="shared" si="15"/>
        <v/>
      </c>
      <c r="I48" s="14" t="str">
        <f t="shared" si="15"/>
        <v/>
      </c>
      <c r="J48" s="14" t="str">
        <f t="shared" si="15"/>
        <v/>
      </c>
      <c r="K48" s="14" t="str">
        <f t="shared" si="15"/>
        <v/>
      </c>
      <c r="L48" s="14" t="str">
        <f t="shared" si="15"/>
        <v/>
      </c>
    </row>
    <row r="49" spans="1:13" x14ac:dyDescent="0.35">
      <c r="A49" t="str">
        <f t="shared" si="13"/>
        <v xml:space="preserve">    To Mohave &amp; Havasu Evap &amp; ET</v>
      </c>
      <c r="B49" s="44">
        <v>0</v>
      </c>
      <c r="C49" s="14">
        <f t="shared" ref="C49:L51" si="16">IF(OR(C$25="",$A49=""),"",IF(C$25&gt;$B49,$B49,C$25))</f>
        <v>0</v>
      </c>
      <c r="D49" s="14">
        <f t="shared" si="16"/>
        <v>0</v>
      </c>
      <c r="E49" s="14">
        <f t="shared" si="16"/>
        <v>0</v>
      </c>
      <c r="F49" s="14">
        <f t="shared" si="16"/>
        <v>0</v>
      </c>
      <c r="G49" s="14">
        <f t="shared" si="16"/>
        <v>0</v>
      </c>
      <c r="H49" s="14" t="str">
        <f t="shared" si="16"/>
        <v/>
      </c>
      <c r="I49" s="14" t="str">
        <f t="shared" si="16"/>
        <v/>
      </c>
      <c r="J49" s="14" t="str">
        <f t="shared" si="16"/>
        <v/>
      </c>
      <c r="K49" s="14" t="str">
        <f t="shared" si="16"/>
        <v/>
      </c>
      <c r="L49" s="14" t="str">
        <f t="shared" si="16"/>
        <v/>
      </c>
    </row>
    <row r="50" spans="1:13" x14ac:dyDescent="0.35">
      <c r="A50" t="str">
        <f t="shared" si="13"/>
        <v/>
      </c>
      <c r="B50" s="44"/>
      <c r="C50" s="14" t="str">
        <f t="shared" si="16"/>
        <v/>
      </c>
      <c r="D50" s="59" t="str">
        <f t="shared" si="16"/>
        <v/>
      </c>
      <c r="E50" s="59" t="str">
        <f t="shared" si="16"/>
        <v/>
      </c>
      <c r="F50" s="59" t="str">
        <f t="shared" si="16"/>
        <v/>
      </c>
      <c r="G50" s="59" t="str">
        <f t="shared" si="16"/>
        <v/>
      </c>
      <c r="H50" s="59" t="str">
        <f t="shared" si="16"/>
        <v/>
      </c>
      <c r="I50" s="59" t="str">
        <f t="shared" si="16"/>
        <v/>
      </c>
      <c r="J50" s="59" t="str">
        <f t="shared" si="16"/>
        <v/>
      </c>
      <c r="K50" s="59" t="str">
        <f t="shared" si="16"/>
        <v/>
      </c>
      <c r="L50" s="59" t="str">
        <f t="shared" si="16"/>
        <v/>
      </c>
    </row>
    <row r="51" spans="1:13" x14ac:dyDescent="0.35">
      <c r="A51" t="str">
        <f t="shared" si="13"/>
        <v/>
      </c>
      <c r="B51" s="44"/>
      <c r="C51" s="14" t="str">
        <f t="shared" si="16"/>
        <v/>
      </c>
      <c r="D51" s="14" t="str">
        <f t="shared" si="16"/>
        <v/>
      </c>
      <c r="E51" s="14" t="str">
        <f t="shared" si="16"/>
        <v/>
      </c>
      <c r="F51" s="14" t="str">
        <f t="shared" si="16"/>
        <v/>
      </c>
      <c r="G51" s="14" t="str">
        <f t="shared" si="16"/>
        <v/>
      </c>
      <c r="H51" s="14" t="str">
        <f t="shared" si="16"/>
        <v/>
      </c>
      <c r="I51" s="14" t="str">
        <f t="shared" si="16"/>
        <v/>
      </c>
      <c r="J51" s="14" t="str">
        <f t="shared" si="16"/>
        <v/>
      </c>
      <c r="K51" s="14" t="str">
        <f t="shared" si="16"/>
        <v/>
      </c>
      <c r="L51" s="14" t="str">
        <f t="shared" si="16"/>
        <v/>
      </c>
    </row>
    <row r="52" spans="1:13" x14ac:dyDescent="0.35">
      <c r="A52" s="1" t="s">
        <v>163</v>
      </c>
      <c r="B52" s="1"/>
      <c r="C52"/>
    </row>
    <row r="53" spans="1:13" x14ac:dyDescent="0.35">
      <c r="A53" t="str">
        <f>IF(A6="","","    To "&amp;A6)</f>
        <v xml:space="preserve">    To Upper Basin</v>
      </c>
      <c r="B53" s="24">
        <v>0</v>
      </c>
      <c r="C53" s="14">
        <f>IF(OR($A53="",C$25=""),"",IF(C$26&gt;$B53,$B53,C$26))</f>
        <v>0</v>
      </c>
      <c r="D53" s="14">
        <f t="shared" ref="D53:L53" si="17">IF(OR($A53="",D$25=""),"",IF(D$26&gt;$B53,$B53,D$26))</f>
        <v>0</v>
      </c>
      <c r="E53" s="14">
        <f t="shared" si="17"/>
        <v>0</v>
      </c>
      <c r="F53" s="14">
        <f t="shared" si="17"/>
        <v>0</v>
      </c>
      <c r="G53" s="14">
        <f t="shared" si="17"/>
        <v>0</v>
      </c>
      <c r="H53" s="14" t="str">
        <f t="shared" si="17"/>
        <v/>
      </c>
      <c r="I53" s="14" t="str">
        <f t="shared" si="17"/>
        <v/>
      </c>
      <c r="J53" s="14" t="str">
        <f t="shared" si="17"/>
        <v/>
      </c>
      <c r="K53" s="14" t="str">
        <f t="shared" si="17"/>
        <v/>
      </c>
      <c r="L53" s="14" t="str">
        <f t="shared" si="17"/>
        <v/>
      </c>
    </row>
    <row r="54" spans="1:13" x14ac:dyDescent="0.35">
      <c r="A54" t="str">
        <f t="shared" ref="A54:A58" si="18">IF(A7="","","    To "&amp;A7)</f>
        <v xml:space="preserve">    To Lower Basin</v>
      </c>
      <c r="B54" s="44" t="s">
        <v>164</v>
      </c>
      <c r="C54" s="14">
        <f>IF(OR(C$25="",$A54=""),"",C$26-SUM(C55:C56))</f>
        <v>-0.53499999999999992</v>
      </c>
      <c r="D54" s="14">
        <f t="shared" ref="D54:L54" si="19">IF(OR(D$25="",$A54=""),"",D$26-SUM(D55:D56))</f>
        <v>-0.53499999999999992</v>
      </c>
      <c r="E54" s="14">
        <f t="shared" si="19"/>
        <v>-0.53299999999999992</v>
      </c>
      <c r="F54" s="14">
        <f t="shared" si="19"/>
        <v>-0.53299999999999992</v>
      </c>
      <c r="G54" s="14">
        <f t="shared" si="19"/>
        <v>-0.53299999999999992</v>
      </c>
      <c r="H54" s="14" t="str">
        <f t="shared" si="19"/>
        <v/>
      </c>
      <c r="I54" s="14" t="str">
        <f t="shared" si="19"/>
        <v/>
      </c>
      <c r="J54" s="14" t="str">
        <f t="shared" si="19"/>
        <v/>
      </c>
      <c r="K54" s="14" t="str">
        <f t="shared" si="19"/>
        <v/>
      </c>
      <c r="L54" s="14" t="str">
        <f t="shared" si="19"/>
        <v/>
      </c>
    </row>
    <row r="55" spans="1:13" x14ac:dyDescent="0.35">
      <c r="A55" t="str">
        <f t="shared" si="18"/>
        <v xml:space="preserve">    To Mexico</v>
      </c>
      <c r="B55" s="44">
        <f>C44/2</f>
        <v>0.73499999999999999</v>
      </c>
      <c r="C55" s="14">
        <f>IF(OR(C$25="",$A55=""),"",C44/2)</f>
        <v>0.73499999999999999</v>
      </c>
      <c r="D55" s="14">
        <f t="shared" ref="D55:L55" si="20">IF(OR(D$25="",$A55=""),"",D44/2)</f>
        <v>0.73499999999999999</v>
      </c>
      <c r="E55" s="14">
        <f t="shared" si="20"/>
        <v>0.73299999999999998</v>
      </c>
      <c r="F55" s="14">
        <f t="shared" si="20"/>
        <v>0.73299999999999998</v>
      </c>
      <c r="G55" s="14">
        <f t="shared" si="20"/>
        <v>0.73299999999999998</v>
      </c>
      <c r="H55" s="14" t="str">
        <f t="shared" si="20"/>
        <v/>
      </c>
      <c r="I55" s="14" t="str">
        <f t="shared" si="20"/>
        <v/>
      </c>
      <c r="J55" s="14" t="str">
        <f t="shared" si="20"/>
        <v/>
      </c>
      <c r="K55" s="14" t="str">
        <f t="shared" si="20"/>
        <v/>
      </c>
      <c r="L55" s="14" t="str">
        <f t="shared" si="20"/>
        <v/>
      </c>
    </row>
    <row r="56" spans="1:13" x14ac:dyDescent="0.35">
      <c r="A56" t="str">
        <f t="shared" si="18"/>
        <v xml:space="preserve">    To Mohave &amp; Havasu Evap &amp; ET</v>
      </c>
      <c r="B56" s="44">
        <v>0.6</v>
      </c>
      <c r="C56" s="14">
        <f>IF(OR($A56="",C$25=""),"",IF(C$26&gt;$B56,$B56,C$26))</f>
        <v>0.6</v>
      </c>
      <c r="D56" s="14">
        <f t="shared" ref="D56:L56" si="21">IF(OR($A56="",D$25=""),"",IF(D$26&gt;$B56,$B56,D$26))</f>
        <v>0.6</v>
      </c>
      <c r="E56" s="14">
        <f t="shared" si="21"/>
        <v>0.6</v>
      </c>
      <c r="F56" s="14">
        <f t="shared" si="21"/>
        <v>0.6</v>
      </c>
      <c r="G56" s="14">
        <f t="shared" si="21"/>
        <v>0.6</v>
      </c>
      <c r="H56" s="14" t="str">
        <f t="shared" si="21"/>
        <v/>
      </c>
      <c r="I56" s="14" t="str">
        <f t="shared" si="21"/>
        <v/>
      </c>
      <c r="J56" s="14" t="str">
        <f t="shared" si="21"/>
        <v/>
      </c>
      <c r="K56" s="14" t="str">
        <f t="shared" si="21"/>
        <v/>
      </c>
      <c r="L56" s="14" t="str">
        <f t="shared" si="21"/>
        <v/>
      </c>
    </row>
    <row r="57" spans="1:13" x14ac:dyDescent="0.35">
      <c r="A57" t="str">
        <f t="shared" si="18"/>
        <v/>
      </c>
      <c r="B57" s="61"/>
      <c r="C57" s="14" t="str">
        <f t="shared" ref="C57:L58" si="22">IF(OR($A57="",C$25=""),"",IF(C$26&gt;$B57,$B57,C$26))</f>
        <v/>
      </c>
      <c r="D57" s="14" t="str">
        <f t="shared" si="22"/>
        <v/>
      </c>
      <c r="E57" s="14" t="str">
        <f t="shared" si="22"/>
        <v/>
      </c>
      <c r="F57" s="14" t="str">
        <f t="shared" si="22"/>
        <v/>
      </c>
      <c r="G57" s="14" t="str">
        <f t="shared" si="22"/>
        <v/>
      </c>
      <c r="H57" s="14" t="str">
        <f t="shared" si="22"/>
        <v/>
      </c>
      <c r="I57" s="14" t="str">
        <f t="shared" si="22"/>
        <v/>
      </c>
      <c r="J57" s="14" t="str">
        <f t="shared" si="22"/>
        <v/>
      </c>
      <c r="K57" s="14" t="str">
        <f t="shared" si="22"/>
        <v/>
      </c>
      <c r="L57" s="14" t="str">
        <f t="shared" si="22"/>
        <v/>
      </c>
    </row>
    <row r="58" spans="1:13" x14ac:dyDescent="0.35">
      <c r="A58" t="str">
        <f t="shared" si="18"/>
        <v/>
      </c>
      <c r="B58" s="44"/>
      <c r="C58" s="14" t="str">
        <f t="shared" si="22"/>
        <v/>
      </c>
      <c r="D58" s="14" t="str">
        <f t="shared" si="22"/>
        <v/>
      </c>
      <c r="E58" s="14" t="str">
        <f t="shared" si="22"/>
        <v/>
      </c>
      <c r="F58" s="14" t="str">
        <f t="shared" si="22"/>
        <v/>
      </c>
      <c r="G58" s="14" t="str">
        <f t="shared" si="22"/>
        <v/>
      </c>
      <c r="H58" s="14" t="str">
        <f t="shared" si="22"/>
        <v/>
      </c>
      <c r="I58" s="14" t="str">
        <f t="shared" si="22"/>
        <v/>
      </c>
      <c r="J58" s="14" t="str">
        <f t="shared" si="22"/>
        <v/>
      </c>
      <c r="K58" s="14" t="str">
        <f t="shared" si="22"/>
        <v/>
      </c>
      <c r="L58" s="14" t="str">
        <f t="shared" si="22"/>
        <v/>
      </c>
    </row>
    <row r="59" spans="1:13" x14ac:dyDescent="0.35">
      <c r="A59" s="1" t="s">
        <v>167</v>
      </c>
      <c r="C59"/>
      <c r="M59" t="s">
        <v>168</v>
      </c>
    </row>
    <row r="60" spans="1:13" x14ac:dyDescent="0.35">
      <c r="A60" t="str">
        <f>IF(A6="","","    "&amp;A6)</f>
        <v xml:space="preserve">    Upper Basin</v>
      </c>
      <c r="B60" s="1"/>
      <c r="C60" s="50"/>
      <c r="D60" s="50"/>
      <c r="E60" s="50"/>
      <c r="F60" s="50"/>
      <c r="G60" s="50"/>
      <c r="H60" s="50"/>
      <c r="I60" s="50"/>
      <c r="J60" s="50"/>
      <c r="K60" s="50"/>
      <c r="L60" s="50"/>
      <c r="M60" s="54">
        <f>SUMPRODUCT(C60:L60,C$67:L$67)</f>
        <v>0</v>
      </c>
    </row>
    <row r="61" spans="1:13" x14ac:dyDescent="0.35">
      <c r="A61" t="str">
        <f t="shared" ref="A61:A65" si="23">IF(A7="","","    "&amp;A7)</f>
        <v xml:space="preserve">    Lower Basin</v>
      </c>
      <c r="B61" s="1"/>
      <c r="C61" s="62"/>
      <c r="D61" s="62"/>
      <c r="E61" s="67"/>
      <c r="F61" s="62"/>
      <c r="G61" s="62"/>
      <c r="H61" s="62"/>
      <c r="I61" s="62"/>
      <c r="J61" s="62"/>
      <c r="K61" s="67"/>
      <c r="L61" s="62"/>
      <c r="M61" s="54">
        <f t="shared" ref="M61:M65" si="24">SUMPRODUCT(C61:L61,C$67:L$67)</f>
        <v>0</v>
      </c>
    </row>
    <row r="62" spans="1:13" x14ac:dyDescent="0.35">
      <c r="A62" t="str">
        <f t="shared" si="23"/>
        <v xml:space="preserve">    Mexico</v>
      </c>
      <c r="B62" s="1"/>
      <c r="C62" s="50"/>
      <c r="D62" s="50"/>
      <c r="E62" s="68"/>
      <c r="F62" s="50"/>
      <c r="G62" s="50"/>
      <c r="H62" s="68"/>
      <c r="I62" s="50"/>
      <c r="J62" s="50"/>
      <c r="K62" s="68"/>
      <c r="L62" s="50"/>
      <c r="M62" s="54">
        <f t="shared" si="24"/>
        <v>0</v>
      </c>
    </row>
    <row r="63" spans="1:13" x14ac:dyDescent="0.35">
      <c r="A63" t="str">
        <f t="shared" si="23"/>
        <v xml:space="preserve">    Mohave &amp; Havasu Evap &amp; ET</v>
      </c>
      <c r="B63" s="1"/>
      <c r="C63" s="50"/>
      <c r="D63" s="50"/>
      <c r="E63" s="68"/>
      <c r="F63" s="50"/>
      <c r="G63" s="50"/>
      <c r="H63" s="68"/>
      <c r="I63" s="50"/>
      <c r="J63" s="50"/>
      <c r="K63" s="68"/>
      <c r="L63" s="50"/>
      <c r="M63" s="54">
        <f t="shared" si="24"/>
        <v>0</v>
      </c>
    </row>
    <row r="64" spans="1:13" x14ac:dyDescent="0.35">
      <c r="A64" t="str">
        <f t="shared" si="23"/>
        <v/>
      </c>
      <c r="B64" s="1"/>
      <c r="C64" s="50"/>
      <c r="D64" s="50"/>
      <c r="E64" s="68"/>
      <c r="F64" s="50"/>
      <c r="G64" s="50"/>
      <c r="H64" s="68"/>
      <c r="I64" s="50"/>
      <c r="J64" s="50"/>
      <c r="K64" s="68"/>
      <c r="L64" s="50"/>
      <c r="M64" s="54">
        <f t="shared" si="24"/>
        <v>0</v>
      </c>
    </row>
    <row r="65" spans="1:21" x14ac:dyDescent="0.35">
      <c r="A65" t="str">
        <f t="shared" si="23"/>
        <v/>
      </c>
      <c r="B65" s="1"/>
      <c r="C65" s="50"/>
      <c r="D65" s="50"/>
      <c r="E65" s="50"/>
      <c r="F65" s="50"/>
      <c r="G65" s="50"/>
      <c r="H65" s="50"/>
      <c r="I65" s="50"/>
      <c r="J65" s="50"/>
      <c r="K65" s="50"/>
      <c r="L65" s="50"/>
      <c r="M65" s="54">
        <f t="shared" si="24"/>
        <v>0</v>
      </c>
    </row>
    <row r="66" spans="1:21" x14ac:dyDescent="0.35">
      <c r="A66" t="s">
        <v>159</v>
      </c>
      <c r="B66" s="1"/>
      <c r="C66" s="53">
        <f>IF(C$25&lt;&gt;"",SUM(C60:C65),"")</f>
        <v>0</v>
      </c>
      <c r="D66" s="53">
        <f t="shared" ref="D66:L66" si="25">IF(D$25&lt;&gt;"",SUM(D60:D65),"")</f>
        <v>0</v>
      </c>
      <c r="E66" s="53">
        <f t="shared" si="25"/>
        <v>0</v>
      </c>
      <c r="F66" s="53">
        <f t="shared" si="25"/>
        <v>0</v>
      </c>
      <c r="G66" s="53">
        <f t="shared" si="25"/>
        <v>0</v>
      </c>
      <c r="H66" s="53" t="str">
        <f t="shared" si="25"/>
        <v/>
      </c>
      <c r="I66" s="53" t="str">
        <f t="shared" si="25"/>
        <v/>
      </c>
      <c r="J66" s="53" t="str">
        <f t="shared" si="25"/>
        <v/>
      </c>
      <c r="K66" s="53" t="str">
        <f t="shared" si="25"/>
        <v/>
      </c>
      <c r="L66" s="53" t="str">
        <f t="shared" si="25"/>
        <v/>
      </c>
      <c r="M66" s="34"/>
    </row>
    <row r="67" spans="1:21" x14ac:dyDescent="0.35">
      <c r="A67" t="s">
        <v>160</v>
      </c>
      <c r="B67" s="1"/>
      <c r="C67" s="31"/>
      <c r="D67" s="31"/>
      <c r="E67" s="31"/>
      <c r="F67" s="31"/>
      <c r="G67" s="31"/>
      <c r="H67" s="31"/>
      <c r="I67" s="31"/>
      <c r="J67" s="31"/>
      <c r="K67" s="31"/>
      <c r="L67" s="31"/>
    </row>
    <row r="68" spans="1:21" x14ac:dyDescent="0.35">
      <c r="A68" s="1" t="s">
        <v>186</v>
      </c>
      <c r="B68" s="1"/>
      <c r="C68"/>
    </row>
    <row r="69" spans="1:21" x14ac:dyDescent="0.35">
      <c r="A69" t="str">
        <f>IF(A6="","","    "&amp;A6)</f>
        <v xml:space="preserve">    Upper Basin</v>
      </c>
      <c r="C69" s="14">
        <f>IF(OR(C$25="",$A69=""),"",C28+C46+C53-C38-C60)</f>
        <v>13.232257133649304</v>
      </c>
      <c r="D69" s="14">
        <f t="shared" ref="D69:L69" si="26">IF(OR(D$25="",$A69=""),"",D28+D46+D53-D38-D60)</f>
        <v>11.33854643139939</v>
      </c>
      <c r="E69" s="14">
        <f t="shared" si="26"/>
        <v>9.5213727493546845</v>
      </c>
      <c r="F69" s="14">
        <f t="shared" si="26"/>
        <v>8.5265133965237023</v>
      </c>
      <c r="G69" s="14">
        <f t="shared" si="26"/>
        <v>8.5230730928820648</v>
      </c>
      <c r="H69" s="14" t="str">
        <f t="shared" si="26"/>
        <v/>
      </c>
      <c r="I69" s="14" t="str">
        <f t="shared" si="26"/>
        <v/>
      </c>
      <c r="J69" s="14" t="str">
        <f t="shared" si="26"/>
        <v/>
      </c>
      <c r="K69" s="14" t="str">
        <f t="shared" si="26"/>
        <v/>
      </c>
      <c r="L69" s="14" t="str">
        <f t="shared" si="26"/>
        <v/>
      </c>
    </row>
    <row r="70" spans="1:21" x14ac:dyDescent="0.35">
      <c r="A70" t="str">
        <f t="shared" ref="A70:A74" si="27">IF(A7="","","    "&amp;A7)</f>
        <v xml:space="preserve">    Lower Basin</v>
      </c>
      <c r="C70" s="14">
        <f t="shared" ref="C70:L74" si="28">IF(OR(C$25="",$A70=""),"",C29+C47+C54-C39-C61)</f>
        <v>16.53683086430712</v>
      </c>
      <c r="D70" s="14">
        <f t="shared" si="28"/>
        <v>16.143740449057606</v>
      </c>
      <c r="E70" s="14">
        <f t="shared" si="28"/>
        <v>15.747095076101138</v>
      </c>
      <c r="F70" s="14">
        <f t="shared" si="28"/>
        <v>15.433680962076863</v>
      </c>
      <c r="G70" s="14">
        <f t="shared" si="28"/>
        <v>15.132779226695398</v>
      </c>
      <c r="H70" s="14" t="str">
        <f t="shared" si="28"/>
        <v/>
      </c>
      <c r="I70" s="14" t="str">
        <f t="shared" si="28"/>
        <v/>
      </c>
      <c r="J70" s="14" t="str">
        <f t="shared" si="28"/>
        <v/>
      </c>
      <c r="K70" s="14" t="str">
        <f t="shared" si="28"/>
        <v/>
      </c>
      <c r="L70" s="14" t="str">
        <f t="shared" si="28"/>
        <v/>
      </c>
    </row>
    <row r="71" spans="1:21" x14ac:dyDescent="0.35">
      <c r="A71" t="str">
        <f t="shared" si="27"/>
        <v xml:space="preserve">    Mexico</v>
      </c>
      <c r="C71" s="60">
        <f t="shared" si="28"/>
        <v>1.5090143220436021</v>
      </c>
      <c r="D71" s="14">
        <f t="shared" si="28"/>
        <v>1.47</v>
      </c>
      <c r="E71" s="14">
        <f t="shared" si="28"/>
        <v>1.468</v>
      </c>
      <c r="F71" s="14">
        <f t="shared" si="28"/>
        <v>1.468</v>
      </c>
      <c r="G71" s="14">
        <f t="shared" si="28"/>
        <v>1.468</v>
      </c>
      <c r="H71" s="14" t="str">
        <f t="shared" si="28"/>
        <v/>
      </c>
      <c r="I71" s="14" t="str">
        <f t="shared" si="28"/>
        <v/>
      </c>
      <c r="J71" s="14" t="str">
        <f t="shared" si="28"/>
        <v/>
      </c>
      <c r="K71" s="14" t="str">
        <f t="shared" si="28"/>
        <v/>
      </c>
      <c r="L71" s="14" t="str">
        <f t="shared" si="28"/>
        <v/>
      </c>
    </row>
    <row r="72" spans="1:21" x14ac:dyDescent="0.35">
      <c r="A72" t="str">
        <f t="shared" si="27"/>
        <v xml:space="preserve">    Mohave &amp; Havasu Evap &amp; ET</v>
      </c>
      <c r="C72" s="14">
        <f t="shared" si="28"/>
        <v>0.6</v>
      </c>
      <c r="D72" s="14">
        <f t="shared" si="28"/>
        <v>0.6</v>
      </c>
      <c r="E72" s="14">
        <f t="shared" si="28"/>
        <v>0.6</v>
      </c>
      <c r="F72" s="14">
        <f t="shared" si="28"/>
        <v>0.6</v>
      </c>
      <c r="G72" s="14">
        <f t="shared" si="28"/>
        <v>0.6</v>
      </c>
      <c r="H72" s="14" t="str">
        <f t="shared" si="28"/>
        <v/>
      </c>
      <c r="I72" s="14" t="str">
        <f t="shared" si="28"/>
        <v/>
      </c>
      <c r="J72" s="14" t="str">
        <f t="shared" si="28"/>
        <v/>
      </c>
      <c r="K72" s="14" t="str">
        <f t="shared" si="28"/>
        <v/>
      </c>
      <c r="L72" s="14" t="str">
        <f t="shared" si="28"/>
        <v/>
      </c>
    </row>
    <row r="73" spans="1:21" x14ac:dyDescent="0.35">
      <c r="A73" t="str">
        <f t="shared" si="27"/>
        <v/>
      </c>
      <c r="C73" s="60" t="str">
        <f t="shared" si="28"/>
        <v/>
      </c>
      <c r="D73" s="60" t="str">
        <f t="shared" si="28"/>
        <v/>
      </c>
      <c r="E73" s="60" t="str">
        <f t="shared" si="28"/>
        <v/>
      </c>
      <c r="F73" s="60" t="str">
        <f t="shared" si="28"/>
        <v/>
      </c>
      <c r="G73" s="60" t="str">
        <f t="shared" si="28"/>
        <v/>
      </c>
      <c r="H73" s="60" t="str">
        <f t="shared" si="28"/>
        <v/>
      </c>
      <c r="I73" s="60" t="str">
        <f t="shared" si="28"/>
        <v/>
      </c>
      <c r="J73" s="60" t="str">
        <f t="shared" si="28"/>
        <v/>
      </c>
      <c r="K73" s="60" t="str">
        <f t="shared" si="28"/>
        <v/>
      </c>
      <c r="L73" s="60" t="str">
        <f t="shared" si="28"/>
        <v/>
      </c>
    </row>
    <row r="74" spans="1:21" x14ac:dyDescent="0.35">
      <c r="A74" t="str">
        <f t="shared" si="27"/>
        <v/>
      </c>
      <c r="C74" s="14" t="str">
        <f t="shared" si="28"/>
        <v/>
      </c>
      <c r="D74" s="14" t="str">
        <f t="shared" si="28"/>
        <v/>
      </c>
      <c r="E74" s="14" t="str">
        <f t="shared" si="28"/>
        <v/>
      </c>
      <c r="F74" s="14" t="str">
        <f t="shared" si="28"/>
        <v/>
      </c>
      <c r="G74" s="14" t="str">
        <f t="shared" si="28"/>
        <v/>
      </c>
      <c r="H74" s="14" t="str">
        <f t="shared" si="28"/>
        <v/>
      </c>
      <c r="I74" s="14" t="str">
        <f t="shared" si="28"/>
        <v/>
      </c>
      <c r="J74" s="14" t="str">
        <f t="shared" si="28"/>
        <v/>
      </c>
      <c r="K74" s="14" t="str">
        <f t="shared" si="28"/>
        <v/>
      </c>
      <c r="L74" s="14" t="str">
        <f t="shared" si="28"/>
        <v/>
      </c>
    </row>
    <row r="75" spans="1:21" x14ac:dyDescent="0.35">
      <c r="A75" s="1" t="s">
        <v>136</v>
      </c>
      <c r="B75" s="1"/>
      <c r="C75" s="69"/>
      <c r="D75" s="2"/>
      <c r="E75" s="69"/>
      <c r="F75" s="2"/>
      <c r="G75" s="2"/>
      <c r="H75" s="2"/>
      <c r="I75" s="2"/>
      <c r="J75" s="2"/>
      <c r="K75" s="2"/>
      <c r="L75" s="2"/>
    </row>
    <row r="76" spans="1:21" x14ac:dyDescent="0.35">
      <c r="A76" t="str">
        <f>IF(A6="","","    "&amp;A6&amp;" - Consumptive Use and Headwaters Losses")</f>
        <v xml:space="preserve">    Upper Basin - Consumptive Use and Headwaters Losses</v>
      </c>
      <c r="C76" s="43">
        <f>IF(C69&gt;6.1+4.2,4.2,MAX(C69-6.1,0))</f>
        <v>4.2</v>
      </c>
      <c r="D76" s="43">
        <f t="shared" ref="D76:G76" si="29">IF(D69&gt;6.1+4.2,4.2,MAX(D69-6.1,0))</f>
        <v>4.2</v>
      </c>
      <c r="E76" s="43">
        <f t="shared" si="29"/>
        <v>3.4213727493546848</v>
      </c>
      <c r="F76" s="43">
        <f t="shared" si="29"/>
        <v>2.4265133965237027</v>
      </c>
      <c r="G76" s="43">
        <f t="shared" si="29"/>
        <v>2.4230730928820652</v>
      </c>
      <c r="H76" s="43"/>
      <c r="I76" s="43"/>
      <c r="J76" s="43"/>
      <c r="K76" s="43"/>
      <c r="L76" s="43"/>
      <c r="N76" s="1" t="s">
        <v>129</v>
      </c>
    </row>
    <row r="77" spans="1:21" x14ac:dyDescent="0.35">
      <c r="A77" t="str">
        <f>IF(A7="","","    "&amp;A7&amp;" - Release from Mead")</f>
        <v xml:space="preserve">    Lower Basin - Release from Mead</v>
      </c>
      <c r="C77" s="43">
        <f>7.5-IF(C$29&lt;$O$78,$P$78,IF(C$29&lt;=$O$85,VLOOKUP(C$29,$O$78:$P$85,2),0))</f>
        <v>6.867</v>
      </c>
      <c r="D77" s="43">
        <f>7.5-IF(D$29&lt;$O$78,$P$78,IF(D$29&lt;=$O$85,VLOOKUP(D$29,$O$78:$P$85,2),0))</f>
        <v>6.867</v>
      </c>
      <c r="E77" s="43">
        <f t="shared" ref="E77:G77" si="30">7.5-IF(E$29&lt;$O$78,$P$78,IF(E$29&lt;=$O$85,VLOOKUP(E$29,$O$78:$P$85,2),0))</f>
        <v>6.7830000000000004</v>
      </c>
      <c r="F77" s="43">
        <f t="shared" si="30"/>
        <v>6.7830000000000004</v>
      </c>
      <c r="G77" s="43">
        <f t="shared" si="30"/>
        <v>6.7830000000000004</v>
      </c>
      <c r="H77" s="43"/>
      <c r="I77" s="43"/>
      <c r="J77" s="43"/>
      <c r="K77" s="43"/>
      <c r="L77" s="43"/>
      <c r="N77" s="37" t="s">
        <v>130</v>
      </c>
      <c r="O77" s="37" t="s">
        <v>131</v>
      </c>
      <c r="P77" s="38" t="s">
        <v>132</v>
      </c>
      <c r="Q77" s="38" t="s">
        <v>133</v>
      </c>
      <c r="R77" s="37" t="s">
        <v>134</v>
      </c>
      <c r="S77" s="37" t="s">
        <v>134</v>
      </c>
      <c r="T77" s="51" t="s">
        <v>157</v>
      </c>
      <c r="U77" s="51" t="s">
        <v>158</v>
      </c>
    </row>
    <row r="78" spans="1:21" x14ac:dyDescent="0.35">
      <c r="A78" t="str">
        <f t="shared" ref="A78:A81" si="31">IF(A8="","","    "&amp;A8&amp;" - Release from Mead")</f>
        <v xml:space="preserve">    Mexico - Release from Mead</v>
      </c>
      <c r="C78" s="50">
        <f>C71</f>
        <v>1.5090143220436021</v>
      </c>
      <c r="D78" s="50">
        <f>D71</f>
        <v>1.47</v>
      </c>
      <c r="E78" s="50">
        <f>E71</f>
        <v>1.468</v>
      </c>
      <c r="F78" s="50">
        <f>F71</f>
        <v>1.468</v>
      </c>
      <c r="G78" s="50">
        <f>G71</f>
        <v>1.468</v>
      </c>
      <c r="H78" s="50"/>
      <c r="I78" s="50"/>
      <c r="J78" s="50"/>
      <c r="K78" s="50"/>
      <c r="L78" s="50"/>
      <c r="N78" s="39">
        <v>1025</v>
      </c>
      <c r="O78" s="40">
        <v>5.981122</v>
      </c>
      <c r="P78" s="41">
        <f>S78-Q78</f>
        <v>1.2000000000000002</v>
      </c>
      <c r="Q78" s="49">
        <v>0.15</v>
      </c>
      <c r="R78" s="41">
        <v>1.325</v>
      </c>
      <c r="S78" s="41">
        <f t="shared" ref="S78:S85" si="32">U78/1000000</f>
        <v>1.35</v>
      </c>
      <c r="T78" s="42">
        <v>0.125</v>
      </c>
      <c r="U78" s="52">
        <v>1350000</v>
      </c>
    </row>
    <row r="79" spans="1:21" x14ac:dyDescent="0.35">
      <c r="A79" t="str">
        <f t="shared" si="31"/>
        <v xml:space="preserve">    Mohave &amp; Havasu Evap &amp; ET - Release from Mead</v>
      </c>
      <c r="C79" s="43">
        <v>0.6</v>
      </c>
      <c r="D79" s="43">
        <v>0.6</v>
      </c>
      <c r="E79" s="43">
        <v>0.6</v>
      </c>
      <c r="F79" s="43">
        <v>0.6</v>
      </c>
      <c r="G79" s="43">
        <v>0.6</v>
      </c>
      <c r="H79" s="43"/>
      <c r="I79" s="43"/>
      <c r="J79" s="43"/>
      <c r="K79" s="43"/>
      <c r="L79" s="43"/>
      <c r="N79" s="39">
        <v>1030</v>
      </c>
      <c r="O79" s="40">
        <v>6.305377</v>
      </c>
      <c r="P79" s="41">
        <f t="shared" ref="P79:P85" si="33">S79-Q79</f>
        <v>1.117</v>
      </c>
      <c r="Q79" s="49">
        <v>0.10100000000000001</v>
      </c>
      <c r="R79" s="41">
        <v>1.1870000000000001</v>
      </c>
      <c r="S79" s="41">
        <f t="shared" si="32"/>
        <v>1.218</v>
      </c>
      <c r="T79" s="42">
        <v>7.0000000000000007E-2</v>
      </c>
      <c r="U79" s="52">
        <v>1218000</v>
      </c>
    </row>
    <row r="80" spans="1:21" x14ac:dyDescent="0.35">
      <c r="A80" t="str">
        <f t="shared" si="31"/>
        <v/>
      </c>
      <c r="C80" s="68"/>
      <c r="D80" s="68"/>
      <c r="E80" s="50" t="str">
        <f>E73</f>
        <v/>
      </c>
      <c r="F80" s="50"/>
      <c r="G80" s="50"/>
      <c r="H80" s="50" t="str">
        <f>H73</f>
        <v/>
      </c>
      <c r="I80" s="50"/>
      <c r="J80" s="50"/>
      <c r="K80" s="50" t="str">
        <f>K73</f>
        <v/>
      </c>
      <c r="L80" s="50"/>
      <c r="N80" s="39">
        <v>1035</v>
      </c>
      <c r="O80" s="40">
        <v>6.6375080000000004</v>
      </c>
      <c r="P80" s="41">
        <f t="shared" si="33"/>
        <v>1.0669999999999999</v>
      </c>
      <c r="Q80" s="49">
        <v>9.1999999999999998E-2</v>
      </c>
      <c r="R80" s="41">
        <v>1.137</v>
      </c>
      <c r="S80" s="41">
        <f t="shared" si="32"/>
        <v>1.159</v>
      </c>
      <c r="T80" s="42">
        <v>7.0000000000000007E-2</v>
      </c>
      <c r="U80" s="52">
        <v>1159000</v>
      </c>
    </row>
    <row r="81" spans="1:21" x14ac:dyDescent="0.35">
      <c r="A81" t="str">
        <f t="shared" si="31"/>
        <v/>
      </c>
      <c r="C81" s="43"/>
      <c r="D81" s="43"/>
      <c r="E81" s="43"/>
      <c r="F81" s="43"/>
      <c r="G81" s="43"/>
      <c r="H81" s="43"/>
      <c r="I81" s="43"/>
      <c r="J81" s="43"/>
      <c r="K81" s="43"/>
      <c r="L81" s="43"/>
      <c r="N81" s="39">
        <v>1040</v>
      </c>
      <c r="O81" s="40">
        <v>6.977665</v>
      </c>
      <c r="P81" s="41">
        <f t="shared" si="33"/>
        <v>1.0169999999999999</v>
      </c>
      <c r="Q81" s="49">
        <v>8.4000000000000005E-2</v>
      </c>
      <c r="R81" s="41">
        <v>1.087</v>
      </c>
      <c r="S81" s="41">
        <f t="shared" si="32"/>
        <v>1.101</v>
      </c>
      <c r="T81" s="42">
        <v>7.0000000000000007E-2</v>
      </c>
      <c r="U81" s="52">
        <v>1101000</v>
      </c>
    </row>
    <row r="82" spans="1:21" x14ac:dyDescent="0.35">
      <c r="A82" s="1" t="s">
        <v>141</v>
      </c>
      <c r="B82" s="1"/>
      <c r="D82" s="2"/>
      <c r="E82" s="2"/>
      <c r="F82" s="2"/>
      <c r="G82" s="2"/>
      <c r="H82" s="2"/>
      <c r="I82" s="2"/>
      <c r="J82" s="2"/>
      <c r="K82" s="2"/>
      <c r="L82" s="2"/>
      <c r="N82" s="39">
        <v>1045</v>
      </c>
      <c r="O82" s="40">
        <v>7.3260519999999998</v>
      </c>
      <c r="P82" s="41">
        <f t="shared" si="33"/>
        <v>0.96699999999999997</v>
      </c>
      <c r="Q82" s="49">
        <v>7.5999999999999998E-2</v>
      </c>
      <c r="R82" s="41">
        <v>1.0369999999999999</v>
      </c>
      <c r="S82" s="41">
        <f t="shared" si="32"/>
        <v>1.0429999999999999</v>
      </c>
      <c r="T82" s="42">
        <v>7.0000000000000007E-2</v>
      </c>
      <c r="U82" s="52">
        <v>1043000</v>
      </c>
    </row>
    <row r="83" spans="1:21" x14ac:dyDescent="0.35">
      <c r="A83" t="str">
        <f>IF(A6="","","    "&amp;A6)</f>
        <v xml:space="preserve">    Upper Basin</v>
      </c>
      <c r="C83" s="14">
        <f>IF(OR(C$25="",$A83=""),"",C69-C76)</f>
        <v>9.0322571336493027</v>
      </c>
      <c r="D83" s="14">
        <f t="shared" ref="D83:L83" si="34">IF(OR(D$25="",$A83=""),"",D69-D76)</f>
        <v>7.1385464313993898</v>
      </c>
      <c r="E83" s="14">
        <f t="shared" si="34"/>
        <v>6.1</v>
      </c>
      <c r="F83" s="14">
        <f t="shared" si="34"/>
        <v>6.1</v>
      </c>
      <c r="G83" s="14">
        <f t="shared" si="34"/>
        <v>6.1</v>
      </c>
      <c r="H83" s="14" t="str">
        <f t="shared" si="34"/>
        <v/>
      </c>
      <c r="I83" s="14" t="str">
        <f t="shared" si="34"/>
        <v/>
      </c>
      <c r="J83" s="14" t="str">
        <f t="shared" si="34"/>
        <v/>
      </c>
      <c r="K83" s="14" t="str">
        <f t="shared" si="34"/>
        <v/>
      </c>
      <c r="L83" s="14" t="str">
        <f t="shared" si="34"/>
        <v/>
      </c>
      <c r="N83" s="39">
        <v>1050</v>
      </c>
      <c r="O83" s="40">
        <v>7.6828779999999997</v>
      </c>
      <c r="P83" s="41">
        <f t="shared" si="33"/>
        <v>0.71699999999999997</v>
      </c>
      <c r="Q83" s="49">
        <v>3.4000000000000002E-2</v>
      </c>
      <c r="R83" s="41">
        <v>0.78700000000000003</v>
      </c>
      <c r="S83" s="41">
        <f t="shared" si="32"/>
        <v>0.751</v>
      </c>
      <c r="T83" s="42">
        <v>7.0000000000000007E-2</v>
      </c>
      <c r="U83" s="52">
        <v>751000</v>
      </c>
    </row>
    <row r="84" spans="1:21" x14ac:dyDescent="0.35">
      <c r="A84" t="str">
        <f t="shared" ref="A84:A88" si="35">IF(A7="","","    "&amp;A7)</f>
        <v xml:space="preserve">    Lower Basin</v>
      </c>
      <c r="C84" s="14">
        <f t="shared" ref="C84:L88" si="36">IF(OR(C$25="",$A84=""),"",C70-C77)</f>
        <v>9.6698308643071194</v>
      </c>
      <c r="D84" s="14">
        <f t="shared" si="36"/>
        <v>9.2767404490576055</v>
      </c>
      <c r="E84" s="14">
        <f t="shared" si="36"/>
        <v>8.9640950761011382</v>
      </c>
      <c r="F84" s="14">
        <f t="shared" si="36"/>
        <v>8.6506809620768621</v>
      </c>
      <c r="G84" s="14">
        <f t="shared" si="36"/>
        <v>8.3497792266953965</v>
      </c>
      <c r="H84" s="14" t="str">
        <f t="shared" si="36"/>
        <v/>
      </c>
      <c r="I84" s="14" t="str">
        <f t="shared" si="36"/>
        <v/>
      </c>
      <c r="J84" s="14" t="str">
        <f t="shared" si="36"/>
        <v/>
      </c>
      <c r="K84" s="14" t="str">
        <f t="shared" si="36"/>
        <v/>
      </c>
      <c r="L84" s="14" t="str">
        <f t="shared" si="36"/>
        <v/>
      </c>
      <c r="N84" s="39">
        <v>1075</v>
      </c>
      <c r="O84" s="40">
        <v>9.6009879999900001</v>
      </c>
      <c r="P84" s="41">
        <f t="shared" si="33"/>
        <v>0.63300000000000001</v>
      </c>
      <c r="Q84" s="49">
        <v>0.03</v>
      </c>
      <c r="R84" s="41">
        <v>0.68300000000000005</v>
      </c>
      <c r="S84" s="41">
        <f t="shared" si="32"/>
        <v>0.66300000000000003</v>
      </c>
      <c r="T84" s="42">
        <v>0.05</v>
      </c>
      <c r="U84" s="52">
        <v>663000</v>
      </c>
    </row>
    <row r="85" spans="1:21" x14ac:dyDescent="0.35">
      <c r="A85" t="str">
        <f t="shared" si="35"/>
        <v xml:space="preserve">    Mexico</v>
      </c>
      <c r="C85" s="14">
        <f t="shared" si="36"/>
        <v>0</v>
      </c>
      <c r="D85" s="14">
        <f t="shared" si="36"/>
        <v>0</v>
      </c>
      <c r="E85" s="14">
        <f t="shared" si="36"/>
        <v>0</v>
      </c>
      <c r="F85" s="14">
        <f t="shared" si="36"/>
        <v>0</v>
      </c>
      <c r="G85" s="14">
        <f t="shared" si="36"/>
        <v>0</v>
      </c>
      <c r="H85" s="14" t="str">
        <f t="shared" si="36"/>
        <v/>
      </c>
      <c r="I85" s="14" t="str">
        <f t="shared" si="36"/>
        <v/>
      </c>
      <c r="J85" s="14" t="str">
        <f t="shared" si="36"/>
        <v/>
      </c>
      <c r="K85" s="14" t="str">
        <f t="shared" si="36"/>
        <v/>
      </c>
      <c r="L85" s="14" t="str">
        <f t="shared" si="36"/>
        <v/>
      </c>
      <c r="N85" s="39">
        <v>1090</v>
      </c>
      <c r="O85" s="40">
        <v>10.857008</v>
      </c>
      <c r="P85" s="41">
        <f t="shared" si="33"/>
        <v>0.30000000000000004</v>
      </c>
      <c r="Q85" s="49">
        <v>4.1000000000000002E-2</v>
      </c>
      <c r="R85" s="41">
        <v>0.3</v>
      </c>
      <c r="S85" s="41">
        <f t="shared" si="32"/>
        <v>0.34100000000000003</v>
      </c>
      <c r="T85" s="38"/>
      <c r="U85" s="52">
        <v>341000</v>
      </c>
    </row>
    <row r="86" spans="1:21" x14ac:dyDescent="0.35">
      <c r="A86" t="str">
        <f t="shared" si="35"/>
        <v xml:space="preserve">    Mohave &amp; Havasu Evap &amp; ET</v>
      </c>
      <c r="C86" s="14">
        <f t="shared" si="36"/>
        <v>0</v>
      </c>
      <c r="D86" s="14">
        <f t="shared" si="36"/>
        <v>0</v>
      </c>
      <c r="E86" s="14">
        <f t="shared" si="36"/>
        <v>0</v>
      </c>
      <c r="F86" s="14">
        <f t="shared" si="36"/>
        <v>0</v>
      </c>
      <c r="G86" s="14">
        <f t="shared" si="36"/>
        <v>0</v>
      </c>
      <c r="H86" s="14" t="str">
        <f t="shared" si="36"/>
        <v/>
      </c>
      <c r="I86" s="14" t="str">
        <f t="shared" si="36"/>
        <v/>
      </c>
      <c r="J86" s="14" t="str">
        <f t="shared" si="36"/>
        <v/>
      </c>
      <c r="K86" s="14" t="str">
        <f t="shared" si="36"/>
        <v/>
      </c>
      <c r="L86" s="14" t="str">
        <f t="shared" si="36"/>
        <v/>
      </c>
    </row>
    <row r="87" spans="1:21" x14ac:dyDescent="0.35">
      <c r="A87" t="str">
        <f t="shared" si="35"/>
        <v/>
      </c>
      <c r="C87" s="59" t="str">
        <f>IF(OR(C$25="",$A87=""),"",C73-C80)</f>
        <v/>
      </c>
      <c r="D87" s="59" t="str">
        <f t="shared" si="36"/>
        <v/>
      </c>
      <c r="E87" s="59" t="str">
        <f t="shared" si="36"/>
        <v/>
      </c>
      <c r="F87" s="59" t="str">
        <f t="shared" si="36"/>
        <v/>
      </c>
      <c r="G87" s="59" t="str">
        <f t="shared" si="36"/>
        <v/>
      </c>
      <c r="H87" s="59" t="str">
        <f t="shared" si="36"/>
        <v/>
      </c>
      <c r="I87" s="59" t="str">
        <f t="shared" si="36"/>
        <v/>
      </c>
      <c r="J87" s="59" t="str">
        <f t="shared" si="36"/>
        <v/>
      </c>
      <c r="K87" s="59" t="str">
        <f t="shared" si="36"/>
        <v/>
      </c>
      <c r="L87" s="59" t="str">
        <f t="shared" si="36"/>
        <v/>
      </c>
    </row>
    <row r="88" spans="1:21" x14ac:dyDescent="0.35">
      <c r="A88" t="str">
        <f t="shared" si="35"/>
        <v/>
      </c>
      <c r="C88" s="14" t="str">
        <f t="shared" si="36"/>
        <v/>
      </c>
      <c r="D88" s="14" t="str">
        <f t="shared" si="36"/>
        <v/>
      </c>
      <c r="E88" s="14" t="str">
        <f t="shared" si="36"/>
        <v/>
      </c>
      <c r="F88" s="14" t="str">
        <f t="shared" si="36"/>
        <v/>
      </c>
      <c r="G88" s="14" t="str">
        <f t="shared" si="36"/>
        <v/>
      </c>
      <c r="H88" s="14" t="str">
        <f t="shared" si="36"/>
        <v/>
      </c>
      <c r="I88" s="14" t="str">
        <f t="shared" si="36"/>
        <v/>
      </c>
      <c r="J88" s="14" t="str">
        <f t="shared" si="36"/>
        <v/>
      </c>
      <c r="K88" s="14" t="str">
        <f t="shared" si="36"/>
        <v/>
      </c>
      <c r="L88" s="14" t="str">
        <f t="shared" si="36"/>
        <v/>
      </c>
    </row>
    <row r="89" spans="1:21" x14ac:dyDescent="0.35">
      <c r="A89" s="1" t="s">
        <v>125</v>
      </c>
      <c r="B89" s="1"/>
      <c r="C89" s="14">
        <f>IF(C$25&lt;&gt;"",SUM(C83:C88),"")</f>
        <v>18.702087997956422</v>
      </c>
      <c r="D89" s="14">
        <f t="shared" ref="D89:L89" si="37">IF(D$25&lt;&gt;"",SUM(D83:D88),"")</f>
        <v>16.415286880456996</v>
      </c>
      <c r="E89" s="14">
        <f t="shared" si="37"/>
        <v>15.064095076101138</v>
      </c>
      <c r="F89" s="14">
        <f t="shared" si="37"/>
        <v>14.750680962076862</v>
      </c>
      <c r="G89" s="14">
        <f t="shared" si="37"/>
        <v>14.449779226695396</v>
      </c>
      <c r="H89" s="14" t="str">
        <f t="shared" si="37"/>
        <v/>
      </c>
      <c r="I89" s="14" t="str">
        <f t="shared" si="37"/>
        <v/>
      </c>
      <c r="J89" s="14" t="str">
        <f t="shared" si="37"/>
        <v/>
      </c>
      <c r="K89" s="14" t="str">
        <f t="shared" si="37"/>
        <v/>
      </c>
      <c r="L89" s="14" t="str">
        <f t="shared" si="37"/>
        <v/>
      </c>
    </row>
    <row r="90" spans="1:21" x14ac:dyDescent="0.35">
      <c r="A90" s="1" t="s">
        <v>147</v>
      </c>
      <c r="B90" s="1"/>
      <c r="C90" s="14">
        <f>IF(C25&lt;&gt;"",C35+C25-C38-C76-C89*$B$35,"")</f>
        <v>7.9162131346710911</v>
      </c>
      <c r="D90" s="14">
        <f t="shared" ref="D90:L90" si="38">IF(D25&lt;&gt;"",D35+D25-D38-D76-D89*$B$35,"")</f>
        <v>7.4846898564998021</v>
      </c>
      <c r="E90" s="14">
        <f t="shared" si="38"/>
        <v>7.8720494707785393</v>
      </c>
      <c r="F90" s="14">
        <f t="shared" si="38"/>
        <v>8.3917070570121375</v>
      </c>
      <c r="G90" s="14">
        <f t="shared" si="38"/>
        <v>8.3854508676907358</v>
      </c>
      <c r="H90" s="14" t="str">
        <f t="shared" si="38"/>
        <v/>
      </c>
      <c r="I90" s="14" t="str">
        <f t="shared" si="38"/>
        <v/>
      </c>
      <c r="J90" s="14" t="str">
        <f t="shared" si="38"/>
        <v/>
      </c>
      <c r="K90" s="14" t="str">
        <f t="shared" si="38"/>
        <v/>
      </c>
      <c r="L90" s="14" t="str">
        <f t="shared" si="38"/>
        <v/>
      </c>
    </row>
    <row r="92" spans="1:21" x14ac:dyDescent="0.35">
      <c r="A92" s="1" t="s">
        <v>127</v>
      </c>
      <c r="C92" s="12">
        <f>IF(C$25&lt;&gt;"",0.2,"")</f>
        <v>0.2</v>
      </c>
      <c r="D92" s="12">
        <f t="shared" ref="D92:L92" si="39">IF(D$25&lt;&gt;"",0.2,"")</f>
        <v>0.2</v>
      </c>
      <c r="E92" s="12">
        <f t="shared" si="39"/>
        <v>0.2</v>
      </c>
      <c r="F92" s="12">
        <f t="shared" si="39"/>
        <v>0.2</v>
      </c>
      <c r="G92" s="12">
        <f t="shared" si="39"/>
        <v>0.2</v>
      </c>
      <c r="H92" s="12" t="str">
        <f t="shared" si="39"/>
        <v/>
      </c>
      <c r="I92" s="12" t="str">
        <f t="shared" si="39"/>
        <v/>
      </c>
      <c r="J92" s="12" t="str">
        <f t="shared" si="39"/>
        <v/>
      </c>
      <c r="K92" s="12" t="str">
        <f t="shared" si="39"/>
        <v/>
      </c>
      <c r="L92" s="12" t="str">
        <f t="shared" si="39"/>
        <v/>
      </c>
    </row>
    <row r="93" spans="1:21" x14ac:dyDescent="0.35">
      <c r="A93" t="s">
        <v>128</v>
      </c>
      <c r="C93" s="14">
        <f t="shared" ref="C93:L93" si="40">IF(C$25&lt;&gt;"",C77+C92,"")</f>
        <v>7.0670000000000002</v>
      </c>
      <c r="D93" s="14">
        <f t="shared" si="40"/>
        <v>7.0670000000000002</v>
      </c>
      <c r="E93" s="14">
        <f t="shared" si="40"/>
        <v>6.9830000000000005</v>
      </c>
      <c r="F93" s="14">
        <f t="shared" si="40"/>
        <v>6.9830000000000005</v>
      </c>
      <c r="G93" s="14">
        <f t="shared" si="40"/>
        <v>6.9830000000000005</v>
      </c>
      <c r="H93" s="14" t="str">
        <f t="shared" si="40"/>
        <v/>
      </c>
      <c r="I93" s="14" t="str">
        <f t="shared" si="40"/>
        <v/>
      </c>
      <c r="J93" s="14" t="str">
        <f t="shared" si="40"/>
        <v/>
      </c>
      <c r="K93" s="14" t="str">
        <f t="shared" si="40"/>
        <v/>
      </c>
      <c r="L93" s="14" t="str">
        <f t="shared" si="40"/>
        <v/>
      </c>
    </row>
    <row r="95" spans="1:21" x14ac:dyDescent="0.35">
      <c r="D95" s="18"/>
    </row>
  </sheetData>
  <mergeCells count="9">
    <mergeCell ref="C9:G9"/>
    <mergeCell ref="C10:G10"/>
    <mergeCell ref="C11:G11"/>
    <mergeCell ref="A3:G3"/>
    <mergeCell ref="C4:G4"/>
    <mergeCell ref="C5:G5"/>
    <mergeCell ref="C6:G6"/>
    <mergeCell ref="C7:G7"/>
    <mergeCell ref="C8:G8"/>
  </mergeCells>
  <conditionalFormatting sqref="C76">
    <cfRule type="cellIs" dxfId="261" priority="60" operator="greaterThan">
      <formula>$C$69</formula>
    </cfRule>
  </conditionalFormatting>
  <conditionalFormatting sqref="C77:D77">
    <cfRule type="cellIs" dxfId="260" priority="59" operator="greaterThan">
      <formula>$C$70</formula>
    </cfRule>
  </conditionalFormatting>
  <conditionalFormatting sqref="C78">
    <cfRule type="cellIs" dxfId="259" priority="58" operator="greaterThan">
      <formula>$C$71</formula>
    </cfRule>
  </conditionalFormatting>
  <conditionalFormatting sqref="C79">
    <cfRule type="cellIs" dxfId="258" priority="57" operator="greaterThan">
      <formula>$C$72</formula>
    </cfRule>
  </conditionalFormatting>
  <conditionalFormatting sqref="C80">
    <cfRule type="cellIs" dxfId="257" priority="56" operator="greaterThan">
      <formula>$C$73</formula>
    </cfRule>
  </conditionalFormatting>
  <conditionalFormatting sqref="C81">
    <cfRule type="cellIs" dxfId="256" priority="55" operator="greaterThan">
      <formula>$C$74</formula>
    </cfRule>
  </conditionalFormatting>
  <conditionalFormatting sqref="D76">
    <cfRule type="cellIs" dxfId="255" priority="54" operator="greaterThan">
      <formula>$D$69</formula>
    </cfRule>
  </conditionalFormatting>
  <conditionalFormatting sqref="D78">
    <cfRule type="cellIs" dxfId="254" priority="52" operator="greaterThan">
      <formula>$D$71</formula>
    </cfRule>
  </conditionalFormatting>
  <conditionalFormatting sqref="D79">
    <cfRule type="cellIs" dxfId="253" priority="51" operator="greaterThan">
      <formula>$D$72</formula>
    </cfRule>
  </conditionalFormatting>
  <conditionalFormatting sqref="D80">
    <cfRule type="cellIs" dxfId="252" priority="50" operator="greaterThan">
      <formula>$D$73</formula>
    </cfRule>
  </conditionalFormatting>
  <conditionalFormatting sqref="D81">
    <cfRule type="cellIs" dxfId="251" priority="49" operator="greaterThan">
      <formula>$D$74</formula>
    </cfRule>
  </conditionalFormatting>
  <conditionalFormatting sqref="E76">
    <cfRule type="cellIs" dxfId="250" priority="48" operator="greaterThan">
      <formula>$E$69</formula>
    </cfRule>
  </conditionalFormatting>
  <conditionalFormatting sqref="E77">
    <cfRule type="cellIs" dxfId="249" priority="47" operator="greaterThan">
      <formula>$E$70</formula>
    </cfRule>
  </conditionalFormatting>
  <conditionalFormatting sqref="E78">
    <cfRule type="cellIs" dxfId="248" priority="46" operator="greaterThan">
      <formula>$E$71</formula>
    </cfRule>
  </conditionalFormatting>
  <conditionalFormatting sqref="E79">
    <cfRule type="cellIs" dxfId="247" priority="45" operator="greaterThan">
      <formula>$E$72</formula>
    </cfRule>
  </conditionalFormatting>
  <conditionalFormatting sqref="E80">
    <cfRule type="cellIs" dxfId="246" priority="44" operator="greaterThan">
      <formula>$E$73</formula>
    </cfRule>
  </conditionalFormatting>
  <conditionalFormatting sqref="E81">
    <cfRule type="cellIs" dxfId="245" priority="43" operator="greaterThan">
      <formula>$E$74</formula>
    </cfRule>
  </conditionalFormatting>
  <conditionalFormatting sqref="F76">
    <cfRule type="cellIs" dxfId="244" priority="42" operator="greaterThan">
      <formula>$F$69</formula>
    </cfRule>
  </conditionalFormatting>
  <conditionalFormatting sqref="F77">
    <cfRule type="cellIs" dxfId="243" priority="41" operator="greaterThan">
      <formula>$F$70</formula>
    </cfRule>
  </conditionalFormatting>
  <conditionalFormatting sqref="F78">
    <cfRule type="cellIs" dxfId="242" priority="40" operator="greaterThan">
      <formula>$F$71</formula>
    </cfRule>
  </conditionalFormatting>
  <conditionalFormatting sqref="F79">
    <cfRule type="cellIs" dxfId="241" priority="39" operator="greaterThan">
      <formula>$F$72</formula>
    </cfRule>
  </conditionalFormatting>
  <conditionalFormatting sqref="F80">
    <cfRule type="cellIs" dxfId="240" priority="38" operator="greaterThan">
      <formula>$F$73</formula>
    </cfRule>
  </conditionalFormatting>
  <conditionalFormatting sqref="F81">
    <cfRule type="cellIs" dxfId="239" priority="37" operator="greaterThan">
      <formula>$F$74</formula>
    </cfRule>
  </conditionalFormatting>
  <conditionalFormatting sqref="G76">
    <cfRule type="cellIs" dxfId="238" priority="36" operator="greaterThan">
      <formula>$G$69</formula>
    </cfRule>
  </conditionalFormatting>
  <conditionalFormatting sqref="G77">
    <cfRule type="cellIs" dxfId="237" priority="35" operator="greaterThan">
      <formula>$G$70</formula>
    </cfRule>
  </conditionalFormatting>
  <conditionalFormatting sqref="G78">
    <cfRule type="cellIs" dxfId="236" priority="34" operator="greaterThan">
      <formula>$G$71</formula>
    </cfRule>
  </conditionalFormatting>
  <conditionalFormatting sqref="G79">
    <cfRule type="cellIs" dxfId="235" priority="33" operator="greaterThan">
      <formula>$G$72</formula>
    </cfRule>
  </conditionalFormatting>
  <conditionalFormatting sqref="G80">
    <cfRule type="cellIs" dxfId="234" priority="32" operator="greaterThan">
      <formula>$G$73</formula>
    </cfRule>
  </conditionalFormatting>
  <conditionalFormatting sqref="G81">
    <cfRule type="cellIs" dxfId="233" priority="31" operator="greaterThan">
      <formula>$G$74</formula>
    </cfRule>
  </conditionalFormatting>
  <conditionalFormatting sqref="H76">
    <cfRule type="cellIs" dxfId="232" priority="30" operator="greaterThan">
      <formula>$H$69</formula>
    </cfRule>
  </conditionalFormatting>
  <conditionalFormatting sqref="H77">
    <cfRule type="cellIs" dxfId="231" priority="29" operator="greaterThan">
      <formula>$H$70</formula>
    </cfRule>
  </conditionalFormatting>
  <conditionalFormatting sqref="H78">
    <cfRule type="cellIs" dxfId="230" priority="28" operator="greaterThan">
      <formula>$H$71</formula>
    </cfRule>
  </conditionalFormatting>
  <conditionalFormatting sqref="H79">
    <cfRule type="cellIs" dxfId="229" priority="27" operator="greaterThan">
      <formula>$H$72</formula>
    </cfRule>
  </conditionalFormatting>
  <conditionalFormatting sqref="H80">
    <cfRule type="cellIs" dxfId="228" priority="26" operator="greaterThan">
      <formula>$H$73</formula>
    </cfRule>
  </conditionalFormatting>
  <conditionalFormatting sqref="H81">
    <cfRule type="cellIs" dxfId="227" priority="25" operator="greaterThan">
      <formula>$H$74</formula>
    </cfRule>
  </conditionalFormatting>
  <conditionalFormatting sqref="I76">
    <cfRule type="cellIs" dxfId="226" priority="24" operator="greaterThan">
      <formula>$I$69</formula>
    </cfRule>
  </conditionalFormatting>
  <conditionalFormatting sqref="I77">
    <cfRule type="cellIs" dxfId="225" priority="23" operator="greaterThan">
      <formula>$I$70</formula>
    </cfRule>
  </conditionalFormatting>
  <conditionalFormatting sqref="I78">
    <cfRule type="cellIs" dxfId="224" priority="22" operator="greaterThan">
      <formula>$I$71</formula>
    </cfRule>
  </conditionalFormatting>
  <conditionalFormatting sqref="I79">
    <cfRule type="cellIs" dxfId="223" priority="21" operator="greaterThan">
      <formula>$I$72</formula>
    </cfRule>
  </conditionalFormatting>
  <conditionalFormatting sqref="I80">
    <cfRule type="cellIs" dxfId="222" priority="20" operator="greaterThan">
      <formula>$I$73</formula>
    </cfRule>
  </conditionalFormatting>
  <conditionalFormatting sqref="I81">
    <cfRule type="cellIs" dxfId="221" priority="19" operator="greaterThan">
      <formula>$I$74</formula>
    </cfRule>
  </conditionalFormatting>
  <conditionalFormatting sqref="J76">
    <cfRule type="cellIs" dxfId="220" priority="18" operator="greaterThan">
      <formula>$J$69</formula>
    </cfRule>
  </conditionalFormatting>
  <conditionalFormatting sqref="J77">
    <cfRule type="cellIs" dxfId="219" priority="17" operator="greaterThan">
      <formula>$J$70</formula>
    </cfRule>
  </conditionalFormatting>
  <conditionalFormatting sqref="J78">
    <cfRule type="cellIs" dxfId="218" priority="16" operator="greaterThan">
      <formula>$J$71</formula>
    </cfRule>
  </conditionalFormatting>
  <conditionalFormatting sqref="J79">
    <cfRule type="cellIs" dxfId="217" priority="15" operator="greaterThan">
      <formula>$J$72</formula>
    </cfRule>
  </conditionalFormatting>
  <conditionalFormatting sqref="J80">
    <cfRule type="cellIs" dxfId="216" priority="14" operator="greaterThan">
      <formula>$J$73</formula>
    </cfRule>
  </conditionalFormatting>
  <conditionalFormatting sqref="J81">
    <cfRule type="cellIs" dxfId="215" priority="13" operator="greaterThan">
      <formula>$J$74</formula>
    </cfRule>
  </conditionalFormatting>
  <conditionalFormatting sqref="K76">
    <cfRule type="cellIs" dxfId="214" priority="12" operator="greaterThan">
      <formula>$K$69</formula>
    </cfRule>
  </conditionalFormatting>
  <conditionalFormatting sqref="K77">
    <cfRule type="cellIs" dxfId="213" priority="11" operator="greaterThan">
      <formula>$K$70</formula>
    </cfRule>
  </conditionalFormatting>
  <conditionalFormatting sqref="K78">
    <cfRule type="cellIs" dxfId="212" priority="10" operator="greaterThan">
      <formula>$K$71</formula>
    </cfRule>
  </conditionalFormatting>
  <conditionalFormatting sqref="K79">
    <cfRule type="cellIs" dxfId="211" priority="9" operator="greaterThan">
      <formula>$K$72</formula>
    </cfRule>
  </conditionalFormatting>
  <conditionalFormatting sqref="K80">
    <cfRule type="cellIs" dxfId="210" priority="8" operator="greaterThan">
      <formula>$K$73</formula>
    </cfRule>
  </conditionalFormatting>
  <conditionalFormatting sqref="K81">
    <cfRule type="cellIs" dxfId="209" priority="7" operator="greaterThan">
      <formula>$K$74</formula>
    </cfRule>
  </conditionalFormatting>
  <conditionalFormatting sqref="L76">
    <cfRule type="cellIs" dxfId="208" priority="6" operator="greaterThan">
      <formula>$L$69</formula>
    </cfRule>
  </conditionalFormatting>
  <conditionalFormatting sqref="L77">
    <cfRule type="cellIs" dxfId="207" priority="5" operator="greaterThan">
      <formula>$L$70</formula>
    </cfRule>
  </conditionalFormatting>
  <conditionalFormatting sqref="L78">
    <cfRule type="cellIs" dxfId="206" priority="4" operator="greaterThan">
      <formula>$L$71</formula>
    </cfRule>
  </conditionalFormatting>
  <conditionalFormatting sqref="L79">
    <cfRule type="cellIs" dxfId="205" priority="3" operator="greaterThan">
      <formula>$L$72</formula>
    </cfRule>
  </conditionalFormatting>
  <conditionalFormatting sqref="L80">
    <cfRule type="cellIs" dxfId="204" priority="2" operator="greaterThan">
      <formula>$L$73</formula>
    </cfRule>
  </conditionalFormatting>
  <conditionalFormatting sqref="L81">
    <cfRule type="cellIs" dxfId="203" priority="1" operator="greaterThan">
      <formula>$L$74</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895F07-ABFE-4054-9DA4-E9E994146561}">
  <dimension ref="G1:P1"/>
  <sheetViews>
    <sheetView workbookViewId="0">
      <selection activeCell="V36" sqref="V36"/>
    </sheetView>
  </sheetViews>
  <sheetFormatPr defaultRowHeight="14.5" x14ac:dyDescent="0.35"/>
  <sheetData>
    <row r="1" spans="7:16" ht="36" x14ac:dyDescent="0.8">
      <c r="G1" s="48" t="s">
        <v>40</v>
      </c>
      <c r="P1" s="48" t="s">
        <v>41</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659FD0-848D-45A7-9E86-C03F8B4C3967}">
  <dimension ref="A1:U95"/>
  <sheetViews>
    <sheetView topLeftCell="A16" zoomScale="150" zoomScaleNormal="150" workbookViewId="0">
      <selection activeCell="N24" sqref="N24:N30"/>
    </sheetView>
  </sheetViews>
  <sheetFormatPr defaultRowHeight="14.5" x14ac:dyDescent="0.35"/>
  <cols>
    <col min="1" max="1" width="37.36328125" customWidth="1"/>
    <col min="2" max="2" width="7.81640625" customWidth="1"/>
    <col min="3" max="3" width="8" style="2" customWidth="1"/>
    <col min="4" max="4" width="7.54296875" customWidth="1"/>
    <col min="5" max="5" width="7.26953125" customWidth="1"/>
    <col min="6" max="6" width="7.6328125" customWidth="1"/>
    <col min="7" max="7" width="7.08984375" customWidth="1"/>
    <col min="8" max="8" width="7.36328125" customWidth="1"/>
    <col min="9" max="9" width="7.7265625" customWidth="1"/>
    <col min="10" max="12" width="8.7265625" customWidth="1"/>
    <col min="13" max="13" width="10.81640625" customWidth="1"/>
    <col min="14" max="14" width="12.26953125" customWidth="1"/>
    <col min="15" max="15" width="13" customWidth="1"/>
    <col min="16" max="16" width="9.81640625" customWidth="1"/>
    <col min="17" max="17" width="10.81640625" customWidth="1"/>
    <col min="18" max="18" width="21.6328125" customWidth="1"/>
    <col min="21" max="21" width="12.1796875" customWidth="1"/>
  </cols>
  <sheetData>
    <row r="1" spans="1:11" x14ac:dyDescent="0.35">
      <c r="A1" s="1" t="s">
        <v>110</v>
      </c>
      <c r="B1" s="1"/>
    </row>
    <row r="2" spans="1:11" x14ac:dyDescent="0.35">
      <c r="A2" s="1"/>
      <c r="B2" s="1"/>
    </row>
    <row r="3" spans="1:11" ht="32" customHeight="1" x14ac:dyDescent="0.35">
      <c r="A3" s="98" t="s">
        <v>169</v>
      </c>
      <c r="B3" s="98"/>
      <c r="C3" s="98"/>
      <c r="D3" s="98"/>
      <c r="E3" s="98"/>
      <c r="F3" s="98"/>
      <c r="G3" s="98"/>
      <c r="H3" s="72"/>
      <c r="I3" s="72"/>
      <c r="J3" s="72"/>
      <c r="K3" s="72"/>
    </row>
    <row r="4" spans="1:11" x14ac:dyDescent="0.35">
      <c r="A4" s="64" t="s">
        <v>39</v>
      </c>
      <c r="B4" s="64" t="s">
        <v>43</v>
      </c>
      <c r="C4" s="99" t="s">
        <v>44</v>
      </c>
      <c r="D4" s="100"/>
      <c r="E4" s="100"/>
      <c r="F4" s="100"/>
      <c r="G4" s="101"/>
    </row>
    <row r="5" spans="1:11" x14ac:dyDescent="0.35">
      <c r="A5" s="73" t="s">
        <v>52</v>
      </c>
      <c r="B5" s="73"/>
      <c r="C5" s="102"/>
      <c r="D5" s="102"/>
      <c r="E5" s="102"/>
      <c r="F5" s="102"/>
      <c r="G5" s="102"/>
    </row>
    <row r="6" spans="1:11" x14ac:dyDescent="0.35">
      <c r="A6" s="71" t="s">
        <v>40</v>
      </c>
      <c r="B6" s="71" t="s">
        <v>184</v>
      </c>
      <c r="C6" s="103" t="s">
        <v>183</v>
      </c>
      <c r="D6" s="103"/>
      <c r="E6" s="103"/>
      <c r="F6" s="103"/>
      <c r="G6" s="103"/>
    </row>
    <row r="7" spans="1:11" x14ac:dyDescent="0.35">
      <c r="A7" s="71" t="s">
        <v>41</v>
      </c>
      <c r="B7" s="71" t="s">
        <v>184</v>
      </c>
      <c r="C7" s="97" t="s">
        <v>181</v>
      </c>
      <c r="D7" s="97"/>
      <c r="E7" s="97"/>
      <c r="F7" s="97"/>
      <c r="G7" s="97"/>
    </row>
    <row r="8" spans="1:11" x14ac:dyDescent="0.35">
      <c r="A8" s="71" t="s">
        <v>42</v>
      </c>
      <c r="B8" s="71" t="s">
        <v>184</v>
      </c>
      <c r="C8" s="103" t="s">
        <v>183</v>
      </c>
      <c r="D8" s="103"/>
      <c r="E8" s="103"/>
      <c r="F8" s="103"/>
      <c r="G8" s="103"/>
    </row>
    <row r="9" spans="1:11" x14ac:dyDescent="0.35">
      <c r="A9" s="71" t="s">
        <v>165</v>
      </c>
      <c r="B9" s="71" t="s">
        <v>184</v>
      </c>
      <c r="C9" s="97" t="s">
        <v>182</v>
      </c>
      <c r="D9" s="97"/>
      <c r="E9" s="97"/>
      <c r="F9" s="97"/>
      <c r="G9" s="97"/>
    </row>
    <row r="10" spans="1:11" x14ac:dyDescent="0.35">
      <c r="A10" s="71"/>
      <c r="B10" s="71"/>
      <c r="C10" s="97"/>
      <c r="D10" s="97"/>
      <c r="E10" s="97"/>
      <c r="F10" s="97"/>
      <c r="G10" s="97"/>
    </row>
    <row r="11" spans="1:11" x14ac:dyDescent="0.35">
      <c r="A11" s="71"/>
      <c r="B11" s="71"/>
      <c r="C11" s="97"/>
      <c r="D11" s="97"/>
      <c r="E11" s="97"/>
      <c r="F11" s="97"/>
      <c r="G11" s="97"/>
    </row>
    <row r="12" spans="1:11" x14ac:dyDescent="0.35">
      <c r="A12" s="16"/>
      <c r="B12" s="2"/>
      <c r="C12"/>
    </row>
    <row r="13" spans="1:11" x14ac:dyDescent="0.35">
      <c r="A13" s="19" t="s">
        <v>46</v>
      </c>
      <c r="B13" s="2"/>
      <c r="C13"/>
    </row>
    <row r="14" spans="1:11" x14ac:dyDescent="0.35">
      <c r="A14" s="20" t="s">
        <v>53</v>
      </c>
    </row>
    <row r="15" spans="1:11" x14ac:dyDescent="0.35">
      <c r="A15" s="22" t="s">
        <v>48</v>
      </c>
      <c r="B15" s="19"/>
    </row>
    <row r="16" spans="1:11" x14ac:dyDescent="0.35">
      <c r="A16" s="21" t="s">
        <v>47</v>
      </c>
    </row>
    <row r="18" spans="1:14" x14ac:dyDescent="0.35">
      <c r="A18" s="1" t="s">
        <v>54</v>
      </c>
      <c r="D18" s="20" t="s">
        <v>185</v>
      </c>
    </row>
    <row r="20" spans="1:14" x14ac:dyDescent="0.35">
      <c r="A20" s="1" t="s">
        <v>32</v>
      </c>
      <c r="B20" s="1" t="s">
        <v>112</v>
      </c>
      <c r="C20" s="13" t="s">
        <v>113</v>
      </c>
    </row>
    <row r="21" spans="1:14" x14ac:dyDescent="0.35">
      <c r="A21" t="s">
        <v>111</v>
      </c>
      <c r="B21" s="12">
        <v>5.73</v>
      </c>
      <c r="C21" s="12">
        <v>6</v>
      </c>
      <c r="D21" s="23" t="s">
        <v>114</v>
      </c>
    </row>
    <row r="22" spans="1:14" x14ac:dyDescent="0.35">
      <c r="A22" t="s">
        <v>145</v>
      </c>
      <c r="B22" s="12">
        <v>11</v>
      </c>
      <c r="C22" s="12">
        <v>10.1</v>
      </c>
      <c r="D22" s="11" t="s">
        <v>34</v>
      </c>
    </row>
    <row r="24" spans="1:14" s="1" customFormat="1" x14ac:dyDescent="0.35">
      <c r="A24" s="57" t="s">
        <v>35</v>
      </c>
      <c r="B24" s="57" t="s">
        <v>49</v>
      </c>
      <c r="C24" s="58" t="s">
        <v>5</v>
      </c>
      <c r="D24" s="58" t="s">
        <v>6</v>
      </c>
      <c r="E24" s="58" t="s">
        <v>7</v>
      </c>
      <c r="F24" s="58" t="s">
        <v>8</v>
      </c>
      <c r="G24" s="58" t="s">
        <v>9</v>
      </c>
      <c r="H24" s="58" t="s">
        <v>10</v>
      </c>
      <c r="I24" s="58" t="s">
        <v>11</v>
      </c>
      <c r="J24" s="58" t="s">
        <v>12</v>
      </c>
      <c r="K24" s="58" t="s">
        <v>36</v>
      </c>
      <c r="L24" s="58" t="s">
        <v>37</v>
      </c>
      <c r="M24" s="58" t="s">
        <v>108</v>
      </c>
      <c r="N24" s="58" t="s">
        <v>221</v>
      </c>
    </row>
    <row r="25" spans="1:14" x14ac:dyDescent="0.35">
      <c r="A25" s="1" t="s">
        <v>45</v>
      </c>
      <c r="B25" s="1"/>
      <c r="C25" s="45">
        <v>12.4</v>
      </c>
      <c r="D25" s="45">
        <f>C25</f>
        <v>12.4</v>
      </c>
      <c r="E25" s="45">
        <f t="shared" ref="E25:L25" si="0">D25</f>
        <v>12.4</v>
      </c>
      <c r="F25" s="45">
        <f t="shared" si="0"/>
        <v>12.4</v>
      </c>
      <c r="G25" s="45">
        <f t="shared" si="0"/>
        <v>12.4</v>
      </c>
      <c r="H25" s="45">
        <f t="shared" si="0"/>
        <v>12.4</v>
      </c>
      <c r="I25" s="45">
        <v>14.4</v>
      </c>
      <c r="J25" s="45">
        <f t="shared" si="0"/>
        <v>14.4</v>
      </c>
      <c r="K25" s="45">
        <f t="shared" si="0"/>
        <v>14.4</v>
      </c>
      <c r="L25" s="45">
        <f t="shared" si="0"/>
        <v>14.4</v>
      </c>
    </row>
    <row r="26" spans="1:14" x14ac:dyDescent="0.35">
      <c r="A26" s="1" t="s">
        <v>123</v>
      </c>
      <c r="B26" s="1"/>
      <c r="C26" s="12">
        <f>IF(C$25&lt;&gt;"",0.8,"")</f>
        <v>0.8</v>
      </c>
      <c r="D26" s="12">
        <f t="shared" ref="D26:L26" si="1">IF(D$25&lt;&gt;"",0.8,"")</f>
        <v>0.8</v>
      </c>
      <c r="E26" s="12">
        <f t="shared" si="1"/>
        <v>0.8</v>
      </c>
      <c r="F26" s="12">
        <f t="shared" si="1"/>
        <v>0.8</v>
      </c>
      <c r="G26" s="12">
        <f t="shared" si="1"/>
        <v>0.8</v>
      </c>
      <c r="H26" s="12">
        <f t="shared" si="1"/>
        <v>0.8</v>
      </c>
      <c r="I26" s="12">
        <f t="shared" si="1"/>
        <v>0.8</v>
      </c>
      <c r="J26" s="12">
        <f t="shared" si="1"/>
        <v>0.8</v>
      </c>
      <c r="K26" s="12">
        <f t="shared" si="1"/>
        <v>0.8</v>
      </c>
      <c r="L26" s="12">
        <f t="shared" si="1"/>
        <v>0.8</v>
      </c>
    </row>
    <row r="27" spans="1:14" x14ac:dyDescent="0.35">
      <c r="A27" s="1" t="s">
        <v>126</v>
      </c>
      <c r="B27" s="14">
        <f>SUM(B28:B33)-SUM(B22:C22)</f>
        <v>0</v>
      </c>
      <c r="C27" s="14">
        <f>IF(C$25&lt;&gt;"",SUM(B22:C22),"")</f>
        <v>21.1</v>
      </c>
      <c r="D27" s="14">
        <f>IF(D$25&lt;&gt;"",C89,"")</f>
        <v>20.102087997956424</v>
      </c>
      <c r="E27" s="14">
        <f t="shared" ref="E27:L27" si="2">IF(E$25&lt;&gt;"",D89,"")</f>
        <v>19.174337307957025</v>
      </c>
      <c r="F27" s="14">
        <f t="shared" si="2"/>
        <v>18.359085073456452</v>
      </c>
      <c r="G27" s="14">
        <f t="shared" si="2"/>
        <v>17.56795603395528</v>
      </c>
      <c r="H27" s="14">
        <f t="shared" si="2"/>
        <v>16.801556189454683</v>
      </c>
      <c r="I27" s="14">
        <f t="shared" si="2"/>
        <v>16.058504020454109</v>
      </c>
      <c r="J27" s="14">
        <f t="shared" si="2"/>
        <v>17.339143040454712</v>
      </c>
      <c r="K27" s="14">
        <f t="shared" si="2"/>
        <v>18.580163754454713</v>
      </c>
      <c r="L27" s="14">
        <f t="shared" si="2"/>
        <v>19.78177015645414</v>
      </c>
    </row>
    <row r="28" spans="1:14" x14ac:dyDescent="0.35">
      <c r="A28" t="str">
        <f>IF(A6="","","    "&amp;A6&amp;" Balance")</f>
        <v xml:space="preserve">    Upper Basin Balance</v>
      </c>
      <c r="B28" s="55">
        <f>B22</f>
        <v>11</v>
      </c>
      <c r="C28" s="14">
        <f>IF(OR(C$25="",$A28=""),"",B28)</f>
        <v>11</v>
      </c>
      <c r="D28" s="14">
        <f>IF(OR(D$25="",$A28=""),"",C83)</f>
        <v>10.432257133649305</v>
      </c>
      <c r="E28" s="14">
        <f t="shared" ref="E28:L28" si="3">IF(OR(E$25="",$A28=""),"",D83)</f>
        <v>9.883093333626892</v>
      </c>
      <c r="F28" s="14">
        <f t="shared" si="3"/>
        <v>9.3510855529839212</v>
      </c>
      <c r="G28" s="14">
        <f t="shared" si="3"/>
        <v>8.8372366863848768</v>
      </c>
      <c r="H28" s="14">
        <f t="shared" si="3"/>
        <v>8.3417616560002301</v>
      </c>
      <c r="I28" s="14">
        <f t="shared" si="3"/>
        <v>7.8638689563828423</v>
      </c>
      <c r="J28" s="14">
        <f t="shared" si="3"/>
        <v>8.9036315279864233</v>
      </c>
      <c r="K28" s="14">
        <f t="shared" si="3"/>
        <v>9.902385129376853</v>
      </c>
      <c r="L28" s="14">
        <f t="shared" si="3"/>
        <v>10.862467282554409</v>
      </c>
      <c r="N28" t="s">
        <v>222</v>
      </c>
    </row>
    <row r="29" spans="1:14" x14ac:dyDescent="0.35">
      <c r="A29" t="str">
        <f t="shared" ref="A29:A33" si="4">IF(A7="","","    "&amp;A7&amp;" Balance")</f>
        <v xml:space="preserve">    Lower Basin Balance</v>
      </c>
      <c r="B29" s="55">
        <f>C22-B30</f>
        <v>10.058999999999999</v>
      </c>
      <c r="C29" s="14">
        <f t="shared" ref="C29:C33" si="5">IF(OR(C$25="",$A29=""),"",B29)</f>
        <v>10.058999999999999</v>
      </c>
      <c r="D29" s="14">
        <f t="shared" ref="D29:L33" si="6">IF(OR(D$25="",$A29=""),"",C84)</f>
        <v>9.6698308643071194</v>
      </c>
      <c r="E29" s="14">
        <f t="shared" si="6"/>
        <v>9.2912439743301327</v>
      </c>
      <c r="F29" s="14">
        <f t="shared" si="6"/>
        <v>9.0079995204725307</v>
      </c>
      <c r="G29" s="14">
        <f t="shared" si="6"/>
        <v>8.7307193475704032</v>
      </c>
      <c r="H29" s="14">
        <f t="shared" si="6"/>
        <v>8.4597945334544526</v>
      </c>
      <c r="I29" s="14">
        <f t="shared" si="6"/>
        <v>8.1946350640712673</v>
      </c>
      <c r="J29" s="14">
        <f t="shared" si="6"/>
        <v>8.4355115124682882</v>
      </c>
      <c r="K29" s="14">
        <f t="shared" si="6"/>
        <v>8.6777786250778597</v>
      </c>
      <c r="L29" s="14">
        <f t="shared" si="6"/>
        <v>8.9193028738997313</v>
      </c>
      <c r="N29" t="s">
        <v>223</v>
      </c>
    </row>
    <row r="30" spans="1:14" x14ac:dyDescent="0.35">
      <c r="A30" t="str">
        <f t="shared" si="4"/>
        <v xml:space="preserve">    Mexico Balance</v>
      </c>
      <c r="B30" s="56">
        <v>4.1000000000000002E-2</v>
      </c>
      <c r="C30" s="14">
        <f t="shared" si="5"/>
        <v>4.1000000000000002E-2</v>
      </c>
      <c r="D30" s="14">
        <f t="shared" si="6"/>
        <v>0</v>
      </c>
      <c r="E30" s="14">
        <f t="shared" si="6"/>
        <v>0</v>
      </c>
      <c r="F30" s="14">
        <f t="shared" si="6"/>
        <v>0</v>
      </c>
      <c r="G30" s="14">
        <f t="shared" si="6"/>
        <v>0</v>
      </c>
      <c r="H30" s="14">
        <f t="shared" si="6"/>
        <v>0</v>
      </c>
      <c r="I30" s="14">
        <f t="shared" si="6"/>
        <v>0</v>
      </c>
      <c r="J30" s="14">
        <f t="shared" si="6"/>
        <v>0</v>
      </c>
      <c r="K30" s="14">
        <f t="shared" si="6"/>
        <v>0</v>
      </c>
      <c r="L30" s="14">
        <f t="shared" si="6"/>
        <v>0</v>
      </c>
      <c r="N30" t="s">
        <v>224</v>
      </c>
    </row>
    <row r="31" spans="1:14" x14ac:dyDescent="0.35">
      <c r="A31" t="str">
        <f t="shared" si="4"/>
        <v xml:space="preserve">    Mohave &amp; Havasu Evap &amp; ET Balance</v>
      </c>
      <c r="B31" s="56">
        <v>0</v>
      </c>
      <c r="C31" s="14">
        <f t="shared" si="5"/>
        <v>0</v>
      </c>
      <c r="D31" s="14">
        <f t="shared" si="6"/>
        <v>0</v>
      </c>
      <c r="E31" s="14">
        <f t="shared" si="6"/>
        <v>0</v>
      </c>
      <c r="F31" s="14">
        <f t="shared" si="6"/>
        <v>0</v>
      </c>
      <c r="G31" s="14">
        <f t="shared" si="6"/>
        <v>0</v>
      </c>
      <c r="H31" s="14">
        <f t="shared" si="6"/>
        <v>0</v>
      </c>
      <c r="I31" s="14">
        <f t="shared" si="6"/>
        <v>0</v>
      </c>
      <c r="J31" s="14">
        <f t="shared" si="6"/>
        <v>0</v>
      </c>
      <c r="K31" s="14">
        <f t="shared" si="6"/>
        <v>0</v>
      </c>
      <c r="L31" s="14">
        <f t="shared" si="6"/>
        <v>0</v>
      </c>
    </row>
    <row r="32" spans="1:14" x14ac:dyDescent="0.35">
      <c r="A32" t="str">
        <f t="shared" si="4"/>
        <v/>
      </c>
      <c r="B32" s="56"/>
      <c r="C32" s="14" t="str">
        <f t="shared" si="5"/>
        <v/>
      </c>
      <c r="D32" s="14" t="str">
        <f t="shared" si="6"/>
        <v/>
      </c>
      <c r="E32" s="14" t="str">
        <f t="shared" si="6"/>
        <v/>
      </c>
      <c r="F32" s="14" t="str">
        <f t="shared" si="6"/>
        <v/>
      </c>
      <c r="G32" s="14" t="str">
        <f t="shared" si="6"/>
        <v/>
      </c>
      <c r="H32" s="14" t="str">
        <f t="shared" si="6"/>
        <v/>
      </c>
      <c r="I32" s="14" t="str">
        <f t="shared" si="6"/>
        <v/>
      </c>
      <c r="J32" s="14" t="str">
        <f t="shared" si="6"/>
        <v/>
      </c>
      <c r="K32" s="14" t="str">
        <f t="shared" si="6"/>
        <v/>
      </c>
      <c r="L32" s="14" t="str">
        <f t="shared" si="6"/>
        <v/>
      </c>
    </row>
    <row r="33" spans="1:12" x14ac:dyDescent="0.35">
      <c r="A33" t="str">
        <f t="shared" si="4"/>
        <v/>
      </c>
      <c r="B33" s="56"/>
      <c r="C33" s="14" t="str">
        <f t="shared" si="5"/>
        <v/>
      </c>
      <c r="D33" s="14" t="str">
        <f t="shared" si="6"/>
        <v/>
      </c>
      <c r="E33" s="14" t="str">
        <f t="shared" si="6"/>
        <v/>
      </c>
      <c r="F33" s="14" t="str">
        <f t="shared" si="6"/>
        <v/>
      </c>
      <c r="G33" s="14" t="str">
        <f t="shared" si="6"/>
        <v/>
      </c>
      <c r="H33" s="14" t="str">
        <f t="shared" si="6"/>
        <v/>
      </c>
      <c r="I33" s="14" t="str">
        <f t="shared" si="6"/>
        <v/>
      </c>
      <c r="J33" s="14" t="str">
        <f t="shared" si="6"/>
        <v/>
      </c>
      <c r="K33" s="14" t="str">
        <f t="shared" si="6"/>
        <v/>
      </c>
      <c r="L33" s="14" t="str">
        <f t="shared" si="6"/>
        <v/>
      </c>
    </row>
    <row r="34" spans="1:12" x14ac:dyDescent="0.35">
      <c r="A34" s="1" t="s">
        <v>117</v>
      </c>
      <c r="C34"/>
    </row>
    <row r="35" spans="1:12" x14ac:dyDescent="0.35">
      <c r="A35" t="s">
        <v>115</v>
      </c>
      <c r="B35" s="35">
        <v>0.5</v>
      </c>
      <c r="C35" s="14">
        <f>IF(C$25&lt;&gt;"",B22,"")</f>
        <v>11</v>
      </c>
      <c r="D35" s="14">
        <f t="shared" ref="D35:L36" si="7">IF(D25&lt;&gt;"",$B35*D$27,"")</f>
        <v>10.051043998978212</v>
      </c>
      <c r="E35" s="14">
        <f t="shared" si="7"/>
        <v>9.5871686539785124</v>
      </c>
      <c r="F35" s="14">
        <f t="shared" si="7"/>
        <v>9.179542536728226</v>
      </c>
      <c r="G35" s="14">
        <f t="shared" si="7"/>
        <v>8.78397801697764</v>
      </c>
      <c r="H35" s="14">
        <f t="shared" si="7"/>
        <v>8.4007780947273414</v>
      </c>
      <c r="I35" s="14">
        <f t="shared" si="7"/>
        <v>8.0292520102270544</v>
      </c>
      <c r="J35" s="14">
        <f t="shared" si="7"/>
        <v>8.6695715202273558</v>
      </c>
      <c r="K35" s="14">
        <f t="shared" si="7"/>
        <v>9.2900818772273563</v>
      </c>
      <c r="L35" s="14">
        <f t="shared" si="7"/>
        <v>9.8908850782270701</v>
      </c>
    </row>
    <row r="36" spans="1:12" x14ac:dyDescent="0.35">
      <c r="A36" t="s">
        <v>116</v>
      </c>
      <c r="B36" s="35">
        <f>1-B35</f>
        <v>0.5</v>
      </c>
      <c r="C36" s="14">
        <f>IF(C$25&lt;&gt;"",C22,"")</f>
        <v>10.1</v>
      </c>
      <c r="D36" s="14">
        <f t="shared" si="7"/>
        <v>10.051043998978212</v>
      </c>
      <c r="E36" s="14">
        <f t="shared" si="7"/>
        <v>9.5871686539785124</v>
      </c>
      <c r="F36" s="14">
        <f t="shared" si="7"/>
        <v>9.179542536728226</v>
      </c>
      <c r="G36" s="14">
        <f t="shared" si="7"/>
        <v>8.78397801697764</v>
      </c>
      <c r="H36" s="14">
        <f t="shared" si="7"/>
        <v>8.4007780947273414</v>
      </c>
      <c r="I36" s="14">
        <f t="shared" si="7"/>
        <v>8.0292520102270544</v>
      </c>
      <c r="J36" s="14">
        <f t="shared" si="7"/>
        <v>8.6695715202273558</v>
      </c>
      <c r="K36" s="14">
        <f t="shared" si="7"/>
        <v>9.2900818772273563</v>
      </c>
      <c r="L36" s="14">
        <f t="shared" si="7"/>
        <v>9.8908850782270701</v>
      </c>
    </row>
    <row r="37" spans="1:12" x14ac:dyDescent="0.35">
      <c r="A37" s="1" t="s">
        <v>121</v>
      </c>
      <c r="B37" s="1"/>
      <c r="C37" s="14">
        <f>IF(C$25&lt;&gt;"",VLOOKUP(C35*1000000,'Powell-Elevation-Area'!$B$5:$D$689,3)*$B$21/1000000 + VLOOKUP(C36*1000000,'Mead-Elevation-Area'!$B$5:$D$676,3)*$C$21/1000000,"")</f>
        <v>1.0218976799999733</v>
      </c>
      <c r="D37" s="14">
        <f>IF(D$25&lt;&gt;"",VLOOKUP(D35*1000000,'Powell-Elevation-Area'!$B$5:$D$689,3)*$B$21/1000000 + VLOOKUP(D36*1000000,'Mead-Elevation-Area'!$B$5:$D$676,3)*$C$21/1000000,"")</f>
        <v>0.99075068999940008</v>
      </c>
      <c r="E37" s="14">
        <f>IF(E$25&lt;&gt;"",VLOOKUP(E35*1000000,'Powell-Elevation-Area'!$B$5:$D$689,3)*$B$21/1000000 + VLOOKUP(E36*1000000,'Mead-Elevation-Area'!$B$5:$D$676,3)*$C$21/1000000,"")</f>
        <v>0.96425223450057307</v>
      </c>
      <c r="F37" s="14">
        <f>IF(F$25&lt;&gt;"",VLOOKUP(F35*1000000,'Powell-Elevation-Area'!$B$5:$D$689,3)*$B$21/1000000 + VLOOKUP(F36*1000000,'Mead-Elevation-Area'!$B$5:$D$676,3)*$C$21/1000000,"")</f>
        <v>0.94012903950117299</v>
      </c>
      <c r="G37" s="14">
        <f>IF(G$25&lt;&gt;"",VLOOKUP(G35*1000000,'Powell-Elevation-Area'!$B$5:$D$689,3)*$B$21/1000000 + VLOOKUP(G36*1000000,'Mead-Elevation-Area'!$B$5:$D$676,3)*$C$21/1000000,"")</f>
        <v>0.91539984450059997</v>
      </c>
      <c r="H37" s="14">
        <f>IF(H$25&lt;&gt;"",VLOOKUP(H35*1000000,'Powell-Elevation-Area'!$B$5:$D$689,3)*$B$21/1000000 + VLOOKUP(H36*1000000,'Mead-Elevation-Area'!$B$5:$D$676,3)*$C$21/1000000,"")</f>
        <v>0.89205216900057305</v>
      </c>
      <c r="I37" s="14">
        <f>IF(I$25&lt;&gt;"",VLOOKUP(I35*1000000,'Powell-Elevation-Area'!$B$5:$D$689,3)*$B$21/1000000 + VLOOKUP(I36*1000000,'Mead-Elevation-Area'!$B$5:$D$676,3)*$C$21/1000000,"")</f>
        <v>0.8683609799994001</v>
      </c>
      <c r="J37" s="14">
        <f>IF(J$25&lt;&gt;"",VLOOKUP(J35*1000000,'Powell-Elevation-Area'!$B$5:$D$689,3)*$B$21/1000000 + VLOOKUP(J36*1000000,'Mead-Elevation-Area'!$B$5:$D$676,3)*$C$21/1000000,"")</f>
        <v>0.907979286</v>
      </c>
      <c r="K37" s="14">
        <f>IF(K$25&lt;&gt;"",VLOOKUP(K35*1000000,'Powell-Elevation-Area'!$B$5:$D$689,3)*$B$21/1000000 + VLOOKUP(K36*1000000,'Mead-Elevation-Area'!$B$5:$D$676,3)*$C$21/1000000,"")</f>
        <v>0.94739359800057299</v>
      </c>
      <c r="L37" s="14">
        <f>IF(L$25&lt;&gt;"",VLOOKUP(L35*1000000,'Powell-Elevation-Area'!$B$5:$D$689,3)*$B$21/1000000 + VLOOKUP(L36*1000000,'Mead-Elevation-Area'!$B$5:$D$676,3)*$C$21/1000000,"")</f>
        <v>0.98213087099942697</v>
      </c>
    </row>
    <row r="38" spans="1:12" x14ac:dyDescent="0.35">
      <c r="A38" t="str">
        <f>IF(A6="","","    "&amp;A6&amp;" Share")</f>
        <v xml:space="preserve">    Upper Basin Share</v>
      </c>
      <c r="B38" s="1"/>
      <c r="C38" s="14">
        <f>IF(OR(C$25="",$A38=""),"",C$37*C28/C$27)</f>
        <v>0.5327428663506969</v>
      </c>
      <c r="D38" s="14">
        <f t="shared" ref="D38:L38" si="8">IF(OR(D$25="",$A38=""),"",D$37*D28/D$27)</f>
        <v>0.5141638000224128</v>
      </c>
      <c r="E38" s="14">
        <f t="shared" si="8"/>
        <v>0.49700778064297146</v>
      </c>
      <c r="F38" s="14">
        <f t="shared" si="8"/>
        <v>0.47884886659904519</v>
      </c>
      <c r="G38" s="14">
        <f t="shared" si="8"/>
        <v>0.46047503038464777</v>
      </c>
      <c r="H38" s="14">
        <f t="shared" si="8"/>
        <v>0.44289269961738792</v>
      </c>
      <c r="I38" s="14">
        <f t="shared" si="8"/>
        <v>0.42523742839641926</v>
      </c>
      <c r="J38" s="14">
        <f t="shared" si="8"/>
        <v>0.46624639860957012</v>
      </c>
      <c r="K38" s="14">
        <f t="shared" si="8"/>
        <v>0.50491784682244478</v>
      </c>
      <c r="L38" s="14">
        <f t="shared" si="8"/>
        <v>0.53930282118545414</v>
      </c>
    </row>
    <row r="39" spans="1:12" x14ac:dyDescent="0.35">
      <c r="A39" t="str">
        <f t="shared" ref="A39:A43" si="9">IF(A7="","","    "&amp;A7&amp;" Share")</f>
        <v xml:space="preserve">    Lower Basin Share</v>
      </c>
      <c r="B39" s="1"/>
      <c r="C39" s="14">
        <f t="shared" ref="C39:L43" si="10">IF(OR(C$25="",$A39=""),"",C$37*C29/C$27)</f>
        <v>0.48716913569287823</v>
      </c>
      <c r="D39" s="14">
        <f t="shared" si="10"/>
        <v>0.47658688997698723</v>
      </c>
      <c r="E39" s="14">
        <f t="shared" si="10"/>
        <v>0.46724445385760166</v>
      </c>
      <c r="F39" s="14">
        <f t="shared" si="10"/>
        <v>0.46128017290212786</v>
      </c>
      <c r="G39" s="14">
        <f t="shared" si="10"/>
        <v>0.4549248141159522</v>
      </c>
      <c r="H39" s="14">
        <f t="shared" si="10"/>
        <v>0.44915946938318513</v>
      </c>
      <c r="I39" s="14">
        <f t="shared" si="10"/>
        <v>0.44312355160298089</v>
      </c>
      <c r="J39" s="14">
        <f t="shared" si="10"/>
        <v>0.44173288739042982</v>
      </c>
      <c r="K39" s="14">
        <f t="shared" si="10"/>
        <v>0.4424757511781281</v>
      </c>
      <c r="L39" s="14">
        <f t="shared" si="10"/>
        <v>0.44282804981397283</v>
      </c>
    </row>
    <row r="40" spans="1:12" x14ac:dyDescent="0.35">
      <c r="A40" t="str">
        <f t="shared" si="9"/>
        <v xml:space="preserve">    Mexico Share</v>
      </c>
      <c r="B40" s="1"/>
      <c r="C40" s="14">
        <f t="shared" si="10"/>
        <v>1.9856779563980523E-3</v>
      </c>
      <c r="D40" s="14">
        <f t="shared" si="10"/>
        <v>0</v>
      </c>
      <c r="E40" s="14">
        <f t="shared" si="10"/>
        <v>0</v>
      </c>
      <c r="F40" s="14">
        <f t="shared" si="10"/>
        <v>0</v>
      </c>
      <c r="G40" s="14">
        <f t="shared" si="10"/>
        <v>0</v>
      </c>
      <c r="H40" s="14">
        <f t="shared" si="10"/>
        <v>0</v>
      </c>
      <c r="I40" s="14">
        <f t="shared" si="10"/>
        <v>0</v>
      </c>
      <c r="J40" s="14">
        <f t="shared" si="10"/>
        <v>0</v>
      </c>
      <c r="K40" s="14">
        <f t="shared" si="10"/>
        <v>0</v>
      </c>
      <c r="L40" s="14">
        <f t="shared" si="10"/>
        <v>0</v>
      </c>
    </row>
    <row r="41" spans="1:12" x14ac:dyDescent="0.35">
      <c r="A41" t="str">
        <f t="shared" si="9"/>
        <v xml:space="preserve">    Mohave &amp; Havasu Evap &amp; ET Share</v>
      </c>
      <c r="B41" s="1"/>
      <c r="C41" s="14">
        <f t="shared" si="10"/>
        <v>0</v>
      </c>
      <c r="D41" s="14">
        <f t="shared" si="10"/>
        <v>0</v>
      </c>
      <c r="E41" s="14">
        <f t="shared" si="10"/>
        <v>0</v>
      </c>
      <c r="F41" s="14">
        <f t="shared" si="10"/>
        <v>0</v>
      </c>
      <c r="G41" s="14">
        <f t="shared" si="10"/>
        <v>0</v>
      </c>
      <c r="H41" s="14">
        <f t="shared" si="10"/>
        <v>0</v>
      </c>
      <c r="I41" s="14">
        <f t="shared" si="10"/>
        <v>0</v>
      </c>
      <c r="J41" s="14">
        <f t="shared" si="10"/>
        <v>0</v>
      </c>
      <c r="K41" s="14">
        <f t="shared" si="10"/>
        <v>0</v>
      </c>
      <c r="L41" s="14">
        <f t="shared" si="10"/>
        <v>0</v>
      </c>
    </row>
    <row r="42" spans="1:12" x14ac:dyDescent="0.35">
      <c r="A42" t="str">
        <f t="shared" si="9"/>
        <v/>
      </c>
      <c r="B42" s="1"/>
      <c r="C42" s="14" t="str">
        <f t="shared" si="10"/>
        <v/>
      </c>
      <c r="D42" s="14" t="str">
        <f t="shared" si="10"/>
        <v/>
      </c>
      <c r="E42" s="14" t="str">
        <f t="shared" si="10"/>
        <v/>
      </c>
      <c r="F42" s="14" t="str">
        <f t="shared" si="10"/>
        <v/>
      </c>
      <c r="G42" s="14" t="str">
        <f t="shared" si="10"/>
        <v/>
      </c>
      <c r="H42" s="14" t="str">
        <f t="shared" si="10"/>
        <v/>
      </c>
      <c r="I42" s="14" t="str">
        <f t="shared" si="10"/>
        <v/>
      </c>
      <c r="J42" s="14" t="str">
        <f t="shared" si="10"/>
        <v/>
      </c>
      <c r="K42" s="14" t="str">
        <f t="shared" si="10"/>
        <v/>
      </c>
      <c r="L42" s="14" t="str">
        <f t="shared" si="10"/>
        <v/>
      </c>
    </row>
    <row r="43" spans="1:12" x14ac:dyDescent="0.35">
      <c r="A43" t="str">
        <f t="shared" si="9"/>
        <v/>
      </c>
      <c r="B43" s="1"/>
      <c r="C43" s="14" t="str">
        <f t="shared" si="10"/>
        <v/>
      </c>
      <c r="D43" s="14" t="str">
        <f t="shared" si="10"/>
        <v/>
      </c>
      <c r="E43" s="14" t="str">
        <f t="shared" si="10"/>
        <v/>
      </c>
      <c r="F43" s="14" t="str">
        <f t="shared" si="10"/>
        <v/>
      </c>
      <c r="G43" s="14" t="str">
        <f t="shared" si="10"/>
        <v/>
      </c>
      <c r="H43" s="14" t="str">
        <f t="shared" si="10"/>
        <v/>
      </c>
      <c r="I43" s="14" t="str">
        <f t="shared" si="10"/>
        <v/>
      </c>
      <c r="J43" s="14" t="str">
        <f t="shared" si="10"/>
        <v/>
      </c>
      <c r="K43" s="14" t="str">
        <f t="shared" si="10"/>
        <v/>
      </c>
      <c r="L43" s="14" t="str">
        <f t="shared" si="10"/>
        <v/>
      </c>
    </row>
    <row r="44" spans="1:12" x14ac:dyDescent="0.35">
      <c r="A44" s="1" t="s">
        <v>161</v>
      </c>
      <c r="B44" s="1"/>
      <c r="C44" s="50">
        <f>IF(C$25&lt;&gt;"",1.5-$B$50/9/2-IF(C$29&lt;$O$78,$Q$78,IF(C$29&lt;=$O$85,VLOOKUP(C$29,$O$78:$Q$85,3),0)),"")</f>
        <v>1.47</v>
      </c>
      <c r="D44" s="50">
        <f t="shared" ref="D44:L44" si="11">IF(D$25&lt;&gt;"",1.5-$B$50/9-IF(D$29&lt;$O$78,$Q$78,IF(D$29&lt;=$O$85,VLOOKUP(D$29,$O$78:$Q$85,3),0)),"")</f>
        <v>1.47</v>
      </c>
      <c r="E44" s="50">
        <f t="shared" si="11"/>
        <v>1.466</v>
      </c>
      <c r="F44" s="50">
        <f t="shared" si="11"/>
        <v>1.466</v>
      </c>
      <c r="G44" s="50">
        <f t="shared" si="11"/>
        <v>1.466</v>
      </c>
      <c r="H44" s="50">
        <f t="shared" si="11"/>
        <v>1.466</v>
      </c>
      <c r="I44" s="50">
        <f t="shared" si="11"/>
        <v>1.466</v>
      </c>
      <c r="J44" s="50">
        <f t="shared" si="11"/>
        <v>1.466</v>
      </c>
      <c r="K44" s="50">
        <f t="shared" si="11"/>
        <v>1.466</v>
      </c>
      <c r="L44" s="50">
        <f t="shared" si="11"/>
        <v>1.466</v>
      </c>
    </row>
    <row r="45" spans="1:12" x14ac:dyDescent="0.35">
      <c r="A45" s="1" t="s">
        <v>162</v>
      </c>
      <c r="B45" s="1"/>
      <c r="C45"/>
    </row>
    <row r="46" spans="1:12" x14ac:dyDescent="0.35">
      <c r="A46" t="str">
        <f>IF(A6="","","    To "&amp;A6)</f>
        <v xml:space="preserve">    To Upper Basin</v>
      </c>
      <c r="B46" s="24" t="s">
        <v>164</v>
      </c>
      <c r="C46" s="14">
        <f>IF(OR(C$25="",$A4=""),"",MAX(0,C$25-SUM(C47:C48)))</f>
        <v>4.1650000000000009</v>
      </c>
      <c r="D46" s="14">
        <f t="shared" ref="D46:L46" si="12">IF(OR(D$25="",$A4=""),"",MAX(0,D$25-SUM(D47:D48)))</f>
        <v>4.1650000000000009</v>
      </c>
      <c r="E46" s="14">
        <f t="shared" si="12"/>
        <v>4.1650000000000009</v>
      </c>
      <c r="F46" s="14">
        <f t="shared" si="12"/>
        <v>4.1650000000000009</v>
      </c>
      <c r="G46" s="14">
        <f t="shared" si="12"/>
        <v>4.1650000000000009</v>
      </c>
      <c r="H46" s="14">
        <f t="shared" si="12"/>
        <v>4.1650000000000009</v>
      </c>
      <c r="I46" s="14">
        <f t="shared" si="12"/>
        <v>6.1650000000000009</v>
      </c>
      <c r="J46" s="14">
        <f t="shared" si="12"/>
        <v>6.1650000000000009</v>
      </c>
      <c r="K46" s="14">
        <f t="shared" si="12"/>
        <v>6.1650000000000009</v>
      </c>
      <c r="L46" s="14">
        <f t="shared" si="12"/>
        <v>6.1650000000000009</v>
      </c>
    </row>
    <row r="47" spans="1:12" x14ac:dyDescent="0.35">
      <c r="A47" t="str">
        <f t="shared" ref="A47:A51" si="13">IF(A7="","","    To "&amp;A7)</f>
        <v xml:space="preserve">    To Lower Basin</v>
      </c>
      <c r="B47" s="44">
        <f>7.5-$B$50</f>
        <v>7.5</v>
      </c>
      <c r="C47" s="14">
        <f>IF(OR(C$25="",$A47=""),"",IF(C$25&lt;$B48,0,IF(C$25&gt;$B47,$B47,C$25)))</f>
        <v>7.5</v>
      </c>
      <c r="D47" s="14">
        <f t="shared" ref="D47:L47" si="14">IF(OR(D$25="",$A47=""),"",IF(D$25&lt;$B48,0,IF(D$25&gt;$B47,$B47,D$25)))</f>
        <v>7.5</v>
      </c>
      <c r="E47" s="14">
        <f t="shared" si="14"/>
        <v>7.5</v>
      </c>
      <c r="F47" s="14">
        <f t="shared" si="14"/>
        <v>7.5</v>
      </c>
      <c r="G47" s="14">
        <f t="shared" si="14"/>
        <v>7.5</v>
      </c>
      <c r="H47" s="14">
        <f t="shared" si="14"/>
        <v>7.5</v>
      </c>
      <c r="I47" s="14">
        <f t="shared" si="14"/>
        <v>7.5</v>
      </c>
      <c r="J47" s="14">
        <f t="shared" si="14"/>
        <v>7.5</v>
      </c>
      <c r="K47" s="14">
        <f t="shared" si="14"/>
        <v>7.5</v>
      </c>
      <c r="L47" s="14">
        <f t="shared" si="14"/>
        <v>7.5</v>
      </c>
    </row>
    <row r="48" spans="1:12" x14ac:dyDescent="0.35">
      <c r="A48" t="str">
        <f t="shared" si="13"/>
        <v xml:space="preserve">    To Mexico</v>
      </c>
      <c r="B48" s="44">
        <f>C44/2</f>
        <v>0.73499999999999999</v>
      </c>
      <c r="C48" s="14">
        <f>IF(OR(C$25="",$A48=""),"",IF(C$25&gt;$B48,$B48,C$25))</f>
        <v>0.73499999999999999</v>
      </c>
      <c r="D48" s="14">
        <f t="shared" ref="D48:L48" si="15">IF(OR(D$25="",$A48=""),"",IF(D$25&gt;$B48,$B48,D$25))</f>
        <v>0.73499999999999999</v>
      </c>
      <c r="E48" s="14">
        <f t="shared" si="15"/>
        <v>0.73499999999999999</v>
      </c>
      <c r="F48" s="14">
        <f t="shared" si="15"/>
        <v>0.73499999999999999</v>
      </c>
      <c r="G48" s="14">
        <f t="shared" si="15"/>
        <v>0.73499999999999999</v>
      </c>
      <c r="H48" s="14">
        <f t="shared" si="15"/>
        <v>0.73499999999999999</v>
      </c>
      <c r="I48" s="14">
        <f t="shared" si="15"/>
        <v>0.73499999999999999</v>
      </c>
      <c r="J48" s="14">
        <f t="shared" si="15"/>
        <v>0.73499999999999999</v>
      </c>
      <c r="K48" s="14">
        <f t="shared" si="15"/>
        <v>0.73499999999999999</v>
      </c>
      <c r="L48" s="14">
        <f t="shared" si="15"/>
        <v>0.73499999999999999</v>
      </c>
    </row>
    <row r="49" spans="1:13" x14ac:dyDescent="0.35">
      <c r="A49" t="str">
        <f t="shared" si="13"/>
        <v xml:space="preserve">    To Mohave &amp; Havasu Evap &amp; ET</v>
      </c>
      <c r="B49" s="44">
        <v>0</v>
      </c>
      <c r="C49" s="14">
        <f t="shared" ref="C49:L51" si="16">IF(OR(C$25="",$A49=""),"",IF(C$25&gt;$B49,$B49,C$25))</f>
        <v>0</v>
      </c>
      <c r="D49" s="14">
        <f t="shared" si="16"/>
        <v>0</v>
      </c>
      <c r="E49" s="14">
        <f t="shared" si="16"/>
        <v>0</v>
      </c>
      <c r="F49" s="14">
        <f t="shared" si="16"/>
        <v>0</v>
      </c>
      <c r="G49" s="14">
        <f t="shared" si="16"/>
        <v>0</v>
      </c>
      <c r="H49" s="14">
        <f t="shared" si="16"/>
        <v>0</v>
      </c>
      <c r="I49" s="14">
        <f t="shared" si="16"/>
        <v>0</v>
      </c>
      <c r="J49" s="14">
        <f t="shared" si="16"/>
        <v>0</v>
      </c>
      <c r="K49" s="14">
        <f t="shared" si="16"/>
        <v>0</v>
      </c>
      <c r="L49" s="14">
        <f t="shared" si="16"/>
        <v>0</v>
      </c>
    </row>
    <row r="50" spans="1:13" x14ac:dyDescent="0.35">
      <c r="A50" t="str">
        <f t="shared" si="13"/>
        <v/>
      </c>
      <c r="B50" s="44"/>
      <c r="C50" s="14" t="str">
        <f t="shared" si="16"/>
        <v/>
      </c>
      <c r="D50" s="59" t="str">
        <f t="shared" si="16"/>
        <v/>
      </c>
      <c r="E50" s="59" t="str">
        <f t="shared" si="16"/>
        <v/>
      </c>
      <c r="F50" s="59" t="str">
        <f t="shared" si="16"/>
        <v/>
      </c>
      <c r="G50" s="59" t="str">
        <f t="shared" si="16"/>
        <v/>
      </c>
      <c r="H50" s="59" t="str">
        <f t="shared" si="16"/>
        <v/>
      </c>
      <c r="I50" s="59" t="str">
        <f t="shared" si="16"/>
        <v/>
      </c>
      <c r="J50" s="59" t="str">
        <f t="shared" si="16"/>
        <v/>
      </c>
      <c r="K50" s="59" t="str">
        <f t="shared" si="16"/>
        <v/>
      </c>
      <c r="L50" s="59" t="str">
        <f t="shared" si="16"/>
        <v/>
      </c>
    </row>
    <row r="51" spans="1:13" x14ac:dyDescent="0.35">
      <c r="A51" t="str">
        <f t="shared" si="13"/>
        <v/>
      </c>
      <c r="B51" s="44"/>
      <c r="C51" s="14" t="str">
        <f t="shared" si="16"/>
        <v/>
      </c>
      <c r="D51" s="14" t="str">
        <f t="shared" si="16"/>
        <v/>
      </c>
      <c r="E51" s="14" t="str">
        <f t="shared" si="16"/>
        <v/>
      </c>
      <c r="F51" s="14" t="str">
        <f t="shared" si="16"/>
        <v/>
      </c>
      <c r="G51" s="14" t="str">
        <f t="shared" si="16"/>
        <v/>
      </c>
      <c r="H51" s="14" t="str">
        <f t="shared" si="16"/>
        <v/>
      </c>
      <c r="I51" s="14" t="str">
        <f t="shared" si="16"/>
        <v/>
      </c>
      <c r="J51" s="14" t="str">
        <f t="shared" si="16"/>
        <v/>
      </c>
      <c r="K51" s="14" t="str">
        <f t="shared" si="16"/>
        <v/>
      </c>
      <c r="L51" s="14" t="str">
        <f t="shared" si="16"/>
        <v/>
      </c>
    </row>
    <row r="52" spans="1:13" x14ac:dyDescent="0.35">
      <c r="A52" s="1" t="s">
        <v>163</v>
      </c>
      <c r="B52" s="1"/>
      <c r="C52"/>
    </row>
    <row r="53" spans="1:13" x14ac:dyDescent="0.35">
      <c r="A53" t="str">
        <f>IF(A6="","","    To "&amp;A6)</f>
        <v xml:space="preserve">    To Upper Basin</v>
      </c>
      <c r="B53" s="24">
        <v>0</v>
      </c>
      <c r="C53" s="14">
        <f>IF(OR($A53="",C$25=""),"",IF(C$26&gt;$B53,$B53,C$26))</f>
        <v>0</v>
      </c>
      <c r="D53" s="14">
        <f t="shared" ref="D53:L53" si="17">IF(OR($A53="",D$25=""),"",IF(D$26&gt;$B53,$B53,D$26))</f>
        <v>0</v>
      </c>
      <c r="E53" s="14">
        <f t="shared" si="17"/>
        <v>0</v>
      </c>
      <c r="F53" s="14">
        <f t="shared" si="17"/>
        <v>0</v>
      </c>
      <c r="G53" s="14">
        <f t="shared" si="17"/>
        <v>0</v>
      </c>
      <c r="H53" s="14">
        <f t="shared" si="17"/>
        <v>0</v>
      </c>
      <c r="I53" s="14">
        <f t="shared" si="17"/>
        <v>0</v>
      </c>
      <c r="J53" s="14">
        <f t="shared" si="17"/>
        <v>0</v>
      </c>
      <c r="K53" s="14">
        <f t="shared" si="17"/>
        <v>0</v>
      </c>
      <c r="L53" s="14">
        <f t="shared" si="17"/>
        <v>0</v>
      </c>
    </row>
    <row r="54" spans="1:13" x14ac:dyDescent="0.35">
      <c r="A54" t="str">
        <f t="shared" ref="A54:A58" si="18">IF(A7="","","    To "&amp;A7)</f>
        <v xml:space="preserve">    To Lower Basin</v>
      </c>
      <c r="B54" s="44" t="s">
        <v>164</v>
      </c>
      <c r="C54" s="14">
        <f>IF(OR(C$25="",$A54=""),"",C$26-SUM(C55:C56))</f>
        <v>-0.53499999999999992</v>
      </c>
      <c r="D54" s="14">
        <f t="shared" ref="D54:L54" si="19">IF(OR(D$25="",$A54=""),"",D$26-SUM(D55:D56))</f>
        <v>-0.53499999999999992</v>
      </c>
      <c r="E54" s="14">
        <f t="shared" si="19"/>
        <v>-0.53299999999999992</v>
      </c>
      <c r="F54" s="14">
        <f t="shared" si="19"/>
        <v>-0.53299999999999992</v>
      </c>
      <c r="G54" s="14">
        <f t="shared" si="19"/>
        <v>-0.53299999999999992</v>
      </c>
      <c r="H54" s="14">
        <f t="shared" si="19"/>
        <v>-0.53299999999999992</v>
      </c>
      <c r="I54" s="14">
        <f t="shared" si="19"/>
        <v>-0.53299999999999992</v>
      </c>
      <c r="J54" s="14">
        <f t="shared" si="19"/>
        <v>-0.53299999999999992</v>
      </c>
      <c r="K54" s="14">
        <f t="shared" si="19"/>
        <v>-0.53299999999999992</v>
      </c>
      <c r="L54" s="14">
        <f t="shared" si="19"/>
        <v>-0.53299999999999992</v>
      </c>
    </row>
    <row r="55" spans="1:13" x14ac:dyDescent="0.35">
      <c r="A55" t="str">
        <f t="shared" si="18"/>
        <v xml:space="preserve">    To Mexico</v>
      </c>
      <c r="B55" s="44">
        <f>C44/2</f>
        <v>0.73499999999999999</v>
      </c>
      <c r="C55" s="14">
        <f>IF(OR(C$25="",$A55=""),"",C44/2)</f>
        <v>0.73499999999999999</v>
      </c>
      <c r="D55" s="14">
        <f t="shared" ref="D55:L55" si="20">IF(OR(D$25="",$A55=""),"",D44/2)</f>
        <v>0.73499999999999999</v>
      </c>
      <c r="E55" s="14">
        <f t="shared" si="20"/>
        <v>0.73299999999999998</v>
      </c>
      <c r="F55" s="14">
        <f t="shared" si="20"/>
        <v>0.73299999999999998</v>
      </c>
      <c r="G55" s="14">
        <f t="shared" si="20"/>
        <v>0.73299999999999998</v>
      </c>
      <c r="H55" s="14">
        <f t="shared" si="20"/>
        <v>0.73299999999999998</v>
      </c>
      <c r="I55" s="14">
        <f t="shared" si="20"/>
        <v>0.73299999999999998</v>
      </c>
      <c r="J55" s="14">
        <f t="shared" si="20"/>
        <v>0.73299999999999998</v>
      </c>
      <c r="K55" s="14">
        <f t="shared" si="20"/>
        <v>0.73299999999999998</v>
      </c>
      <c r="L55" s="14">
        <f t="shared" si="20"/>
        <v>0.73299999999999998</v>
      </c>
    </row>
    <row r="56" spans="1:13" x14ac:dyDescent="0.35">
      <c r="A56" t="str">
        <f t="shared" si="18"/>
        <v xml:space="preserve">    To Mohave &amp; Havasu Evap &amp; ET</v>
      </c>
      <c r="B56" s="44">
        <v>0.6</v>
      </c>
      <c r="C56" s="14">
        <f>IF(OR($A56="",C$25=""),"",IF(C$26&gt;$B56,$B56,C$26))</f>
        <v>0.6</v>
      </c>
      <c r="D56" s="14">
        <f t="shared" ref="D56:L56" si="21">IF(OR($A56="",D$25=""),"",IF(D$26&gt;$B56,$B56,D$26))</f>
        <v>0.6</v>
      </c>
      <c r="E56" s="14">
        <f t="shared" si="21"/>
        <v>0.6</v>
      </c>
      <c r="F56" s="14">
        <f t="shared" si="21"/>
        <v>0.6</v>
      </c>
      <c r="G56" s="14">
        <f t="shared" si="21"/>
        <v>0.6</v>
      </c>
      <c r="H56" s="14">
        <f t="shared" si="21"/>
        <v>0.6</v>
      </c>
      <c r="I56" s="14">
        <f t="shared" si="21"/>
        <v>0.6</v>
      </c>
      <c r="J56" s="14">
        <f t="shared" si="21"/>
        <v>0.6</v>
      </c>
      <c r="K56" s="14">
        <f t="shared" si="21"/>
        <v>0.6</v>
      </c>
      <c r="L56" s="14">
        <f t="shared" si="21"/>
        <v>0.6</v>
      </c>
    </row>
    <row r="57" spans="1:13" x14ac:dyDescent="0.35">
      <c r="A57" t="str">
        <f t="shared" si="18"/>
        <v/>
      </c>
      <c r="B57" s="61"/>
      <c r="C57" s="14" t="str">
        <f t="shared" ref="C57:L58" si="22">IF(OR($A57="",C$25=""),"",IF(C$26&gt;$B57,$B57,C$26))</f>
        <v/>
      </c>
      <c r="D57" s="14" t="str">
        <f t="shared" si="22"/>
        <v/>
      </c>
      <c r="E57" s="14" t="str">
        <f t="shared" si="22"/>
        <v/>
      </c>
      <c r="F57" s="14" t="str">
        <f t="shared" si="22"/>
        <v/>
      </c>
      <c r="G57" s="14" t="str">
        <f t="shared" si="22"/>
        <v/>
      </c>
      <c r="H57" s="14" t="str">
        <f t="shared" si="22"/>
        <v/>
      </c>
      <c r="I57" s="14" t="str">
        <f t="shared" si="22"/>
        <v/>
      </c>
      <c r="J57" s="14" t="str">
        <f t="shared" si="22"/>
        <v/>
      </c>
      <c r="K57" s="14" t="str">
        <f t="shared" si="22"/>
        <v/>
      </c>
      <c r="L57" s="14" t="str">
        <f t="shared" si="22"/>
        <v/>
      </c>
    </row>
    <row r="58" spans="1:13" x14ac:dyDescent="0.35">
      <c r="A58" t="str">
        <f t="shared" si="18"/>
        <v/>
      </c>
      <c r="B58" s="44"/>
      <c r="C58" s="14" t="str">
        <f t="shared" si="22"/>
        <v/>
      </c>
      <c r="D58" s="14" t="str">
        <f t="shared" si="22"/>
        <v/>
      </c>
      <c r="E58" s="14" t="str">
        <f t="shared" si="22"/>
        <v/>
      </c>
      <c r="F58" s="14" t="str">
        <f t="shared" si="22"/>
        <v/>
      </c>
      <c r="G58" s="14" t="str">
        <f t="shared" si="22"/>
        <v/>
      </c>
      <c r="H58" s="14" t="str">
        <f t="shared" si="22"/>
        <v/>
      </c>
      <c r="I58" s="14" t="str">
        <f t="shared" si="22"/>
        <v/>
      </c>
      <c r="J58" s="14" t="str">
        <f t="shared" si="22"/>
        <v/>
      </c>
      <c r="K58" s="14" t="str">
        <f t="shared" si="22"/>
        <v/>
      </c>
      <c r="L58" s="14" t="str">
        <f t="shared" si="22"/>
        <v/>
      </c>
    </row>
    <row r="59" spans="1:13" x14ac:dyDescent="0.35">
      <c r="A59" s="1" t="s">
        <v>167</v>
      </c>
      <c r="C59"/>
      <c r="M59" t="s">
        <v>168</v>
      </c>
    </row>
    <row r="60" spans="1:13" x14ac:dyDescent="0.35">
      <c r="A60" t="str">
        <f>IF(A6="","","    "&amp;A6)</f>
        <v xml:space="preserve">    Upper Basin</v>
      </c>
      <c r="B60" s="1"/>
      <c r="C60" s="50"/>
      <c r="D60" s="50"/>
      <c r="E60" s="50"/>
      <c r="F60" s="50"/>
      <c r="G60" s="50"/>
      <c r="H60" s="50"/>
      <c r="I60" s="43">
        <v>0.5</v>
      </c>
      <c r="J60" s="43">
        <f>I60</f>
        <v>0.5</v>
      </c>
      <c r="K60" s="43">
        <f t="shared" ref="K60:L60" si="23">J60</f>
        <v>0.5</v>
      </c>
      <c r="L60" s="43">
        <f t="shared" si="23"/>
        <v>0.5</v>
      </c>
      <c r="M60" s="33">
        <f>SUMPRODUCT(C60:L60,C$67:L$67)</f>
        <v>700</v>
      </c>
    </row>
    <row r="61" spans="1:13" x14ac:dyDescent="0.35">
      <c r="A61" t="str">
        <f t="shared" ref="A61:A65" si="24">IF(A7="","","    "&amp;A7)</f>
        <v xml:space="preserve">    Lower Basin</v>
      </c>
      <c r="B61" s="1"/>
      <c r="C61" s="62"/>
      <c r="D61" s="62"/>
      <c r="E61" s="67"/>
      <c r="F61" s="62"/>
      <c r="G61" s="62"/>
      <c r="H61" s="62"/>
      <c r="I61" s="70">
        <f>-I60</f>
        <v>-0.5</v>
      </c>
      <c r="J61" s="70">
        <f t="shared" ref="J61:L61" si="25">-J60</f>
        <v>-0.5</v>
      </c>
      <c r="K61" s="70">
        <f t="shared" si="25"/>
        <v>-0.5</v>
      </c>
      <c r="L61" s="70">
        <f t="shared" si="25"/>
        <v>-0.5</v>
      </c>
      <c r="M61" s="33">
        <f t="shared" ref="M61:M65" si="26">SUMPRODUCT(C61:L61,C$67:L$67)</f>
        <v>-700</v>
      </c>
    </row>
    <row r="62" spans="1:13" x14ac:dyDescent="0.35">
      <c r="A62" t="str">
        <f t="shared" si="24"/>
        <v xml:space="preserve">    Mexico</v>
      </c>
      <c r="B62" s="1"/>
      <c r="C62" s="50"/>
      <c r="D62" s="50"/>
      <c r="E62" s="68"/>
      <c r="F62" s="50"/>
      <c r="G62" s="50"/>
      <c r="H62" s="68"/>
      <c r="I62" s="43"/>
      <c r="J62" s="43"/>
      <c r="K62" s="43"/>
      <c r="L62" s="43"/>
      <c r="M62" s="33">
        <f t="shared" si="26"/>
        <v>0</v>
      </c>
    </row>
    <row r="63" spans="1:13" x14ac:dyDescent="0.35">
      <c r="A63" t="str">
        <f t="shared" si="24"/>
        <v xml:space="preserve">    Mohave &amp; Havasu Evap &amp; ET</v>
      </c>
      <c r="B63" s="1"/>
      <c r="C63" s="50"/>
      <c r="D63" s="50"/>
      <c r="E63" s="68"/>
      <c r="F63" s="50"/>
      <c r="G63" s="50"/>
      <c r="H63" s="68"/>
      <c r="I63" s="43"/>
      <c r="J63" s="43"/>
      <c r="K63" s="43"/>
      <c r="L63" s="43"/>
      <c r="M63" s="33">
        <f t="shared" si="26"/>
        <v>0</v>
      </c>
    </row>
    <row r="64" spans="1:13" x14ac:dyDescent="0.35">
      <c r="A64" t="str">
        <f t="shared" si="24"/>
        <v/>
      </c>
      <c r="B64" s="1"/>
      <c r="C64" s="50"/>
      <c r="D64" s="50"/>
      <c r="E64" s="68"/>
      <c r="F64" s="50"/>
      <c r="G64" s="50"/>
      <c r="H64" s="68"/>
      <c r="I64" s="43"/>
      <c r="J64" s="43"/>
      <c r="K64" s="43"/>
      <c r="L64" s="43"/>
      <c r="M64" s="33">
        <f t="shared" si="26"/>
        <v>0</v>
      </c>
    </row>
    <row r="65" spans="1:21" x14ac:dyDescent="0.35">
      <c r="A65" t="str">
        <f t="shared" si="24"/>
        <v/>
      </c>
      <c r="B65" s="1"/>
      <c r="C65" s="50"/>
      <c r="D65" s="50"/>
      <c r="E65" s="50"/>
      <c r="F65" s="50"/>
      <c r="G65" s="50"/>
      <c r="H65" s="50"/>
      <c r="I65" s="43"/>
      <c r="J65" s="43"/>
      <c r="K65" s="43"/>
      <c r="L65" s="43"/>
      <c r="M65" s="33">
        <f t="shared" si="26"/>
        <v>0</v>
      </c>
    </row>
    <row r="66" spans="1:21" x14ac:dyDescent="0.35">
      <c r="A66" t="s">
        <v>159</v>
      </c>
      <c r="B66" s="1"/>
      <c r="C66" s="53">
        <f>IF(C$25&lt;&gt;"",SUM(C60:C65),"")</f>
        <v>0</v>
      </c>
      <c r="D66" s="53">
        <f t="shared" ref="D66:L66" si="27">IF(D$25&lt;&gt;"",SUM(D60:D65),"")</f>
        <v>0</v>
      </c>
      <c r="E66" s="53">
        <f t="shared" si="27"/>
        <v>0</v>
      </c>
      <c r="F66" s="53">
        <f t="shared" si="27"/>
        <v>0</v>
      </c>
      <c r="G66" s="53">
        <f t="shared" si="27"/>
        <v>0</v>
      </c>
      <c r="H66" s="53">
        <f t="shared" si="27"/>
        <v>0</v>
      </c>
      <c r="I66" s="53">
        <f t="shared" si="27"/>
        <v>0</v>
      </c>
      <c r="J66" s="53">
        <f t="shared" si="27"/>
        <v>0</v>
      </c>
      <c r="K66" s="53">
        <f t="shared" si="27"/>
        <v>0</v>
      </c>
      <c r="L66" s="53">
        <f t="shared" si="27"/>
        <v>0</v>
      </c>
      <c r="M66" s="34"/>
    </row>
    <row r="67" spans="1:21" x14ac:dyDescent="0.35">
      <c r="A67" t="s">
        <v>160</v>
      </c>
      <c r="B67" s="1"/>
      <c r="C67" s="31"/>
      <c r="D67" s="31"/>
      <c r="E67" s="31"/>
      <c r="F67" s="31"/>
      <c r="G67" s="31"/>
      <c r="H67" s="31"/>
      <c r="I67" s="31">
        <v>350</v>
      </c>
      <c r="J67" s="31">
        <v>350</v>
      </c>
      <c r="K67" s="31">
        <v>350</v>
      </c>
      <c r="L67" s="31">
        <v>350</v>
      </c>
    </row>
    <row r="68" spans="1:21" x14ac:dyDescent="0.35">
      <c r="A68" s="1" t="s">
        <v>186</v>
      </c>
      <c r="B68" s="1"/>
      <c r="C68"/>
    </row>
    <row r="69" spans="1:21" x14ac:dyDescent="0.35">
      <c r="A69" t="str">
        <f>IF(A6="","","    "&amp;A6)</f>
        <v xml:space="preserve">    Upper Basin</v>
      </c>
      <c r="C69" s="14">
        <f>IF(OR(C$25="",$A69=""),"",C28+C46+C53-C38-C60)</f>
        <v>14.632257133649304</v>
      </c>
      <c r="D69" s="14">
        <f t="shared" ref="D69:L69" si="28">IF(OR(D$25="",$A69=""),"",D28+D46+D53-D38-D60)</f>
        <v>14.083093333626893</v>
      </c>
      <c r="E69" s="14">
        <f t="shared" si="28"/>
        <v>13.551085552983922</v>
      </c>
      <c r="F69" s="14">
        <f t="shared" si="28"/>
        <v>13.037236686384876</v>
      </c>
      <c r="G69" s="14">
        <f t="shared" si="28"/>
        <v>12.541761656000229</v>
      </c>
      <c r="H69" s="14">
        <f t="shared" si="28"/>
        <v>12.063868956382843</v>
      </c>
      <c r="I69" s="14">
        <f t="shared" si="28"/>
        <v>13.103631527986424</v>
      </c>
      <c r="J69" s="14">
        <f t="shared" si="28"/>
        <v>14.102385129376854</v>
      </c>
      <c r="K69" s="14">
        <f t="shared" si="28"/>
        <v>15.062467282554408</v>
      </c>
      <c r="L69" s="14">
        <f t="shared" si="28"/>
        <v>15.988164461368957</v>
      </c>
    </row>
    <row r="70" spans="1:21" x14ac:dyDescent="0.35">
      <c r="A70" t="str">
        <f t="shared" ref="A70:A74" si="29">IF(A7="","","    "&amp;A7)</f>
        <v xml:space="preserve">    Lower Basin</v>
      </c>
      <c r="C70" s="14">
        <f t="shared" ref="C70:L74" si="30">IF(OR(C$25="",$A70=""),"",C29+C47+C54-C39-C61)</f>
        <v>16.53683086430712</v>
      </c>
      <c r="D70" s="14">
        <f t="shared" si="30"/>
        <v>16.158243974330134</v>
      </c>
      <c r="E70" s="14">
        <f t="shared" si="30"/>
        <v>15.79099952047253</v>
      </c>
      <c r="F70" s="14">
        <f t="shared" si="30"/>
        <v>15.513719347570403</v>
      </c>
      <c r="G70" s="14">
        <f t="shared" si="30"/>
        <v>15.242794533454452</v>
      </c>
      <c r="H70" s="14">
        <f t="shared" si="30"/>
        <v>14.977635064071269</v>
      </c>
      <c r="I70" s="14">
        <f t="shared" si="30"/>
        <v>15.218511512468288</v>
      </c>
      <c r="J70" s="14">
        <f t="shared" si="30"/>
        <v>15.460778625077859</v>
      </c>
      <c r="K70" s="14">
        <f t="shared" si="30"/>
        <v>15.702302873899733</v>
      </c>
      <c r="L70" s="14">
        <f t="shared" si="30"/>
        <v>15.94347482408576</v>
      </c>
    </row>
    <row r="71" spans="1:21" x14ac:dyDescent="0.35">
      <c r="A71" t="str">
        <f t="shared" si="29"/>
        <v xml:space="preserve">    Mexico</v>
      </c>
      <c r="C71" s="60">
        <f t="shared" si="30"/>
        <v>1.5090143220436021</v>
      </c>
      <c r="D71" s="14">
        <f t="shared" si="30"/>
        <v>1.47</v>
      </c>
      <c r="E71" s="14">
        <f t="shared" si="30"/>
        <v>1.468</v>
      </c>
      <c r="F71" s="14">
        <f t="shared" si="30"/>
        <v>1.468</v>
      </c>
      <c r="G71" s="14">
        <f t="shared" si="30"/>
        <v>1.468</v>
      </c>
      <c r="H71" s="14">
        <f t="shared" si="30"/>
        <v>1.468</v>
      </c>
      <c r="I71" s="14">
        <f t="shared" si="30"/>
        <v>1.468</v>
      </c>
      <c r="J71" s="14">
        <f t="shared" si="30"/>
        <v>1.468</v>
      </c>
      <c r="K71" s="14">
        <f t="shared" si="30"/>
        <v>1.468</v>
      </c>
      <c r="L71" s="14">
        <f t="shared" si="30"/>
        <v>1.468</v>
      </c>
    </row>
    <row r="72" spans="1:21" x14ac:dyDescent="0.35">
      <c r="A72" t="str">
        <f t="shared" si="29"/>
        <v xml:space="preserve">    Mohave &amp; Havasu Evap &amp; ET</v>
      </c>
      <c r="C72" s="14">
        <f t="shared" si="30"/>
        <v>0.6</v>
      </c>
      <c r="D72" s="14">
        <f t="shared" si="30"/>
        <v>0.6</v>
      </c>
      <c r="E72" s="14">
        <f t="shared" si="30"/>
        <v>0.6</v>
      </c>
      <c r="F72" s="14">
        <f t="shared" si="30"/>
        <v>0.6</v>
      </c>
      <c r="G72" s="14">
        <f t="shared" si="30"/>
        <v>0.6</v>
      </c>
      <c r="H72" s="14">
        <f t="shared" si="30"/>
        <v>0.6</v>
      </c>
      <c r="I72" s="14">
        <f t="shared" si="30"/>
        <v>0.6</v>
      </c>
      <c r="J72" s="14">
        <f t="shared" si="30"/>
        <v>0.6</v>
      </c>
      <c r="K72" s="14">
        <f t="shared" si="30"/>
        <v>0.6</v>
      </c>
      <c r="L72" s="14">
        <f t="shared" si="30"/>
        <v>0.6</v>
      </c>
    </row>
    <row r="73" spans="1:21" x14ac:dyDescent="0.35">
      <c r="A73" t="str">
        <f t="shared" si="29"/>
        <v/>
      </c>
      <c r="C73" s="60" t="str">
        <f t="shared" si="30"/>
        <v/>
      </c>
      <c r="D73" s="60" t="str">
        <f t="shared" si="30"/>
        <v/>
      </c>
      <c r="E73" s="60" t="str">
        <f t="shared" si="30"/>
        <v/>
      </c>
      <c r="F73" s="60" t="str">
        <f t="shared" si="30"/>
        <v/>
      </c>
      <c r="G73" s="60" t="str">
        <f t="shared" si="30"/>
        <v/>
      </c>
      <c r="H73" s="60" t="str">
        <f t="shared" si="30"/>
        <v/>
      </c>
      <c r="I73" s="60" t="str">
        <f t="shared" si="30"/>
        <v/>
      </c>
      <c r="J73" s="60" t="str">
        <f t="shared" si="30"/>
        <v/>
      </c>
      <c r="K73" s="60" t="str">
        <f t="shared" si="30"/>
        <v/>
      </c>
      <c r="L73" s="60" t="str">
        <f t="shared" si="30"/>
        <v/>
      </c>
    </row>
    <row r="74" spans="1:21" x14ac:dyDescent="0.35">
      <c r="A74" t="str">
        <f t="shared" si="29"/>
        <v/>
      </c>
      <c r="C74" s="14" t="str">
        <f t="shared" si="30"/>
        <v/>
      </c>
      <c r="D74" s="14" t="str">
        <f t="shared" si="30"/>
        <v/>
      </c>
      <c r="E74" s="14" t="str">
        <f t="shared" si="30"/>
        <v/>
      </c>
      <c r="F74" s="14" t="str">
        <f t="shared" si="30"/>
        <v/>
      </c>
      <c r="G74" s="14" t="str">
        <f t="shared" si="30"/>
        <v/>
      </c>
      <c r="H74" s="14" t="str">
        <f t="shared" si="30"/>
        <v/>
      </c>
      <c r="I74" s="14" t="str">
        <f t="shared" si="30"/>
        <v/>
      </c>
      <c r="J74" s="14" t="str">
        <f t="shared" si="30"/>
        <v/>
      </c>
      <c r="K74" s="14" t="str">
        <f t="shared" si="30"/>
        <v/>
      </c>
      <c r="L74" s="14" t="str">
        <f t="shared" si="30"/>
        <v/>
      </c>
    </row>
    <row r="75" spans="1:21" x14ac:dyDescent="0.35">
      <c r="A75" s="1" t="s">
        <v>136</v>
      </c>
      <c r="B75" s="1"/>
      <c r="C75" s="69"/>
      <c r="D75" s="2"/>
      <c r="E75" s="69"/>
      <c r="F75" s="2"/>
      <c r="G75" s="2"/>
      <c r="H75" s="2"/>
      <c r="I75" s="2"/>
      <c r="J75" s="2"/>
      <c r="K75" s="2"/>
      <c r="L75" s="2"/>
    </row>
    <row r="76" spans="1:21" x14ac:dyDescent="0.35">
      <c r="A76" t="str">
        <f>IF(A6="","","    "&amp;A6&amp;" - Consumptive Use and Headwaters Losses")</f>
        <v xml:space="preserve">    Upper Basin - Consumptive Use and Headwaters Losses</v>
      </c>
      <c r="C76" s="43">
        <f>IF(C69&gt;6.1+4.2,4.2,MAX(C69-6.1,0))</f>
        <v>4.2</v>
      </c>
      <c r="D76" s="43">
        <f t="shared" ref="D76:L76" si="31">IF(D69&gt;6.1+4.2,4.2,MAX(D69-6.1,0))</f>
        <v>4.2</v>
      </c>
      <c r="E76" s="43">
        <f t="shared" si="31"/>
        <v>4.2</v>
      </c>
      <c r="F76" s="43">
        <f t="shared" si="31"/>
        <v>4.2</v>
      </c>
      <c r="G76" s="43">
        <f t="shared" si="31"/>
        <v>4.2</v>
      </c>
      <c r="H76" s="43">
        <f t="shared" si="31"/>
        <v>4.2</v>
      </c>
      <c r="I76" s="43">
        <f t="shared" si="31"/>
        <v>4.2</v>
      </c>
      <c r="J76" s="43">
        <f t="shared" si="31"/>
        <v>4.2</v>
      </c>
      <c r="K76" s="43">
        <f t="shared" si="31"/>
        <v>4.2</v>
      </c>
      <c r="L76" s="43">
        <f t="shared" si="31"/>
        <v>4.2</v>
      </c>
      <c r="N76" s="1" t="s">
        <v>129</v>
      </c>
    </row>
    <row r="77" spans="1:21" x14ac:dyDescent="0.35">
      <c r="A77" t="str">
        <f>IF(A7="","","    "&amp;A7&amp;" - Release from Mead")</f>
        <v xml:space="preserve">    Lower Basin - Release from Mead</v>
      </c>
      <c r="C77" s="43">
        <f>7.5-IF(C$29&lt;$O$78,$P$78,IF(C$29&lt;=$O$85,VLOOKUP(C$29,$O$78:$P$85,2),0))</f>
        <v>6.867</v>
      </c>
      <c r="D77" s="43">
        <f t="shared" ref="D77:L77" si="32">7.5-IF(D$29&lt;$O$78,$P$78,IF(D$29&lt;=$O$85,VLOOKUP(D$29,$O$78:$P$85,2),0))</f>
        <v>6.867</v>
      </c>
      <c r="E77" s="43">
        <f t="shared" si="32"/>
        <v>6.7830000000000004</v>
      </c>
      <c r="F77" s="43">
        <f t="shared" si="32"/>
        <v>6.7830000000000004</v>
      </c>
      <c r="G77" s="43">
        <f t="shared" si="32"/>
        <v>6.7830000000000004</v>
      </c>
      <c r="H77" s="43">
        <f t="shared" si="32"/>
        <v>6.7830000000000004</v>
      </c>
      <c r="I77" s="43">
        <f t="shared" si="32"/>
        <v>6.7830000000000004</v>
      </c>
      <c r="J77" s="43">
        <f t="shared" si="32"/>
        <v>6.7830000000000004</v>
      </c>
      <c r="K77" s="43">
        <f t="shared" si="32"/>
        <v>6.7830000000000004</v>
      </c>
      <c r="L77" s="43">
        <f t="shared" si="32"/>
        <v>6.7830000000000004</v>
      </c>
      <c r="N77" s="37" t="s">
        <v>130</v>
      </c>
      <c r="O77" s="37" t="s">
        <v>131</v>
      </c>
      <c r="P77" s="38" t="s">
        <v>132</v>
      </c>
      <c r="Q77" s="38" t="s">
        <v>133</v>
      </c>
      <c r="R77" s="37" t="s">
        <v>134</v>
      </c>
      <c r="S77" s="37" t="s">
        <v>134</v>
      </c>
      <c r="T77" s="51" t="s">
        <v>157</v>
      </c>
      <c r="U77" s="51" t="s">
        <v>158</v>
      </c>
    </row>
    <row r="78" spans="1:21" x14ac:dyDescent="0.35">
      <c r="A78" t="str">
        <f t="shared" ref="A78:A81" si="33">IF(A8="","","    "&amp;A8&amp;" - Release from Mead")</f>
        <v xml:space="preserve">    Mexico - Release from Mead</v>
      </c>
      <c r="C78" s="50">
        <f t="shared" ref="C78:L78" si="34">C71</f>
        <v>1.5090143220436021</v>
      </c>
      <c r="D78" s="50">
        <f t="shared" si="34"/>
        <v>1.47</v>
      </c>
      <c r="E78" s="50">
        <f t="shared" si="34"/>
        <v>1.468</v>
      </c>
      <c r="F78" s="50">
        <f t="shared" si="34"/>
        <v>1.468</v>
      </c>
      <c r="G78" s="50">
        <f t="shared" si="34"/>
        <v>1.468</v>
      </c>
      <c r="H78" s="50">
        <f t="shared" si="34"/>
        <v>1.468</v>
      </c>
      <c r="I78" s="50">
        <f t="shared" si="34"/>
        <v>1.468</v>
      </c>
      <c r="J78" s="50">
        <f t="shared" si="34"/>
        <v>1.468</v>
      </c>
      <c r="K78" s="50">
        <f t="shared" si="34"/>
        <v>1.468</v>
      </c>
      <c r="L78" s="50">
        <f t="shared" si="34"/>
        <v>1.468</v>
      </c>
      <c r="N78" s="39">
        <v>1025</v>
      </c>
      <c r="O78" s="40">
        <v>5.981122</v>
      </c>
      <c r="P78" s="41">
        <f>S78-Q78</f>
        <v>1.2000000000000002</v>
      </c>
      <c r="Q78" s="49">
        <v>0.15</v>
      </c>
      <c r="R78" s="41">
        <v>1.325</v>
      </c>
      <c r="S78" s="41">
        <f t="shared" ref="S78:S85" si="35">U78/1000000</f>
        <v>1.35</v>
      </c>
      <c r="T78" s="42">
        <v>0.125</v>
      </c>
      <c r="U78" s="52">
        <v>1350000</v>
      </c>
    </row>
    <row r="79" spans="1:21" x14ac:dyDescent="0.35">
      <c r="A79" t="str">
        <f t="shared" si="33"/>
        <v xml:space="preserve">    Mohave &amp; Havasu Evap &amp; ET - Release from Mead</v>
      </c>
      <c r="C79" s="43">
        <v>0.6</v>
      </c>
      <c r="D79" s="43">
        <v>0.6</v>
      </c>
      <c r="E79" s="43">
        <v>0.6</v>
      </c>
      <c r="F79" s="43">
        <v>0.6</v>
      </c>
      <c r="G79" s="43">
        <v>0.6</v>
      </c>
      <c r="H79" s="43">
        <v>0.6</v>
      </c>
      <c r="I79" s="43">
        <v>0.6</v>
      </c>
      <c r="J79" s="43">
        <v>0.6</v>
      </c>
      <c r="K79" s="43">
        <v>0.6</v>
      </c>
      <c r="L79" s="43">
        <v>0.6</v>
      </c>
      <c r="N79" s="39">
        <v>1030</v>
      </c>
      <c r="O79" s="40">
        <v>6.305377</v>
      </c>
      <c r="P79" s="41">
        <f t="shared" ref="P79:P85" si="36">S79-Q79</f>
        <v>1.117</v>
      </c>
      <c r="Q79" s="49">
        <v>0.10100000000000001</v>
      </c>
      <c r="R79" s="41">
        <v>1.1870000000000001</v>
      </c>
      <c r="S79" s="41">
        <f t="shared" si="35"/>
        <v>1.218</v>
      </c>
      <c r="T79" s="42">
        <v>7.0000000000000007E-2</v>
      </c>
      <c r="U79" s="52">
        <v>1218000</v>
      </c>
    </row>
    <row r="80" spans="1:21" x14ac:dyDescent="0.35">
      <c r="A80" t="str">
        <f t="shared" si="33"/>
        <v/>
      </c>
      <c r="C80" s="68"/>
      <c r="D80" s="68"/>
      <c r="E80" s="50" t="str">
        <f>E73</f>
        <v/>
      </c>
      <c r="F80" s="50"/>
      <c r="G80" s="50"/>
      <c r="H80" s="50" t="str">
        <f>H73</f>
        <v/>
      </c>
      <c r="I80" s="50"/>
      <c r="J80" s="50"/>
      <c r="K80" s="50" t="str">
        <f>K73</f>
        <v/>
      </c>
      <c r="L80" s="50"/>
      <c r="N80" s="39">
        <v>1035</v>
      </c>
      <c r="O80" s="40">
        <v>6.6375080000000004</v>
      </c>
      <c r="P80" s="41">
        <f t="shared" si="36"/>
        <v>1.0669999999999999</v>
      </c>
      <c r="Q80" s="49">
        <v>9.1999999999999998E-2</v>
      </c>
      <c r="R80" s="41">
        <v>1.137</v>
      </c>
      <c r="S80" s="41">
        <f t="shared" si="35"/>
        <v>1.159</v>
      </c>
      <c r="T80" s="42">
        <v>7.0000000000000007E-2</v>
      </c>
      <c r="U80" s="52">
        <v>1159000</v>
      </c>
    </row>
    <row r="81" spans="1:21" x14ac:dyDescent="0.35">
      <c r="A81" t="str">
        <f t="shared" si="33"/>
        <v/>
      </c>
      <c r="C81" s="43"/>
      <c r="D81" s="43"/>
      <c r="E81" s="43"/>
      <c r="F81" s="43"/>
      <c r="G81" s="43"/>
      <c r="H81" s="43"/>
      <c r="I81" s="43"/>
      <c r="J81" s="43"/>
      <c r="K81" s="43"/>
      <c r="L81" s="43"/>
      <c r="N81" s="39">
        <v>1040</v>
      </c>
      <c r="O81" s="40">
        <v>6.977665</v>
      </c>
      <c r="P81" s="41">
        <f t="shared" si="36"/>
        <v>1.0169999999999999</v>
      </c>
      <c r="Q81" s="49">
        <v>8.4000000000000005E-2</v>
      </c>
      <c r="R81" s="41">
        <v>1.087</v>
      </c>
      <c r="S81" s="41">
        <f t="shared" si="35"/>
        <v>1.101</v>
      </c>
      <c r="T81" s="42">
        <v>7.0000000000000007E-2</v>
      </c>
      <c r="U81" s="52">
        <v>1101000</v>
      </c>
    </row>
    <row r="82" spans="1:21" x14ac:dyDescent="0.35">
      <c r="A82" s="1" t="s">
        <v>141</v>
      </c>
      <c r="B82" s="1"/>
      <c r="D82" s="2"/>
      <c r="E82" s="2"/>
      <c r="F82" s="2"/>
      <c r="G82" s="2"/>
      <c r="H82" s="2"/>
      <c r="I82" s="2"/>
      <c r="J82" s="2"/>
      <c r="K82" s="2"/>
      <c r="L82" s="2"/>
      <c r="N82" s="39">
        <v>1045</v>
      </c>
      <c r="O82" s="40">
        <v>7.3260519999999998</v>
      </c>
      <c r="P82" s="41">
        <f t="shared" si="36"/>
        <v>0.96699999999999997</v>
      </c>
      <c r="Q82" s="49">
        <v>7.5999999999999998E-2</v>
      </c>
      <c r="R82" s="41">
        <v>1.0369999999999999</v>
      </c>
      <c r="S82" s="41">
        <f t="shared" si="35"/>
        <v>1.0429999999999999</v>
      </c>
      <c r="T82" s="42">
        <v>7.0000000000000007E-2</v>
      </c>
      <c r="U82" s="52">
        <v>1043000</v>
      </c>
    </row>
    <row r="83" spans="1:21" x14ac:dyDescent="0.35">
      <c r="A83" t="str">
        <f>IF(A6="","","    "&amp;A6)</f>
        <v xml:space="preserve">    Upper Basin</v>
      </c>
      <c r="C83" s="14">
        <f>IF(OR(C$25="",$A83=""),"",C69-C76)</f>
        <v>10.432257133649305</v>
      </c>
      <c r="D83" s="14">
        <f t="shared" ref="D83:L83" si="37">IF(OR(D$25="",$A83=""),"",D69-D76)</f>
        <v>9.883093333626892</v>
      </c>
      <c r="E83" s="14">
        <f t="shared" si="37"/>
        <v>9.3510855529839212</v>
      </c>
      <c r="F83" s="14">
        <f t="shared" si="37"/>
        <v>8.8372366863848768</v>
      </c>
      <c r="G83" s="14">
        <f t="shared" si="37"/>
        <v>8.3417616560002301</v>
      </c>
      <c r="H83" s="14">
        <f t="shared" si="37"/>
        <v>7.8638689563828423</v>
      </c>
      <c r="I83" s="14">
        <f t="shared" si="37"/>
        <v>8.9036315279864233</v>
      </c>
      <c r="J83" s="14">
        <f t="shared" si="37"/>
        <v>9.902385129376853</v>
      </c>
      <c r="K83" s="14">
        <f t="shared" si="37"/>
        <v>10.862467282554409</v>
      </c>
      <c r="L83" s="14">
        <f t="shared" si="37"/>
        <v>11.788164461368957</v>
      </c>
      <c r="N83" s="39">
        <v>1050</v>
      </c>
      <c r="O83" s="40">
        <v>7.6828779999999997</v>
      </c>
      <c r="P83" s="41">
        <f t="shared" si="36"/>
        <v>0.71699999999999997</v>
      </c>
      <c r="Q83" s="49">
        <v>3.4000000000000002E-2</v>
      </c>
      <c r="R83" s="41">
        <v>0.78700000000000003</v>
      </c>
      <c r="S83" s="41">
        <f t="shared" si="35"/>
        <v>0.751</v>
      </c>
      <c r="T83" s="42">
        <v>7.0000000000000007E-2</v>
      </c>
      <c r="U83" s="52">
        <v>751000</v>
      </c>
    </row>
    <row r="84" spans="1:21" x14ac:dyDescent="0.35">
      <c r="A84" t="str">
        <f t="shared" ref="A84:A88" si="38">IF(A7="","","    "&amp;A7)</f>
        <v xml:space="preserve">    Lower Basin</v>
      </c>
      <c r="C84" s="14">
        <f t="shared" ref="C84:L88" si="39">IF(OR(C$25="",$A84=""),"",C70-C77)</f>
        <v>9.6698308643071194</v>
      </c>
      <c r="D84" s="14">
        <f t="shared" si="39"/>
        <v>9.2912439743301327</v>
      </c>
      <c r="E84" s="14">
        <f t="shared" si="39"/>
        <v>9.0079995204725307</v>
      </c>
      <c r="F84" s="14">
        <f t="shared" si="39"/>
        <v>8.7307193475704032</v>
      </c>
      <c r="G84" s="14">
        <f t="shared" si="39"/>
        <v>8.4597945334544526</v>
      </c>
      <c r="H84" s="14">
        <f t="shared" si="39"/>
        <v>8.1946350640712673</v>
      </c>
      <c r="I84" s="14">
        <f t="shared" si="39"/>
        <v>8.4355115124682882</v>
      </c>
      <c r="J84" s="14">
        <f t="shared" si="39"/>
        <v>8.6777786250778597</v>
      </c>
      <c r="K84" s="14">
        <f t="shared" si="39"/>
        <v>8.9193028738997313</v>
      </c>
      <c r="L84" s="14">
        <f t="shared" si="39"/>
        <v>9.1604748240857603</v>
      </c>
      <c r="N84" s="39">
        <v>1075</v>
      </c>
      <c r="O84" s="40">
        <v>9.6009879999900001</v>
      </c>
      <c r="P84" s="41">
        <f t="shared" si="36"/>
        <v>0.63300000000000001</v>
      </c>
      <c r="Q84" s="49">
        <v>0.03</v>
      </c>
      <c r="R84" s="41">
        <v>0.68300000000000005</v>
      </c>
      <c r="S84" s="41">
        <f t="shared" si="35"/>
        <v>0.66300000000000003</v>
      </c>
      <c r="T84" s="42">
        <v>0.05</v>
      </c>
      <c r="U84" s="52">
        <v>663000</v>
      </c>
    </row>
    <row r="85" spans="1:21" x14ac:dyDescent="0.35">
      <c r="A85" t="str">
        <f t="shared" si="38"/>
        <v xml:space="preserve">    Mexico</v>
      </c>
      <c r="C85" s="14">
        <f t="shared" si="39"/>
        <v>0</v>
      </c>
      <c r="D85" s="14">
        <f t="shared" si="39"/>
        <v>0</v>
      </c>
      <c r="E85" s="14">
        <f t="shared" si="39"/>
        <v>0</v>
      </c>
      <c r="F85" s="14">
        <f t="shared" si="39"/>
        <v>0</v>
      </c>
      <c r="G85" s="14">
        <f t="shared" si="39"/>
        <v>0</v>
      </c>
      <c r="H85" s="14">
        <f t="shared" si="39"/>
        <v>0</v>
      </c>
      <c r="I85" s="14">
        <f t="shared" si="39"/>
        <v>0</v>
      </c>
      <c r="J85" s="14">
        <f t="shared" si="39"/>
        <v>0</v>
      </c>
      <c r="K85" s="14">
        <f t="shared" si="39"/>
        <v>0</v>
      </c>
      <c r="L85" s="14">
        <f t="shared" si="39"/>
        <v>0</v>
      </c>
      <c r="N85" s="39">
        <v>1090</v>
      </c>
      <c r="O85" s="40">
        <v>10.857008</v>
      </c>
      <c r="P85" s="41">
        <f t="shared" si="36"/>
        <v>0.30000000000000004</v>
      </c>
      <c r="Q85" s="49">
        <v>4.1000000000000002E-2</v>
      </c>
      <c r="R85" s="41">
        <v>0.3</v>
      </c>
      <c r="S85" s="41">
        <f t="shared" si="35"/>
        <v>0.34100000000000003</v>
      </c>
      <c r="T85" s="38"/>
      <c r="U85" s="52">
        <v>341000</v>
      </c>
    </row>
    <row r="86" spans="1:21" x14ac:dyDescent="0.35">
      <c r="A86" t="str">
        <f t="shared" si="38"/>
        <v xml:space="preserve">    Mohave &amp; Havasu Evap &amp; ET</v>
      </c>
      <c r="C86" s="14">
        <f t="shared" si="39"/>
        <v>0</v>
      </c>
      <c r="D86" s="14">
        <f t="shared" si="39"/>
        <v>0</v>
      </c>
      <c r="E86" s="14">
        <f t="shared" si="39"/>
        <v>0</v>
      </c>
      <c r="F86" s="14">
        <f t="shared" si="39"/>
        <v>0</v>
      </c>
      <c r="G86" s="14">
        <f t="shared" si="39"/>
        <v>0</v>
      </c>
      <c r="H86" s="14">
        <f t="shared" si="39"/>
        <v>0</v>
      </c>
      <c r="I86" s="14">
        <f t="shared" si="39"/>
        <v>0</v>
      </c>
      <c r="J86" s="14">
        <f t="shared" si="39"/>
        <v>0</v>
      </c>
      <c r="K86" s="14">
        <f t="shared" si="39"/>
        <v>0</v>
      </c>
      <c r="L86" s="14">
        <f t="shared" si="39"/>
        <v>0</v>
      </c>
    </row>
    <row r="87" spans="1:21" x14ac:dyDescent="0.35">
      <c r="A87" t="str">
        <f t="shared" si="38"/>
        <v/>
      </c>
      <c r="C87" s="59" t="str">
        <f>IF(OR(C$25="",$A87=""),"",C73-C80)</f>
        <v/>
      </c>
      <c r="D87" s="59" t="str">
        <f t="shared" si="39"/>
        <v/>
      </c>
      <c r="E87" s="59" t="str">
        <f t="shared" si="39"/>
        <v/>
      </c>
      <c r="F87" s="59" t="str">
        <f t="shared" si="39"/>
        <v/>
      </c>
      <c r="G87" s="59" t="str">
        <f t="shared" si="39"/>
        <v/>
      </c>
      <c r="H87" s="59" t="str">
        <f t="shared" si="39"/>
        <v/>
      </c>
      <c r="I87" s="59" t="str">
        <f t="shared" si="39"/>
        <v/>
      </c>
      <c r="J87" s="59" t="str">
        <f t="shared" si="39"/>
        <v/>
      </c>
      <c r="K87" s="59" t="str">
        <f t="shared" si="39"/>
        <v/>
      </c>
      <c r="L87" s="59" t="str">
        <f t="shared" si="39"/>
        <v/>
      </c>
    </row>
    <row r="88" spans="1:21" x14ac:dyDescent="0.35">
      <c r="A88" t="str">
        <f t="shared" si="38"/>
        <v/>
      </c>
      <c r="C88" s="14" t="str">
        <f t="shared" si="39"/>
        <v/>
      </c>
      <c r="D88" s="14" t="str">
        <f t="shared" si="39"/>
        <v/>
      </c>
      <c r="E88" s="14" t="str">
        <f t="shared" si="39"/>
        <v/>
      </c>
      <c r="F88" s="14" t="str">
        <f t="shared" si="39"/>
        <v/>
      </c>
      <c r="G88" s="14" t="str">
        <f t="shared" si="39"/>
        <v/>
      </c>
      <c r="H88" s="14" t="str">
        <f t="shared" si="39"/>
        <v/>
      </c>
      <c r="I88" s="14" t="str">
        <f t="shared" si="39"/>
        <v/>
      </c>
      <c r="J88" s="14" t="str">
        <f t="shared" si="39"/>
        <v/>
      </c>
      <c r="K88" s="14" t="str">
        <f t="shared" si="39"/>
        <v/>
      </c>
      <c r="L88" s="14" t="str">
        <f t="shared" si="39"/>
        <v/>
      </c>
    </row>
    <row r="89" spans="1:21" x14ac:dyDescent="0.35">
      <c r="A89" s="1" t="s">
        <v>125</v>
      </c>
      <c r="B89" s="1"/>
      <c r="C89" s="14">
        <f>IF(C$25&lt;&gt;"",SUM(C83:C88),"")</f>
        <v>20.102087997956424</v>
      </c>
      <c r="D89" s="14">
        <f t="shared" ref="D89:L89" si="40">IF(D$25&lt;&gt;"",SUM(D83:D88),"")</f>
        <v>19.174337307957025</v>
      </c>
      <c r="E89" s="14">
        <f t="shared" si="40"/>
        <v>18.359085073456452</v>
      </c>
      <c r="F89" s="14">
        <f t="shared" si="40"/>
        <v>17.56795603395528</v>
      </c>
      <c r="G89" s="14">
        <f t="shared" si="40"/>
        <v>16.801556189454683</v>
      </c>
      <c r="H89" s="14">
        <f t="shared" si="40"/>
        <v>16.058504020454109</v>
      </c>
      <c r="I89" s="14">
        <f t="shared" si="40"/>
        <v>17.339143040454712</v>
      </c>
      <c r="J89" s="14">
        <f t="shared" si="40"/>
        <v>18.580163754454713</v>
      </c>
      <c r="K89" s="14">
        <f t="shared" si="40"/>
        <v>19.78177015645414</v>
      </c>
      <c r="L89" s="14">
        <f t="shared" si="40"/>
        <v>20.948639285454718</v>
      </c>
    </row>
    <row r="90" spans="1:21" x14ac:dyDescent="0.35">
      <c r="A90" s="1" t="s">
        <v>147</v>
      </c>
      <c r="B90" s="1"/>
      <c r="C90" s="14">
        <f>IF(C25&lt;&gt;"",C35+C25-C38-C76-C89*$B$35,"")</f>
        <v>8.6162131346710886</v>
      </c>
      <c r="D90" s="14">
        <f t="shared" ref="D90:L90" si="41">IF(D25&lt;&gt;"",D35+D25-D38-D76-D89*$B$35,"")</f>
        <v>8.1497115449772899</v>
      </c>
      <c r="E90" s="14">
        <f t="shared" si="41"/>
        <v>8.1106183366073186</v>
      </c>
      <c r="F90" s="14">
        <f t="shared" si="41"/>
        <v>8.1167156531515428</v>
      </c>
      <c r="G90" s="14">
        <f t="shared" si="41"/>
        <v>8.1227248918656532</v>
      </c>
      <c r="H90" s="14">
        <f t="shared" si="41"/>
        <v>8.1286333848828995</v>
      </c>
      <c r="I90" s="14">
        <f t="shared" si="41"/>
        <v>9.1344430616032799</v>
      </c>
      <c r="J90" s="14">
        <f t="shared" si="41"/>
        <v>9.1132432443904303</v>
      </c>
      <c r="K90" s="14">
        <f t="shared" si="41"/>
        <v>9.0942789521778433</v>
      </c>
      <c r="L90" s="14">
        <f t="shared" si="41"/>
        <v>9.0772626143142574</v>
      </c>
    </row>
    <row r="92" spans="1:21" x14ac:dyDescent="0.35">
      <c r="A92" s="1" t="s">
        <v>127</v>
      </c>
      <c r="C92" s="12">
        <f>IF(C$25&lt;&gt;"",0.2,"")</f>
        <v>0.2</v>
      </c>
      <c r="D92" s="12">
        <f t="shared" ref="D92:L92" si="42">IF(D$25&lt;&gt;"",0.2,"")</f>
        <v>0.2</v>
      </c>
      <c r="E92" s="12">
        <f t="shared" si="42"/>
        <v>0.2</v>
      </c>
      <c r="F92" s="12">
        <f t="shared" si="42"/>
        <v>0.2</v>
      </c>
      <c r="G92" s="12">
        <f t="shared" si="42"/>
        <v>0.2</v>
      </c>
      <c r="H92" s="12">
        <f t="shared" si="42"/>
        <v>0.2</v>
      </c>
      <c r="I92" s="12">
        <f t="shared" si="42"/>
        <v>0.2</v>
      </c>
      <c r="J92" s="12">
        <f t="shared" si="42"/>
        <v>0.2</v>
      </c>
      <c r="K92" s="12">
        <f t="shared" si="42"/>
        <v>0.2</v>
      </c>
      <c r="L92" s="12">
        <f t="shared" si="42"/>
        <v>0.2</v>
      </c>
    </row>
    <row r="93" spans="1:21" x14ac:dyDescent="0.35">
      <c r="A93" t="s">
        <v>128</v>
      </c>
      <c r="C93" s="14">
        <f t="shared" ref="C93:L93" si="43">IF(C$25&lt;&gt;"",C77+C92,"")</f>
        <v>7.0670000000000002</v>
      </c>
      <c r="D93" s="14">
        <f t="shared" si="43"/>
        <v>7.0670000000000002</v>
      </c>
      <c r="E93" s="14">
        <f t="shared" si="43"/>
        <v>6.9830000000000005</v>
      </c>
      <c r="F93" s="14">
        <f t="shared" si="43"/>
        <v>6.9830000000000005</v>
      </c>
      <c r="G93" s="14">
        <f t="shared" si="43"/>
        <v>6.9830000000000005</v>
      </c>
      <c r="H93" s="14">
        <f t="shared" si="43"/>
        <v>6.9830000000000005</v>
      </c>
      <c r="I93" s="14">
        <f t="shared" si="43"/>
        <v>6.9830000000000005</v>
      </c>
      <c r="J93" s="14">
        <f t="shared" si="43"/>
        <v>6.9830000000000005</v>
      </c>
      <c r="K93" s="14">
        <f t="shared" si="43"/>
        <v>6.9830000000000005</v>
      </c>
      <c r="L93" s="14">
        <f t="shared" si="43"/>
        <v>6.9830000000000005</v>
      </c>
    </row>
    <row r="95" spans="1:21" x14ac:dyDescent="0.35">
      <c r="D95" s="18"/>
    </row>
  </sheetData>
  <mergeCells count="9">
    <mergeCell ref="C9:G9"/>
    <mergeCell ref="C10:G10"/>
    <mergeCell ref="C11:G11"/>
    <mergeCell ref="A3:G3"/>
    <mergeCell ref="C4:G4"/>
    <mergeCell ref="C5:G5"/>
    <mergeCell ref="C6:G6"/>
    <mergeCell ref="C7:G7"/>
    <mergeCell ref="C8:G8"/>
  </mergeCells>
  <conditionalFormatting sqref="C76">
    <cfRule type="cellIs" dxfId="202" priority="60" operator="greaterThan">
      <formula>$C$69</formula>
    </cfRule>
  </conditionalFormatting>
  <conditionalFormatting sqref="C77">
    <cfRule type="cellIs" dxfId="201" priority="59" operator="greaterThan">
      <formula>$C$70</formula>
    </cfRule>
  </conditionalFormatting>
  <conditionalFormatting sqref="C78">
    <cfRule type="cellIs" dxfId="200" priority="58" operator="greaterThan">
      <formula>$C$71</formula>
    </cfRule>
  </conditionalFormatting>
  <conditionalFormatting sqref="C79">
    <cfRule type="cellIs" dxfId="199" priority="57" operator="greaterThan">
      <formula>$C$72</formula>
    </cfRule>
  </conditionalFormatting>
  <conditionalFormatting sqref="C80">
    <cfRule type="cellIs" dxfId="198" priority="56" operator="greaterThan">
      <formula>$C$73</formula>
    </cfRule>
  </conditionalFormatting>
  <conditionalFormatting sqref="C81">
    <cfRule type="cellIs" dxfId="197" priority="55" operator="greaterThan">
      <formula>$C$74</formula>
    </cfRule>
  </conditionalFormatting>
  <conditionalFormatting sqref="D76">
    <cfRule type="cellIs" dxfId="196" priority="54" operator="greaterThan">
      <formula>$D$69</formula>
    </cfRule>
  </conditionalFormatting>
  <conditionalFormatting sqref="D77">
    <cfRule type="cellIs" dxfId="195" priority="53" operator="greaterThan">
      <formula>$D$70</formula>
    </cfRule>
  </conditionalFormatting>
  <conditionalFormatting sqref="D78">
    <cfRule type="cellIs" dxfId="194" priority="52" operator="greaterThan">
      <formula>$D$71</formula>
    </cfRule>
  </conditionalFormatting>
  <conditionalFormatting sqref="D79">
    <cfRule type="cellIs" dxfId="193" priority="51" operator="greaterThan">
      <formula>$D$72</formula>
    </cfRule>
  </conditionalFormatting>
  <conditionalFormatting sqref="D80">
    <cfRule type="cellIs" dxfId="192" priority="50" operator="greaterThan">
      <formula>$D$73</formula>
    </cfRule>
  </conditionalFormatting>
  <conditionalFormatting sqref="D81">
    <cfRule type="cellIs" dxfId="191" priority="49" operator="greaterThan">
      <formula>$D$74</formula>
    </cfRule>
  </conditionalFormatting>
  <conditionalFormatting sqref="E76">
    <cfRule type="cellIs" dxfId="190" priority="48" operator="greaterThan">
      <formula>$E$69</formula>
    </cfRule>
  </conditionalFormatting>
  <conditionalFormatting sqref="E77">
    <cfRule type="cellIs" dxfId="189" priority="47" operator="greaterThan">
      <formula>$E$70</formula>
    </cfRule>
  </conditionalFormatting>
  <conditionalFormatting sqref="E78">
    <cfRule type="cellIs" dxfId="188" priority="46" operator="greaterThan">
      <formula>$E$71</formula>
    </cfRule>
  </conditionalFormatting>
  <conditionalFormatting sqref="E79">
    <cfRule type="cellIs" dxfId="187" priority="45" operator="greaterThan">
      <formula>$E$72</formula>
    </cfRule>
  </conditionalFormatting>
  <conditionalFormatting sqref="E80">
    <cfRule type="cellIs" dxfId="186" priority="44" operator="greaterThan">
      <formula>$E$73</formula>
    </cfRule>
  </conditionalFormatting>
  <conditionalFormatting sqref="E81">
    <cfRule type="cellIs" dxfId="185" priority="43" operator="greaterThan">
      <formula>$E$74</formula>
    </cfRule>
  </conditionalFormatting>
  <conditionalFormatting sqref="F76">
    <cfRule type="cellIs" dxfId="184" priority="42" operator="greaterThan">
      <formula>$F$69</formula>
    </cfRule>
  </conditionalFormatting>
  <conditionalFormatting sqref="F77">
    <cfRule type="cellIs" dxfId="183" priority="41" operator="greaterThan">
      <formula>$F$70</formula>
    </cfRule>
  </conditionalFormatting>
  <conditionalFormatting sqref="F78">
    <cfRule type="cellIs" dxfId="182" priority="40" operator="greaterThan">
      <formula>$F$71</formula>
    </cfRule>
  </conditionalFormatting>
  <conditionalFormatting sqref="F79">
    <cfRule type="cellIs" dxfId="181" priority="39" operator="greaterThan">
      <formula>$F$72</formula>
    </cfRule>
  </conditionalFormatting>
  <conditionalFormatting sqref="F80">
    <cfRule type="cellIs" dxfId="180" priority="38" operator="greaterThan">
      <formula>$F$73</formula>
    </cfRule>
  </conditionalFormatting>
  <conditionalFormatting sqref="F81">
    <cfRule type="cellIs" dxfId="179" priority="37" operator="greaterThan">
      <formula>$F$74</formula>
    </cfRule>
  </conditionalFormatting>
  <conditionalFormatting sqref="G76">
    <cfRule type="cellIs" dxfId="178" priority="36" operator="greaterThan">
      <formula>$G$69</formula>
    </cfRule>
  </conditionalFormatting>
  <conditionalFormatting sqref="G77">
    <cfRule type="cellIs" dxfId="177" priority="35" operator="greaterThan">
      <formula>$G$70</formula>
    </cfRule>
  </conditionalFormatting>
  <conditionalFormatting sqref="G78">
    <cfRule type="cellIs" dxfId="176" priority="34" operator="greaterThan">
      <formula>$G$71</formula>
    </cfRule>
  </conditionalFormatting>
  <conditionalFormatting sqref="G79">
    <cfRule type="cellIs" dxfId="175" priority="33" operator="greaterThan">
      <formula>$G$72</formula>
    </cfRule>
  </conditionalFormatting>
  <conditionalFormatting sqref="G80">
    <cfRule type="cellIs" dxfId="174" priority="32" operator="greaterThan">
      <formula>$G$73</formula>
    </cfRule>
  </conditionalFormatting>
  <conditionalFormatting sqref="G81">
    <cfRule type="cellIs" dxfId="173" priority="31" operator="greaterThan">
      <formula>$G$74</formula>
    </cfRule>
  </conditionalFormatting>
  <conditionalFormatting sqref="H76">
    <cfRule type="cellIs" dxfId="172" priority="30" operator="greaterThan">
      <formula>$H$69</formula>
    </cfRule>
  </conditionalFormatting>
  <conditionalFormatting sqref="H77">
    <cfRule type="cellIs" dxfId="171" priority="29" operator="greaterThan">
      <formula>$H$70</formula>
    </cfRule>
  </conditionalFormatting>
  <conditionalFormatting sqref="H78">
    <cfRule type="cellIs" dxfId="170" priority="28" operator="greaterThan">
      <formula>$H$71</formula>
    </cfRule>
  </conditionalFormatting>
  <conditionalFormatting sqref="H79">
    <cfRule type="cellIs" dxfId="169" priority="27" operator="greaterThan">
      <formula>$H$72</formula>
    </cfRule>
  </conditionalFormatting>
  <conditionalFormatting sqref="H80">
    <cfRule type="cellIs" dxfId="168" priority="26" operator="greaterThan">
      <formula>$H$73</formula>
    </cfRule>
  </conditionalFormatting>
  <conditionalFormatting sqref="H81">
    <cfRule type="cellIs" dxfId="167" priority="25" operator="greaterThan">
      <formula>$H$74</formula>
    </cfRule>
  </conditionalFormatting>
  <conditionalFormatting sqref="I76">
    <cfRule type="cellIs" dxfId="166" priority="24" operator="greaterThan">
      <formula>$I$69</formula>
    </cfRule>
  </conditionalFormatting>
  <conditionalFormatting sqref="I77">
    <cfRule type="cellIs" dxfId="165" priority="23" operator="greaterThan">
      <formula>$I$70</formula>
    </cfRule>
  </conditionalFormatting>
  <conditionalFormatting sqref="I78">
    <cfRule type="cellIs" dxfId="164" priority="22" operator="greaterThan">
      <formula>$I$71</formula>
    </cfRule>
  </conditionalFormatting>
  <conditionalFormatting sqref="I79">
    <cfRule type="cellIs" dxfId="163" priority="21" operator="greaterThan">
      <formula>$I$72</formula>
    </cfRule>
  </conditionalFormatting>
  <conditionalFormatting sqref="I80">
    <cfRule type="cellIs" dxfId="162" priority="20" operator="greaterThan">
      <formula>$I$73</formula>
    </cfRule>
  </conditionalFormatting>
  <conditionalFormatting sqref="I81">
    <cfRule type="cellIs" dxfId="161" priority="19" operator="greaterThan">
      <formula>$I$74</formula>
    </cfRule>
  </conditionalFormatting>
  <conditionalFormatting sqref="J76">
    <cfRule type="cellIs" dxfId="160" priority="18" operator="greaterThan">
      <formula>$J$69</formula>
    </cfRule>
  </conditionalFormatting>
  <conditionalFormatting sqref="J77">
    <cfRule type="cellIs" dxfId="159" priority="17" operator="greaterThan">
      <formula>$J$70</formula>
    </cfRule>
  </conditionalFormatting>
  <conditionalFormatting sqref="J78">
    <cfRule type="cellIs" dxfId="158" priority="16" operator="greaterThan">
      <formula>$J$71</formula>
    </cfRule>
  </conditionalFormatting>
  <conditionalFormatting sqref="J79">
    <cfRule type="cellIs" dxfId="157" priority="15" operator="greaterThan">
      <formula>$J$72</formula>
    </cfRule>
  </conditionalFormatting>
  <conditionalFormatting sqref="J80">
    <cfRule type="cellIs" dxfId="156" priority="14" operator="greaterThan">
      <formula>$J$73</formula>
    </cfRule>
  </conditionalFormatting>
  <conditionalFormatting sqref="J81">
    <cfRule type="cellIs" dxfId="155" priority="13" operator="greaterThan">
      <formula>$J$74</formula>
    </cfRule>
  </conditionalFormatting>
  <conditionalFormatting sqref="K76">
    <cfRule type="cellIs" dxfId="154" priority="12" operator="greaterThan">
      <formula>$K$69</formula>
    </cfRule>
  </conditionalFormatting>
  <conditionalFormatting sqref="K77">
    <cfRule type="cellIs" dxfId="153" priority="11" operator="greaterThan">
      <formula>$K$70</formula>
    </cfRule>
  </conditionalFormatting>
  <conditionalFormatting sqref="K78">
    <cfRule type="cellIs" dxfId="152" priority="10" operator="greaterThan">
      <formula>$K$71</formula>
    </cfRule>
  </conditionalFormatting>
  <conditionalFormatting sqref="K79">
    <cfRule type="cellIs" dxfId="151" priority="9" operator="greaterThan">
      <formula>$K$72</formula>
    </cfRule>
  </conditionalFormatting>
  <conditionalFormatting sqref="K80">
    <cfRule type="cellIs" dxfId="150" priority="8" operator="greaterThan">
      <formula>$K$73</formula>
    </cfRule>
  </conditionalFormatting>
  <conditionalFormatting sqref="K81">
    <cfRule type="cellIs" dxfId="149" priority="7" operator="greaterThan">
      <formula>$K$74</formula>
    </cfRule>
  </conditionalFormatting>
  <conditionalFormatting sqref="L76">
    <cfRule type="cellIs" dxfId="148" priority="6" operator="greaterThan">
      <formula>$L$69</formula>
    </cfRule>
  </conditionalFormatting>
  <conditionalFormatting sqref="L77">
    <cfRule type="cellIs" dxfId="147" priority="5" operator="greaterThan">
      <formula>$L$70</formula>
    </cfRule>
  </conditionalFormatting>
  <conditionalFormatting sqref="L78">
    <cfRule type="cellIs" dxfId="146" priority="4" operator="greaterThan">
      <formula>$L$71</formula>
    </cfRule>
  </conditionalFormatting>
  <conditionalFormatting sqref="L79">
    <cfRule type="cellIs" dxfId="145" priority="3" operator="greaterThan">
      <formula>$L$72</formula>
    </cfRule>
  </conditionalFormatting>
  <conditionalFormatting sqref="L80">
    <cfRule type="cellIs" dxfId="144" priority="2" operator="greaterThan">
      <formula>$L$73</formula>
    </cfRule>
  </conditionalFormatting>
  <conditionalFormatting sqref="L81">
    <cfRule type="cellIs" dxfId="143" priority="1" operator="greaterThan">
      <formula>$L$74</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6E68F7-8AAA-4EC7-9EA7-01148874451F}">
  <dimension ref="A1:U95"/>
  <sheetViews>
    <sheetView topLeftCell="A23" zoomScale="150" zoomScaleNormal="150" workbookViewId="0">
      <selection activeCell="N24" sqref="N24:N30"/>
    </sheetView>
  </sheetViews>
  <sheetFormatPr defaultRowHeight="14.5" x14ac:dyDescent="0.35"/>
  <cols>
    <col min="1" max="1" width="37.36328125" customWidth="1"/>
    <col min="2" max="2" width="7.81640625" customWidth="1"/>
    <col min="3" max="3" width="8" style="2" customWidth="1"/>
    <col min="4" max="4" width="7.54296875" customWidth="1"/>
    <col min="5" max="5" width="7.26953125" customWidth="1"/>
    <col min="6" max="6" width="7.6328125" customWidth="1"/>
    <col min="7" max="7" width="7.08984375" customWidth="1"/>
    <col min="8" max="8" width="7.36328125" customWidth="1"/>
    <col min="9" max="9" width="7.7265625" customWidth="1"/>
    <col min="10" max="12" width="8.7265625" customWidth="1"/>
    <col min="13" max="13" width="10.81640625" customWidth="1"/>
    <col min="14" max="14" width="12.26953125" customWidth="1"/>
    <col min="15" max="15" width="13" customWidth="1"/>
    <col min="16" max="16" width="9.81640625" customWidth="1"/>
    <col min="17" max="17" width="10.81640625" customWidth="1"/>
    <col min="18" max="18" width="21.6328125" customWidth="1"/>
    <col min="21" max="21" width="12.1796875" customWidth="1"/>
  </cols>
  <sheetData>
    <row r="1" spans="1:11" x14ac:dyDescent="0.35">
      <c r="A1" s="1" t="s">
        <v>110</v>
      </c>
      <c r="B1" s="1"/>
    </row>
    <row r="2" spans="1:11" x14ac:dyDescent="0.35">
      <c r="A2" s="1"/>
      <c r="B2" s="1"/>
    </row>
    <row r="3" spans="1:11" ht="32" customHeight="1" x14ac:dyDescent="0.35">
      <c r="A3" s="98" t="s">
        <v>169</v>
      </c>
      <c r="B3" s="98"/>
      <c r="C3" s="98"/>
      <c r="D3" s="98"/>
      <c r="E3" s="98"/>
      <c r="F3" s="98"/>
      <c r="G3" s="98"/>
      <c r="H3" s="63"/>
      <c r="I3" s="63"/>
      <c r="J3" s="63"/>
      <c r="K3" s="63"/>
    </row>
    <row r="4" spans="1:11" x14ac:dyDescent="0.35">
      <c r="A4" s="64" t="s">
        <v>39</v>
      </c>
      <c r="B4" s="64" t="s">
        <v>43</v>
      </c>
      <c r="C4" s="99" t="s">
        <v>44</v>
      </c>
      <c r="D4" s="100"/>
      <c r="E4" s="100"/>
      <c r="F4" s="100"/>
      <c r="G4" s="101"/>
    </row>
    <row r="5" spans="1:11" x14ac:dyDescent="0.35">
      <c r="A5" s="65" t="s">
        <v>52</v>
      </c>
      <c r="B5" s="65"/>
      <c r="C5" s="102"/>
      <c r="D5" s="102"/>
      <c r="E5" s="102"/>
      <c r="F5" s="102"/>
      <c r="G5" s="102"/>
    </row>
    <row r="6" spans="1:11" x14ac:dyDescent="0.35">
      <c r="A6" s="66" t="s">
        <v>40</v>
      </c>
      <c r="B6" s="66" t="s">
        <v>184</v>
      </c>
      <c r="C6" s="103" t="s">
        <v>183</v>
      </c>
      <c r="D6" s="103"/>
      <c r="E6" s="103"/>
      <c r="F6" s="103"/>
      <c r="G6" s="103"/>
    </row>
    <row r="7" spans="1:11" x14ac:dyDescent="0.35">
      <c r="A7" s="66" t="s">
        <v>41</v>
      </c>
      <c r="B7" s="66" t="s">
        <v>184</v>
      </c>
      <c r="C7" s="97" t="s">
        <v>181</v>
      </c>
      <c r="D7" s="97"/>
      <c r="E7" s="97"/>
      <c r="F7" s="97"/>
      <c r="G7" s="97"/>
    </row>
    <row r="8" spans="1:11" x14ac:dyDescent="0.35">
      <c r="A8" s="66" t="s">
        <v>42</v>
      </c>
      <c r="B8" s="66" t="s">
        <v>184</v>
      </c>
      <c r="C8" s="103" t="s">
        <v>183</v>
      </c>
      <c r="D8" s="103"/>
      <c r="E8" s="103"/>
      <c r="F8" s="103"/>
      <c r="G8" s="103"/>
    </row>
    <row r="9" spans="1:11" x14ac:dyDescent="0.35">
      <c r="A9" s="66" t="s">
        <v>165</v>
      </c>
      <c r="B9" s="66" t="s">
        <v>184</v>
      </c>
      <c r="C9" s="97" t="s">
        <v>182</v>
      </c>
      <c r="D9" s="97"/>
      <c r="E9" s="97"/>
      <c r="F9" s="97"/>
      <c r="G9" s="97"/>
    </row>
    <row r="10" spans="1:11" x14ac:dyDescent="0.35">
      <c r="A10" s="66"/>
      <c r="B10" s="66"/>
      <c r="C10" s="97"/>
      <c r="D10" s="97"/>
      <c r="E10" s="97"/>
      <c r="F10" s="97"/>
      <c r="G10" s="97"/>
    </row>
    <row r="11" spans="1:11" x14ac:dyDescent="0.35">
      <c r="A11" s="66"/>
      <c r="B11" s="66"/>
      <c r="C11" s="97"/>
      <c r="D11" s="97"/>
      <c r="E11" s="97"/>
      <c r="F11" s="97"/>
      <c r="G11" s="97"/>
    </row>
    <row r="12" spans="1:11" x14ac:dyDescent="0.35">
      <c r="A12" s="16"/>
      <c r="B12" s="2"/>
      <c r="C12"/>
    </row>
    <row r="13" spans="1:11" x14ac:dyDescent="0.35">
      <c r="A13" s="19" t="s">
        <v>46</v>
      </c>
      <c r="B13" s="2"/>
      <c r="C13"/>
    </row>
    <row r="14" spans="1:11" x14ac:dyDescent="0.35">
      <c r="A14" s="20" t="s">
        <v>53</v>
      </c>
    </row>
    <row r="15" spans="1:11" x14ac:dyDescent="0.35">
      <c r="A15" s="22" t="s">
        <v>48</v>
      </c>
      <c r="B15" s="19"/>
    </row>
    <row r="16" spans="1:11" x14ac:dyDescent="0.35">
      <c r="A16" s="21" t="s">
        <v>47</v>
      </c>
    </row>
    <row r="18" spans="1:14" x14ac:dyDescent="0.35">
      <c r="A18" s="1" t="s">
        <v>54</v>
      </c>
      <c r="D18" s="20" t="s">
        <v>185</v>
      </c>
    </row>
    <row r="20" spans="1:14" x14ac:dyDescent="0.35">
      <c r="A20" s="1" t="s">
        <v>32</v>
      </c>
      <c r="B20" s="1" t="s">
        <v>112</v>
      </c>
      <c r="C20" s="13" t="s">
        <v>113</v>
      </c>
    </row>
    <row r="21" spans="1:14" x14ac:dyDescent="0.35">
      <c r="A21" t="s">
        <v>111</v>
      </c>
      <c r="B21" s="12">
        <v>5.73</v>
      </c>
      <c r="C21" s="12">
        <v>6</v>
      </c>
      <c r="D21" s="23" t="s">
        <v>114</v>
      </c>
    </row>
    <row r="22" spans="1:14" x14ac:dyDescent="0.35">
      <c r="A22" t="s">
        <v>145</v>
      </c>
      <c r="B22" s="12">
        <v>11</v>
      </c>
      <c r="C22" s="12">
        <v>10.1</v>
      </c>
      <c r="D22" s="11" t="s">
        <v>34</v>
      </c>
    </row>
    <row r="24" spans="1:14" s="1" customFormat="1" x14ac:dyDescent="0.35">
      <c r="A24" s="57" t="s">
        <v>35</v>
      </c>
      <c r="B24" s="57" t="s">
        <v>49</v>
      </c>
      <c r="C24" s="58" t="s">
        <v>5</v>
      </c>
      <c r="D24" s="58" t="s">
        <v>6</v>
      </c>
      <c r="E24" s="58" t="s">
        <v>7</v>
      </c>
      <c r="F24" s="58" t="s">
        <v>8</v>
      </c>
      <c r="G24" s="58" t="s">
        <v>9</v>
      </c>
      <c r="H24" s="58" t="s">
        <v>10</v>
      </c>
      <c r="I24" s="58" t="s">
        <v>11</v>
      </c>
      <c r="J24" s="58" t="s">
        <v>12</v>
      </c>
      <c r="K24" s="58" t="s">
        <v>36</v>
      </c>
      <c r="L24" s="58" t="s">
        <v>37</v>
      </c>
      <c r="M24" s="58" t="s">
        <v>108</v>
      </c>
      <c r="N24" s="58" t="s">
        <v>221</v>
      </c>
    </row>
    <row r="25" spans="1:14" x14ac:dyDescent="0.35">
      <c r="A25" s="1" t="s">
        <v>45</v>
      </c>
      <c r="B25" s="1"/>
      <c r="C25" s="45">
        <v>12.4</v>
      </c>
      <c r="D25" s="45">
        <f>C25</f>
        <v>12.4</v>
      </c>
      <c r="E25" s="45">
        <f t="shared" ref="E25:L25" si="0">D25</f>
        <v>12.4</v>
      </c>
      <c r="F25" s="45">
        <f t="shared" si="0"/>
        <v>12.4</v>
      </c>
      <c r="G25" s="45">
        <f t="shared" si="0"/>
        <v>12.4</v>
      </c>
      <c r="H25" s="45">
        <f t="shared" si="0"/>
        <v>12.4</v>
      </c>
      <c r="I25" s="45">
        <v>14.4</v>
      </c>
      <c r="J25" s="45">
        <f t="shared" si="0"/>
        <v>14.4</v>
      </c>
      <c r="K25" s="45">
        <f t="shared" si="0"/>
        <v>14.4</v>
      </c>
      <c r="L25" s="45">
        <f t="shared" si="0"/>
        <v>14.4</v>
      </c>
    </row>
    <row r="26" spans="1:14" x14ac:dyDescent="0.35">
      <c r="A26" s="1" t="s">
        <v>123</v>
      </c>
      <c r="B26" s="1"/>
      <c r="C26" s="12">
        <f>IF(C$25&lt;&gt;"",0.8,"")</f>
        <v>0.8</v>
      </c>
      <c r="D26" s="12">
        <f t="shared" ref="D26:L26" si="1">IF(D$25&lt;&gt;"",0.8,"")</f>
        <v>0.8</v>
      </c>
      <c r="E26" s="12">
        <f t="shared" si="1"/>
        <v>0.8</v>
      </c>
      <c r="F26" s="12">
        <f t="shared" si="1"/>
        <v>0.8</v>
      </c>
      <c r="G26" s="12">
        <f t="shared" si="1"/>
        <v>0.8</v>
      </c>
      <c r="H26" s="12">
        <f t="shared" si="1"/>
        <v>0.8</v>
      </c>
      <c r="I26" s="12">
        <f t="shared" si="1"/>
        <v>0.8</v>
      </c>
      <c r="J26" s="12">
        <f t="shared" si="1"/>
        <v>0.8</v>
      </c>
      <c r="K26" s="12">
        <f t="shared" si="1"/>
        <v>0.8</v>
      </c>
      <c r="L26" s="12">
        <f t="shared" si="1"/>
        <v>0.8</v>
      </c>
    </row>
    <row r="27" spans="1:14" x14ac:dyDescent="0.35">
      <c r="A27" s="1" t="s">
        <v>126</v>
      </c>
      <c r="B27" s="14">
        <f>SUM(B28:B33)-SUM(B22:C22)</f>
        <v>0</v>
      </c>
      <c r="C27" s="14">
        <f>IF(C$25&lt;&gt;"",SUM(B22:C22),"")</f>
        <v>21.1</v>
      </c>
      <c r="D27" s="14">
        <f>IF(D$25&lt;&gt;"",C89,"")</f>
        <v>20.102087997956424</v>
      </c>
      <c r="E27" s="14">
        <f t="shared" ref="E27:L27" si="2">IF(E$25&lt;&gt;"",D89,"")</f>
        <v>19.174337307957025</v>
      </c>
      <c r="F27" s="14">
        <f t="shared" si="2"/>
        <v>18.359085073456452</v>
      </c>
      <c r="G27" s="14">
        <f t="shared" si="2"/>
        <v>17.56795603395528</v>
      </c>
      <c r="H27" s="14">
        <f t="shared" si="2"/>
        <v>16.801556189454683</v>
      </c>
      <c r="I27" s="14">
        <f t="shared" si="2"/>
        <v>16.058504020454109</v>
      </c>
      <c r="J27" s="14">
        <f t="shared" si="2"/>
        <v>17.339143040454712</v>
      </c>
      <c r="K27" s="14">
        <f t="shared" si="2"/>
        <v>18.580163754454713</v>
      </c>
      <c r="L27" s="14">
        <f t="shared" si="2"/>
        <v>19.78177015645414</v>
      </c>
    </row>
    <row r="28" spans="1:14" x14ac:dyDescent="0.35">
      <c r="A28" t="str">
        <f>IF(A6="","","    "&amp;A6&amp;" Balance")</f>
        <v xml:space="preserve">    Upper Basin Balance</v>
      </c>
      <c r="B28" s="55">
        <f>B22</f>
        <v>11</v>
      </c>
      <c r="C28" s="14">
        <f>IF(OR(C$25="",$A28=""),"",B28)</f>
        <v>11</v>
      </c>
      <c r="D28" s="14">
        <f>IF(OR(D$25="",$A28=""),"",C83)</f>
        <v>10.432257133649305</v>
      </c>
      <c r="E28" s="14">
        <f t="shared" ref="E28:L28" si="3">IF(OR(E$25="",$A28=""),"",D83)</f>
        <v>9.883093333626892</v>
      </c>
      <c r="F28" s="14">
        <f t="shared" si="3"/>
        <v>9.3510855529839212</v>
      </c>
      <c r="G28" s="14">
        <f t="shared" si="3"/>
        <v>8.8372366863848768</v>
      </c>
      <c r="H28" s="14">
        <f t="shared" si="3"/>
        <v>8.3417616560002301</v>
      </c>
      <c r="I28" s="14">
        <f t="shared" si="3"/>
        <v>7.8638689563828423</v>
      </c>
      <c r="J28" s="14">
        <f t="shared" si="3"/>
        <v>9.4036315279864233</v>
      </c>
      <c r="K28" s="14">
        <f t="shared" si="3"/>
        <v>10.876202195079536</v>
      </c>
      <c r="L28" s="14">
        <f t="shared" si="3"/>
        <v>12.286629885257579</v>
      </c>
      <c r="N28" t="s">
        <v>222</v>
      </c>
    </row>
    <row r="29" spans="1:14" x14ac:dyDescent="0.35">
      <c r="A29" t="str">
        <f t="shared" ref="A29:A33" si="4">IF(A7="","","    "&amp;A7&amp;" Balance")</f>
        <v xml:space="preserve">    Lower Basin Balance</v>
      </c>
      <c r="B29" s="55">
        <f>C22-B30</f>
        <v>10.058999999999999</v>
      </c>
      <c r="C29" s="14">
        <f t="shared" ref="C29:C33" si="5">IF(OR(C$25="",$A29=""),"",B29)</f>
        <v>10.058999999999999</v>
      </c>
      <c r="D29" s="14">
        <f t="shared" ref="D29:L33" si="6">IF(OR(D$25="",$A29=""),"",C84)</f>
        <v>9.6698308643071194</v>
      </c>
      <c r="E29" s="14">
        <f t="shared" si="6"/>
        <v>9.2912439743301327</v>
      </c>
      <c r="F29" s="14">
        <f t="shared" si="6"/>
        <v>9.0079995204725307</v>
      </c>
      <c r="G29" s="14">
        <f t="shared" si="6"/>
        <v>8.7307193475704032</v>
      </c>
      <c r="H29" s="14">
        <f t="shared" si="6"/>
        <v>8.4597945334544526</v>
      </c>
      <c r="I29" s="14">
        <f t="shared" si="6"/>
        <v>8.1946350640712673</v>
      </c>
      <c r="J29" s="14">
        <f t="shared" si="6"/>
        <v>7.9355115124682873</v>
      </c>
      <c r="K29" s="14">
        <f t="shared" si="6"/>
        <v>7.703961559375176</v>
      </c>
      <c r="L29" s="14">
        <f t="shared" si="6"/>
        <v>7.4951402711965605</v>
      </c>
      <c r="N29" t="s">
        <v>223</v>
      </c>
    </row>
    <row r="30" spans="1:14" x14ac:dyDescent="0.35">
      <c r="A30" t="str">
        <f t="shared" si="4"/>
        <v xml:space="preserve">    Mexico Balance</v>
      </c>
      <c r="B30" s="106">
        <v>4.1000000000000002E-2</v>
      </c>
      <c r="C30" s="59">
        <f t="shared" si="5"/>
        <v>4.1000000000000002E-2</v>
      </c>
      <c r="D30" s="59">
        <f t="shared" si="6"/>
        <v>0</v>
      </c>
      <c r="E30" s="59">
        <f t="shared" si="6"/>
        <v>0</v>
      </c>
      <c r="F30" s="59">
        <f t="shared" si="6"/>
        <v>0</v>
      </c>
      <c r="G30" s="59">
        <f t="shared" si="6"/>
        <v>0</v>
      </c>
      <c r="H30" s="59">
        <f t="shared" si="6"/>
        <v>0</v>
      </c>
      <c r="I30" s="59">
        <f t="shared" si="6"/>
        <v>0</v>
      </c>
      <c r="J30" s="59">
        <f t="shared" si="6"/>
        <v>0</v>
      </c>
      <c r="K30" s="59">
        <f t="shared" si="6"/>
        <v>0</v>
      </c>
      <c r="L30" s="59">
        <f t="shared" si="6"/>
        <v>0</v>
      </c>
      <c r="N30" t="s">
        <v>224</v>
      </c>
    </row>
    <row r="31" spans="1:14" x14ac:dyDescent="0.35">
      <c r="A31" t="str">
        <f t="shared" si="4"/>
        <v xml:space="preserve">    Mohave &amp; Havasu Evap &amp; ET Balance</v>
      </c>
      <c r="B31" s="56">
        <v>0</v>
      </c>
      <c r="C31" s="14">
        <f t="shared" si="5"/>
        <v>0</v>
      </c>
      <c r="D31" s="14">
        <f t="shared" si="6"/>
        <v>0</v>
      </c>
      <c r="E31" s="14">
        <f t="shared" si="6"/>
        <v>0</v>
      </c>
      <c r="F31" s="14">
        <f t="shared" si="6"/>
        <v>0</v>
      </c>
      <c r="G31" s="14">
        <f t="shared" si="6"/>
        <v>0</v>
      </c>
      <c r="H31" s="14">
        <f t="shared" si="6"/>
        <v>0</v>
      </c>
      <c r="I31" s="14">
        <f t="shared" si="6"/>
        <v>0</v>
      </c>
      <c r="J31" s="14">
        <f t="shared" si="6"/>
        <v>0</v>
      </c>
      <c r="K31" s="14">
        <f t="shared" si="6"/>
        <v>0</v>
      </c>
      <c r="L31" s="14">
        <f t="shared" si="6"/>
        <v>0</v>
      </c>
    </row>
    <row r="32" spans="1:14" x14ac:dyDescent="0.35">
      <c r="A32" t="str">
        <f t="shared" si="4"/>
        <v/>
      </c>
      <c r="B32" s="56"/>
      <c r="C32" s="14" t="str">
        <f t="shared" si="5"/>
        <v/>
      </c>
      <c r="D32" s="14" t="str">
        <f t="shared" si="6"/>
        <v/>
      </c>
      <c r="E32" s="14" t="str">
        <f t="shared" si="6"/>
        <v/>
      </c>
      <c r="F32" s="14" t="str">
        <f t="shared" si="6"/>
        <v/>
      </c>
      <c r="G32" s="14" t="str">
        <f t="shared" si="6"/>
        <v/>
      </c>
      <c r="H32" s="14" t="str">
        <f t="shared" si="6"/>
        <v/>
      </c>
      <c r="I32" s="14" t="str">
        <f t="shared" si="6"/>
        <v/>
      </c>
      <c r="J32" s="14" t="str">
        <f t="shared" si="6"/>
        <v/>
      </c>
      <c r="K32" s="14" t="str">
        <f t="shared" si="6"/>
        <v/>
      </c>
      <c r="L32" s="14" t="str">
        <f t="shared" si="6"/>
        <v/>
      </c>
    </row>
    <row r="33" spans="1:12" x14ac:dyDescent="0.35">
      <c r="A33" t="str">
        <f t="shared" si="4"/>
        <v/>
      </c>
      <c r="B33" s="56"/>
      <c r="C33" s="14" t="str">
        <f t="shared" si="5"/>
        <v/>
      </c>
      <c r="D33" s="14" t="str">
        <f t="shared" si="6"/>
        <v/>
      </c>
      <c r="E33" s="14" t="str">
        <f t="shared" si="6"/>
        <v/>
      </c>
      <c r="F33" s="14" t="str">
        <f t="shared" si="6"/>
        <v/>
      </c>
      <c r="G33" s="14" t="str">
        <f t="shared" si="6"/>
        <v/>
      </c>
      <c r="H33" s="14" t="str">
        <f t="shared" si="6"/>
        <v/>
      </c>
      <c r="I33" s="14" t="str">
        <f t="shared" si="6"/>
        <v/>
      </c>
      <c r="J33" s="14" t="str">
        <f t="shared" si="6"/>
        <v/>
      </c>
      <c r="K33" s="14" t="str">
        <f t="shared" si="6"/>
        <v/>
      </c>
      <c r="L33" s="14" t="str">
        <f t="shared" si="6"/>
        <v/>
      </c>
    </row>
    <row r="34" spans="1:12" x14ac:dyDescent="0.35">
      <c r="A34" s="1" t="s">
        <v>117</v>
      </c>
      <c r="C34"/>
    </row>
    <row r="35" spans="1:12" x14ac:dyDescent="0.35">
      <c r="A35" t="s">
        <v>115</v>
      </c>
      <c r="B35" s="35">
        <v>0.5</v>
      </c>
      <c r="C35" s="14">
        <f>IF(C$25&lt;&gt;"",B22,"")</f>
        <v>11</v>
      </c>
      <c r="D35" s="14">
        <f t="shared" ref="D35:L36" si="7">IF(D25&lt;&gt;"",$B35*D$27,"")</f>
        <v>10.051043998978212</v>
      </c>
      <c r="E35" s="14">
        <f t="shared" si="7"/>
        <v>9.5871686539785124</v>
      </c>
      <c r="F35" s="14">
        <f t="shared" si="7"/>
        <v>9.179542536728226</v>
      </c>
      <c r="G35" s="14">
        <f t="shared" si="7"/>
        <v>8.78397801697764</v>
      </c>
      <c r="H35" s="14">
        <f t="shared" si="7"/>
        <v>8.4007780947273414</v>
      </c>
      <c r="I35" s="14">
        <f t="shared" si="7"/>
        <v>8.0292520102270544</v>
      </c>
      <c r="J35" s="14">
        <f t="shared" si="7"/>
        <v>8.6695715202273558</v>
      </c>
      <c r="K35" s="14">
        <f t="shared" si="7"/>
        <v>9.2900818772273563</v>
      </c>
      <c r="L35" s="14">
        <f t="shared" si="7"/>
        <v>9.8908850782270701</v>
      </c>
    </row>
    <row r="36" spans="1:12" x14ac:dyDescent="0.35">
      <c r="A36" t="s">
        <v>116</v>
      </c>
      <c r="B36" s="35">
        <f>1-B35</f>
        <v>0.5</v>
      </c>
      <c r="C36" s="14">
        <f>IF(C$25&lt;&gt;"",C22,"")</f>
        <v>10.1</v>
      </c>
      <c r="D36" s="14">
        <f t="shared" si="7"/>
        <v>10.051043998978212</v>
      </c>
      <c r="E36" s="14">
        <f t="shared" si="7"/>
        <v>9.5871686539785124</v>
      </c>
      <c r="F36" s="14">
        <f t="shared" si="7"/>
        <v>9.179542536728226</v>
      </c>
      <c r="G36" s="14">
        <f t="shared" si="7"/>
        <v>8.78397801697764</v>
      </c>
      <c r="H36" s="14">
        <f t="shared" si="7"/>
        <v>8.4007780947273414</v>
      </c>
      <c r="I36" s="14">
        <f t="shared" si="7"/>
        <v>8.0292520102270544</v>
      </c>
      <c r="J36" s="14">
        <f t="shared" si="7"/>
        <v>8.6695715202273558</v>
      </c>
      <c r="K36" s="14">
        <f t="shared" si="7"/>
        <v>9.2900818772273563</v>
      </c>
      <c r="L36" s="14">
        <f t="shared" si="7"/>
        <v>9.8908850782270701</v>
      </c>
    </row>
    <row r="37" spans="1:12" x14ac:dyDescent="0.35">
      <c r="A37" s="1" t="s">
        <v>121</v>
      </c>
      <c r="B37" s="1"/>
      <c r="C37" s="14">
        <f>IF(C$25&lt;&gt;"",VLOOKUP(C35*1000000,'Powell-Elevation-Area'!$B$5:$D$689,3)*$B$21/1000000 + VLOOKUP(C36*1000000,'Mead-Elevation-Area'!$B$5:$D$676,3)*$C$21/1000000,"")</f>
        <v>1.0218976799999733</v>
      </c>
      <c r="D37" s="14">
        <f>IF(D$25&lt;&gt;"",VLOOKUP(D35*1000000,'Powell-Elevation-Area'!$B$5:$D$689,3)*$B$21/1000000 + VLOOKUP(D36*1000000,'Mead-Elevation-Area'!$B$5:$D$676,3)*$C$21/1000000,"")</f>
        <v>0.99075068999940008</v>
      </c>
      <c r="E37" s="14">
        <f>IF(E$25&lt;&gt;"",VLOOKUP(E35*1000000,'Powell-Elevation-Area'!$B$5:$D$689,3)*$B$21/1000000 + VLOOKUP(E36*1000000,'Mead-Elevation-Area'!$B$5:$D$676,3)*$C$21/1000000,"")</f>
        <v>0.96425223450057307</v>
      </c>
      <c r="F37" s="14">
        <f>IF(F$25&lt;&gt;"",VLOOKUP(F35*1000000,'Powell-Elevation-Area'!$B$5:$D$689,3)*$B$21/1000000 + VLOOKUP(F36*1000000,'Mead-Elevation-Area'!$B$5:$D$676,3)*$C$21/1000000,"")</f>
        <v>0.94012903950117299</v>
      </c>
      <c r="G37" s="14">
        <f>IF(G$25&lt;&gt;"",VLOOKUP(G35*1000000,'Powell-Elevation-Area'!$B$5:$D$689,3)*$B$21/1000000 + VLOOKUP(G36*1000000,'Mead-Elevation-Area'!$B$5:$D$676,3)*$C$21/1000000,"")</f>
        <v>0.91539984450059997</v>
      </c>
      <c r="H37" s="14">
        <f>IF(H$25&lt;&gt;"",VLOOKUP(H35*1000000,'Powell-Elevation-Area'!$B$5:$D$689,3)*$B$21/1000000 + VLOOKUP(H36*1000000,'Mead-Elevation-Area'!$B$5:$D$676,3)*$C$21/1000000,"")</f>
        <v>0.89205216900057305</v>
      </c>
      <c r="I37" s="14">
        <f>IF(I$25&lt;&gt;"",VLOOKUP(I35*1000000,'Powell-Elevation-Area'!$B$5:$D$689,3)*$B$21/1000000 + VLOOKUP(I36*1000000,'Mead-Elevation-Area'!$B$5:$D$676,3)*$C$21/1000000,"")</f>
        <v>0.8683609799994001</v>
      </c>
      <c r="J37" s="14">
        <f>IF(J$25&lt;&gt;"",VLOOKUP(J35*1000000,'Powell-Elevation-Area'!$B$5:$D$689,3)*$B$21/1000000 + VLOOKUP(J36*1000000,'Mead-Elevation-Area'!$B$5:$D$676,3)*$C$21/1000000,"")</f>
        <v>0.907979286</v>
      </c>
      <c r="K37" s="14">
        <f>IF(K$25&lt;&gt;"",VLOOKUP(K35*1000000,'Powell-Elevation-Area'!$B$5:$D$689,3)*$B$21/1000000 + VLOOKUP(K36*1000000,'Mead-Elevation-Area'!$B$5:$D$676,3)*$C$21/1000000,"")</f>
        <v>0.94739359800057299</v>
      </c>
      <c r="L37" s="14">
        <f>IF(L$25&lt;&gt;"",VLOOKUP(L35*1000000,'Powell-Elevation-Area'!$B$5:$D$689,3)*$B$21/1000000 + VLOOKUP(L36*1000000,'Mead-Elevation-Area'!$B$5:$D$676,3)*$C$21/1000000,"")</f>
        <v>0.98213087099942697</v>
      </c>
    </row>
    <row r="38" spans="1:12" x14ac:dyDescent="0.35">
      <c r="A38" t="str">
        <f>IF(A6="","","    "&amp;A6&amp;" Share")</f>
        <v xml:space="preserve">    Upper Basin Share</v>
      </c>
      <c r="B38" s="1"/>
      <c r="C38" s="14">
        <f>IF(OR(C$25="",$A38=""),"",C$37*C28/C$27)</f>
        <v>0.5327428663506969</v>
      </c>
      <c r="D38" s="14">
        <f t="shared" ref="D38:L38" si="8">IF(OR(D$25="",$A38=""),"",D$37*D28/D$27)</f>
        <v>0.5141638000224128</v>
      </c>
      <c r="E38" s="14">
        <f t="shared" si="8"/>
        <v>0.49700778064297146</v>
      </c>
      <c r="F38" s="14">
        <f t="shared" si="8"/>
        <v>0.47884886659904519</v>
      </c>
      <c r="G38" s="14">
        <f t="shared" si="8"/>
        <v>0.46047503038464777</v>
      </c>
      <c r="H38" s="14">
        <f t="shared" si="8"/>
        <v>0.44289269961738792</v>
      </c>
      <c r="I38" s="14">
        <f t="shared" si="8"/>
        <v>0.42523742839641926</v>
      </c>
      <c r="J38" s="14">
        <f t="shared" si="8"/>
        <v>0.49242933290688673</v>
      </c>
      <c r="K38" s="14">
        <f t="shared" si="8"/>
        <v>0.55457230982195571</v>
      </c>
      <c r="L38" s="14">
        <f t="shared" si="8"/>
        <v>0.61001004538102599</v>
      </c>
    </row>
    <row r="39" spans="1:12" x14ac:dyDescent="0.35">
      <c r="A39" t="str">
        <f t="shared" ref="A39:A43" si="9">IF(A7="","","    "&amp;A7&amp;" Share")</f>
        <v xml:space="preserve">    Lower Basin Share</v>
      </c>
      <c r="B39" s="1"/>
      <c r="C39" s="14">
        <f t="shared" ref="C39:L43" si="10">IF(OR(C$25="",$A39=""),"",C$37*C29/C$27)</f>
        <v>0.48716913569287823</v>
      </c>
      <c r="D39" s="14">
        <f t="shared" si="10"/>
        <v>0.47658688997698723</v>
      </c>
      <c r="E39" s="14">
        <f t="shared" si="10"/>
        <v>0.46724445385760166</v>
      </c>
      <c r="F39" s="14">
        <f t="shared" si="10"/>
        <v>0.46128017290212786</v>
      </c>
      <c r="G39" s="14">
        <f t="shared" si="10"/>
        <v>0.4549248141159522</v>
      </c>
      <c r="H39" s="14">
        <f t="shared" si="10"/>
        <v>0.44915946938318513</v>
      </c>
      <c r="I39" s="14">
        <f t="shared" si="10"/>
        <v>0.44312355160298089</v>
      </c>
      <c r="J39" s="14">
        <f t="shared" si="10"/>
        <v>0.41554995309311316</v>
      </c>
      <c r="K39" s="14">
        <f t="shared" si="10"/>
        <v>0.39282128817861717</v>
      </c>
      <c r="L39" s="14">
        <f t="shared" si="10"/>
        <v>0.37212082561840099</v>
      </c>
    </row>
    <row r="40" spans="1:12" x14ac:dyDescent="0.35">
      <c r="A40" t="str">
        <f t="shared" si="9"/>
        <v xml:space="preserve">    Mexico Share</v>
      </c>
      <c r="B40" s="1"/>
      <c r="C40" s="14">
        <f t="shared" si="10"/>
        <v>1.9856779563980523E-3</v>
      </c>
      <c r="D40" s="14">
        <f t="shared" si="10"/>
        <v>0</v>
      </c>
      <c r="E40" s="14">
        <f t="shared" si="10"/>
        <v>0</v>
      </c>
      <c r="F40" s="14">
        <f t="shared" si="10"/>
        <v>0</v>
      </c>
      <c r="G40" s="14">
        <f t="shared" si="10"/>
        <v>0</v>
      </c>
      <c r="H40" s="14">
        <f t="shared" si="10"/>
        <v>0</v>
      </c>
      <c r="I40" s="14">
        <f t="shared" si="10"/>
        <v>0</v>
      </c>
      <c r="J40" s="14">
        <f t="shared" si="10"/>
        <v>0</v>
      </c>
      <c r="K40" s="14">
        <f t="shared" si="10"/>
        <v>0</v>
      </c>
      <c r="L40" s="14">
        <f t="shared" si="10"/>
        <v>0</v>
      </c>
    </row>
    <row r="41" spans="1:12" x14ac:dyDescent="0.35">
      <c r="A41" t="str">
        <f t="shared" si="9"/>
        <v xml:space="preserve">    Mohave &amp; Havasu Evap &amp; ET Share</v>
      </c>
      <c r="B41" s="1"/>
      <c r="C41" s="14">
        <f t="shared" si="10"/>
        <v>0</v>
      </c>
      <c r="D41" s="14">
        <f t="shared" si="10"/>
        <v>0</v>
      </c>
      <c r="E41" s="14">
        <f t="shared" si="10"/>
        <v>0</v>
      </c>
      <c r="F41" s="14">
        <f t="shared" si="10"/>
        <v>0</v>
      </c>
      <c r="G41" s="14">
        <f t="shared" si="10"/>
        <v>0</v>
      </c>
      <c r="H41" s="14">
        <f t="shared" si="10"/>
        <v>0</v>
      </c>
      <c r="I41" s="14">
        <f t="shared" si="10"/>
        <v>0</v>
      </c>
      <c r="J41" s="14">
        <f t="shared" si="10"/>
        <v>0</v>
      </c>
      <c r="K41" s="14">
        <f t="shared" si="10"/>
        <v>0</v>
      </c>
      <c r="L41" s="14">
        <f t="shared" si="10"/>
        <v>0</v>
      </c>
    </row>
    <row r="42" spans="1:12" x14ac:dyDescent="0.35">
      <c r="A42" t="str">
        <f t="shared" si="9"/>
        <v/>
      </c>
      <c r="B42" s="1"/>
      <c r="C42" s="14" t="str">
        <f t="shared" si="10"/>
        <v/>
      </c>
      <c r="D42" s="14" t="str">
        <f t="shared" si="10"/>
        <v/>
      </c>
      <c r="E42" s="14" t="str">
        <f t="shared" si="10"/>
        <v/>
      </c>
      <c r="F42" s="14" t="str">
        <f t="shared" si="10"/>
        <v/>
      </c>
      <c r="G42" s="14" t="str">
        <f t="shared" si="10"/>
        <v/>
      </c>
      <c r="H42" s="14" t="str">
        <f t="shared" si="10"/>
        <v/>
      </c>
      <c r="I42" s="14" t="str">
        <f t="shared" si="10"/>
        <v/>
      </c>
      <c r="J42" s="14" t="str">
        <f t="shared" si="10"/>
        <v/>
      </c>
      <c r="K42" s="14" t="str">
        <f t="shared" si="10"/>
        <v/>
      </c>
      <c r="L42" s="14" t="str">
        <f t="shared" si="10"/>
        <v/>
      </c>
    </row>
    <row r="43" spans="1:12" x14ac:dyDescent="0.35">
      <c r="A43" t="str">
        <f t="shared" si="9"/>
        <v/>
      </c>
      <c r="B43" s="1"/>
      <c r="C43" s="14" t="str">
        <f t="shared" si="10"/>
        <v/>
      </c>
      <c r="D43" s="14" t="str">
        <f t="shared" si="10"/>
        <v/>
      </c>
      <c r="E43" s="14" t="str">
        <f t="shared" si="10"/>
        <v/>
      </c>
      <c r="F43" s="14" t="str">
        <f t="shared" si="10"/>
        <v/>
      </c>
      <c r="G43" s="14" t="str">
        <f t="shared" si="10"/>
        <v/>
      </c>
      <c r="H43" s="14" t="str">
        <f t="shared" si="10"/>
        <v/>
      </c>
      <c r="I43" s="14" t="str">
        <f t="shared" si="10"/>
        <v/>
      </c>
      <c r="J43" s="14" t="str">
        <f t="shared" si="10"/>
        <v/>
      </c>
      <c r="K43" s="14" t="str">
        <f t="shared" si="10"/>
        <v/>
      </c>
      <c r="L43" s="14" t="str">
        <f t="shared" si="10"/>
        <v/>
      </c>
    </row>
    <row r="44" spans="1:12" x14ac:dyDescent="0.35">
      <c r="A44" s="1" t="s">
        <v>161</v>
      </c>
      <c r="B44" s="1"/>
      <c r="C44" s="50">
        <f>IF(C$25&lt;&gt;"",1.5-$B$50/9/2-IF(C$29&lt;$O$78,$Q$78,IF(C$29&lt;=$O$85,VLOOKUP(C$29,$O$78:$Q$85,3),0)),"")</f>
        <v>1.47</v>
      </c>
      <c r="D44" s="50">
        <f t="shared" ref="D44:L44" si="11">IF(D$25&lt;&gt;"",1.5-$B$50/9-IF(D$29&lt;$O$78,$Q$78,IF(D$29&lt;=$O$85,VLOOKUP(D$29,$O$78:$Q$85,3),0)),"")</f>
        <v>1.47</v>
      </c>
      <c r="E44" s="50">
        <f t="shared" si="11"/>
        <v>1.466</v>
      </c>
      <c r="F44" s="50">
        <f t="shared" si="11"/>
        <v>1.466</v>
      </c>
      <c r="G44" s="50">
        <f t="shared" si="11"/>
        <v>1.466</v>
      </c>
      <c r="H44" s="50">
        <f t="shared" si="11"/>
        <v>1.466</v>
      </c>
      <c r="I44" s="50">
        <f t="shared" si="11"/>
        <v>1.466</v>
      </c>
      <c r="J44" s="50">
        <f t="shared" si="11"/>
        <v>1.466</v>
      </c>
      <c r="K44" s="50">
        <f t="shared" si="11"/>
        <v>1.466</v>
      </c>
      <c r="L44" s="50">
        <f t="shared" si="11"/>
        <v>1.4239999999999999</v>
      </c>
    </row>
    <row r="45" spans="1:12" x14ac:dyDescent="0.35">
      <c r="A45" s="1" t="s">
        <v>162</v>
      </c>
      <c r="B45" s="1"/>
      <c r="C45"/>
    </row>
    <row r="46" spans="1:12" x14ac:dyDescent="0.35">
      <c r="A46" t="str">
        <f>IF(A6="","","    To "&amp;A6)</f>
        <v xml:space="preserve">    To Upper Basin</v>
      </c>
      <c r="B46" s="24" t="s">
        <v>164</v>
      </c>
      <c r="C46" s="14">
        <f>IF(OR(C$25="",$A4=""),"",MAX(0,C$25-SUM(C47:C48)))</f>
        <v>4.1650000000000009</v>
      </c>
      <c r="D46" s="14">
        <f t="shared" ref="D46:L46" si="12">IF(OR(D$25="",$A4=""),"",MAX(0,D$25-SUM(D47:D48)))</f>
        <v>4.1650000000000009</v>
      </c>
      <c r="E46" s="14">
        <f t="shared" si="12"/>
        <v>4.1650000000000009</v>
      </c>
      <c r="F46" s="14">
        <f t="shared" si="12"/>
        <v>4.1650000000000009</v>
      </c>
      <c r="G46" s="14">
        <f t="shared" si="12"/>
        <v>4.1650000000000009</v>
      </c>
      <c r="H46" s="14">
        <f t="shared" si="12"/>
        <v>4.1650000000000009</v>
      </c>
      <c r="I46" s="14">
        <f t="shared" si="12"/>
        <v>6.1650000000000009</v>
      </c>
      <c r="J46" s="14">
        <f t="shared" si="12"/>
        <v>6.1650000000000009</v>
      </c>
      <c r="K46" s="14">
        <f t="shared" si="12"/>
        <v>6.1650000000000009</v>
      </c>
      <c r="L46" s="14">
        <f t="shared" si="12"/>
        <v>6.1650000000000009</v>
      </c>
    </row>
    <row r="47" spans="1:12" x14ac:dyDescent="0.35">
      <c r="A47" t="str">
        <f t="shared" ref="A47:A51" si="13">IF(A7="","","    To "&amp;A7)</f>
        <v xml:space="preserve">    To Lower Basin</v>
      </c>
      <c r="B47" s="44">
        <f>7.5-$B$50</f>
        <v>7.5</v>
      </c>
      <c r="C47" s="14">
        <f>IF(OR(C$25="",$A47=""),"",IF(C$25&lt;$B48,0,IF(C$25&gt;$B47,$B47,C$25)))</f>
        <v>7.5</v>
      </c>
      <c r="D47" s="14">
        <f t="shared" ref="D47:L47" si="14">IF(OR(D$25="",$A47=""),"",IF(D$25&lt;$B48,0,IF(D$25&gt;$B47,$B47,D$25)))</f>
        <v>7.5</v>
      </c>
      <c r="E47" s="14">
        <f t="shared" si="14"/>
        <v>7.5</v>
      </c>
      <c r="F47" s="14">
        <f t="shared" si="14"/>
        <v>7.5</v>
      </c>
      <c r="G47" s="14">
        <f t="shared" si="14"/>
        <v>7.5</v>
      </c>
      <c r="H47" s="14">
        <f t="shared" si="14"/>
        <v>7.5</v>
      </c>
      <c r="I47" s="14">
        <f t="shared" si="14"/>
        <v>7.5</v>
      </c>
      <c r="J47" s="14">
        <f t="shared" si="14"/>
        <v>7.5</v>
      </c>
      <c r="K47" s="14">
        <f t="shared" si="14"/>
        <v>7.5</v>
      </c>
      <c r="L47" s="14">
        <f t="shared" si="14"/>
        <v>7.5</v>
      </c>
    </row>
    <row r="48" spans="1:12" x14ac:dyDescent="0.35">
      <c r="A48" t="str">
        <f t="shared" si="13"/>
        <v xml:space="preserve">    To Mexico</v>
      </c>
      <c r="B48" s="44">
        <f>C44/2</f>
        <v>0.73499999999999999</v>
      </c>
      <c r="C48" s="14">
        <f>IF(OR(C$25="",$A48=""),"",IF(C$25&gt;$B48,$B48,C$25))</f>
        <v>0.73499999999999999</v>
      </c>
      <c r="D48" s="14">
        <f t="shared" ref="D48:L48" si="15">IF(OR(D$25="",$A48=""),"",IF(D$25&gt;$B48,$B48,D$25))</f>
        <v>0.73499999999999999</v>
      </c>
      <c r="E48" s="14">
        <f t="shared" si="15"/>
        <v>0.73499999999999999</v>
      </c>
      <c r="F48" s="14">
        <f t="shared" si="15"/>
        <v>0.73499999999999999</v>
      </c>
      <c r="G48" s="14">
        <f t="shared" si="15"/>
        <v>0.73499999999999999</v>
      </c>
      <c r="H48" s="14">
        <f t="shared" si="15"/>
        <v>0.73499999999999999</v>
      </c>
      <c r="I48" s="14">
        <f t="shared" si="15"/>
        <v>0.73499999999999999</v>
      </c>
      <c r="J48" s="14">
        <f t="shared" si="15"/>
        <v>0.73499999999999999</v>
      </c>
      <c r="K48" s="14">
        <f t="shared" si="15"/>
        <v>0.73499999999999999</v>
      </c>
      <c r="L48" s="14">
        <f t="shared" si="15"/>
        <v>0.73499999999999999</v>
      </c>
    </row>
    <row r="49" spans="1:13" x14ac:dyDescent="0.35">
      <c r="A49" t="str">
        <f t="shared" si="13"/>
        <v xml:space="preserve">    To Mohave &amp; Havasu Evap &amp; ET</v>
      </c>
      <c r="B49" s="44">
        <v>0</v>
      </c>
      <c r="C49" s="14">
        <f t="shared" ref="C49:L51" si="16">IF(OR(C$25="",$A49=""),"",IF(C$25&gt;$B49,$B49,C$25))</f>
        <v>0</v>
      </c>
      <c r="D49" s="14">
        <f t="shared" si="16"/>
        <v>0</v>
      </c>
      <c r="E49" s="14">
        <f t="shared" si="16"/>
        <v>0</v>
      </c>
      <c r="F49" s="14">
        <f t="shared" si="16"/>
        <v>0</v>
      </c>
      <c r="G49" s="14">
        <f t="shared" si="16"/>
        <v>0</v>
      </c>
      <c r="H49" s="14">
        <f t="shared" si="16"/>
        <v>0</v>
      </c>
      <c r="I49" s="14">
        <f t="shared" si="16"/>
        <v>0</v>
      </c>
      <c r="J49" s="14">
        <f t="shared" si="16"/>
        <v>0</v>
      </c>
      <c r="K49" s="14">
        <f t="shared" si="16"/>
        <v>0</v>
      </c>
      <c r="L49" s="14">
        <f t="shared" si="16"/>
        <v>0</v>
      </c>
    </row>
    <row r="50" spans="1:13" x14ac:dyDescent="0.35">
      <c r="A50" t="str">
        <f t="shared" si="13"/>
        <v/>
      </c>
      <c r="B50" s="44"/>
      <c r="C50" s="14" t="str">
        <f t="shared" si="16"/>
        <v/>
      </c>
      <c r="D50" s="59" t="str">
        <f t="shared" si="16"/>
        <v/>
      </c>
      <c r="E50" s="59" t="str">
        <f t="shared" si="16"/>
        <v/>
      </c>
      <c r="F50" s="59" t="str">
        <f t="shared" si="16"/>
        <v/>
      </c>
      <c r="G50" s="59" t="str">
        <f t="shared" si="16"/>
        <v/>
      </c>
      <c r="H50" s="59" t="str">
        <f t="shared" si="16"/>
        <v/>
      </c>
      <c r="I50" s="59" t="str">
        <f t="shared" si="16"/>
        <v/>
      </c>
      <c r="J50" s="59" t="str">
        <f t="shared" si="16"/>
        <v/>
      </c>
      <c r="K50" s="59" t="str">
        <f t="shared" si="16"/>
        <v/>
      </c>
      <c r="L50" s="59" t="str">
        <f t="shared" si="16"/>
        <v/>
      </c>
    </row>
    <row r="51" spans="1:13" x14ac:dyDescent="0.35">
      <c r="A51" t="str">
        <f t="shared" si="13"/>
        <v/>
      </c>
      <c r="B51" s="44"/>
      <c r="C51" s="14" t="str">
        <f t="shared" si="16"/>
        <v/>
      </c>
      <c r="D51" s="14" t="str">
        <f t="shared" si="16"/>
        <v/>
      </c>
      <c r="E51" s="14" t="str">
        <f t="shared" si="16"/>
        <v/>
      </c>
      <c r="F51" s="14" t="str">
        <f t="shared" si="16"/>
        <v/>
      </c>
      <c r="G51" s="14" t="str">
        <f t="shared" si="16"/>
        <v/>
      </c>
      <c r="H51" s="14" t="str">
        <f t="shared" si="16"/>
        <v/>
      </c>
      <c r="I51" s="14" t="str">
        <f t="shared" si="16"/>
        <v/>
      </c>
      <c r="J51" s="14" t="str">
        <f t="shared" si="16"/>
        <v/>
      </c>
      <c r="K51" s="14" t="str">
        <f t="shared" si="16"/>
        <v/>
      </c>
      <c r="L51" s="14" t="str">
        <f t="shared" si="16"/>
        <v/>
      </c>
    </row>
    <row r="52" spans="1:13" x14ac:dyDescent="0.35">
      <c r="A52" s="1" t="s">
        <v>163</v>
      </c>
      <c r="B52" s="1"/>
      <c r="C52"/>
    </row>
    <row r="53" spans="1:13" x14ac:dyDescent="0.35">
      <c r="A53" t="str">
        <f>IF(A6="","","    To "&amp;A6)</f>
        <v xml:space="preserve">    To Upper Basin</v>
      </c>
      <c r="B53" s="24">
        <v>0</v>
      </c>
      <c r="C53" s="14">
        <f>IF(OR($A53="",C$25=""),"",IF(C$26&gt;$B53,$B53,C$26))</f>
        <v>0</v>
      </c>
      <c r="D53" s="14">
        <f t="shared" ref="D53:L53" si="17">IF(OR($A53="",D$25=""),"",IF(D$26&gt;$B53,$B53,D$26))</f>
        <v>0</v>
      </c>
      <c r="E53" s="14">
        <f t="shared" si="17"/>
        <v>0</v>
      </c>
      <c r="F53" s="14">
        <f t="shared" si="17"/>
        <v>0</v>
      </c>
      <c r="G53" s="14">
        <f t="shared" si="17"/>
        <v>0</v>
      </c>
      <c r="H53" s="14">
        <f t="shared" si="17"/>
        <v>0</v>
      </c>
      <c r="I53" s="14">
        <f t="shared" si="17"/>
        <v>0</v>
      </c>
      <c r="J53" s="14">
        <f t="shared" si="17"/>
        <v>0</v>
      </c>
      <c r="K53" s="14">
        <f t="shared" si="17"/>
        <v>0</v>
      </c>
      <c r="L53" s="14">
        <f t="shared" si="17"/>
        <v>0</v>
      </c>
    </row>
    <row r="54" spans="1:13" x14ac:dyDescent="0.35">
      <c r="A54" t="str">
        <f t="shared" ref="A54:A58" si="18">IF(A7="","","    To "&amp;A7)</f>
        <v xml:space="preserve">    To Lower Basin</v>
      </c>
      <c r="B54" s="44" t="s">
        <v>164</v>
      </c>
      <c r="C54" s="14">
        <f>IF(OR(C$25="",$A54=""),"",C$26-SUM(C55:C56))</f>
        <v>-0.53499999999999992</v>
      </c>
      <c r="D54" s="14">
        <f t="shared" ref="D54:L54" si="19">IF(OR(D$25="",$A54=""),"",D$26-SUM(D55:D56))</f>
        <v>-0.53499999999999992</v>
      </c>
      <c r="E54" s="14">
        <f t="shared" si="19"/>
        <v>-0.53299999999999992</v>
      </c>
      <c r="F54" s="14">
        <f t="shared" si="19"/>
        <v>-0.53299999999999992</v>
      </c>
      <c r="G54" s="14">
        <f t="shared" si="19"/>
        <v>-0.53299999999999992</v>
      </c>
      <c r="H54" s="14">
        <f t="shared" si="19"/>
        <v>-0.53299999999999992</v>
      </c>
      <c r="I54" s="14">
        <f t="shared" si="19"/>
        <v>-0.53299999999999992</v>
      </c>
      <c r="J54" s="14">
        <f t="shared" si="19"/>
        <v>-0.53299999999999992</v>
      </c>
      <c r="K54" s="14">
        <f t="shared" si="19"/>
        <v>-0.53299999999999992</v>
      </c>
      <c r="L54" s="14">
        <f t="shared" si="19"/>
        <v>-0.51199999999999979</v>
      </c>
    </row>
    <row r="55" spans="1:13" x14ac:dyDescent="0.35">
      <c r="A55" t="str">
        <f t="shared" si="18"/>
        <v xml:space="preserve">    To Mexico</v>
      </c>
      <c r="B55" s="44">
        <f>C44/2</f>
        <v>0.73499999999999999</v>
      </c>
      <c r="C55" s="14">
        <f>IF(OR(C$25="",$A55=""),"",C44/2)</f>
        <v>0.73499999999999999</v>
      </c>
      <c r="D55" s="14">
        <f t="shared" ref="D55:L55" si="20">IF(OR(D$25="",$A55=""),"",D44/2)</f>
        <v>0.73499999999999999</v>
      </c>
      <c r="E55" s="14">
        <f t="shared" si="20"/>
        <v>0.73299999999999998</v>
      </c>
      <c r="F55" s="14">
        <f t="shared" si="20"/>
        <v>0.73299999999999998</v>
      </c>
      <c r="G55" s="14">
        <f t="shared" si="20"/>
        <v>0.73299999999999998</v>
      </c>
      <c r="H55" s="14">
        <f t="shared" si="20"/>
        <v>0.73299999999999998</v>
      </c>
      <c r="I55" s="14">
        <f t="shared" si="20"/>
        <v>0.73299999999999998</v>
      </c>
      <c r="J55" s="14">
        <f t="shared" si="20"/>
        <v>0.73299999999999998</v>
      </c>
      <c r="K55" s="14">
        <f t="shared" si="20"/>
        <v>0.73299999999999998</v>
      </c>
      <c r="L55" s="14">
        <f t="shared" si="20"/>
        <v>0.71199999999999997</v>
      </c>
    </row>
    <row r="56" spans="1:13" x14ac:dyDescent="0.35">
      <c r="A56" t="str">
        <f t="shared" si="18"/>
        <v xml:space="preserve">    To Mohave &amp; Havasu Evap &amp; ET</v>
      </c>
      <c r="B56" s="44">
        <v>0.6</v>
      </c>
      <c r="C56" s="14">
        <f>IF(OR($A56="",C$25=""),"",IF(C$26&gt;$B56,$B56,C$26))</f>
        <v>0.6</v>
      </c>
      <c r="D56" s="14">
        <f t="shared" ref="D56:L56" si="21">IF(OR($A56="",D$25=""),"",IF(D$26&gt;$B56,$B56,D$26))</f>
        <v>0.6</v>
      </c>
      <c r="E56" s="14">
        <f t="shared" si="21"/>
        <v>0.6</v>
      </c>
      <c r="F56" s="14">
        <f t="shared" si="21"/>
        <v>0.6</v>
      </c>
      <c r="G56" s="14">
        <f t="shared" si="21"/>
        <v>0.6</v>
      </c>
      <c r="H56" s="14">
        <f t="shared" si="21"/>
        <v>0.6</v>
      </c>
      <c r="I56" s="14">
        <f t="shared" si="21"/>
        <v>0.6</v>
      </c>
      <c r="J56" s="14">
        <f t="shared" si="21"/>
        <v>0.6</v>
      </c>
      <c r="K56" s="14">
        <f t="shared" si="21"/>
        <v>0.6</v>
      </c>
      <c r="L56" s="14">
        <f t="shared" si="21"/>
        <v>0.6</v>
      </c>
    </row>
    <row r="57" spans="1:13" x14ac:dyDescent="0.35">
      <c r="A57" t="str">
        <f t="shared" si="18"/>
        <v/>
      </c>
      <c r="B57" s="61"/>
      <c r="C57" s="14" t="str">
        <f t="shared" ref="C57:L58" si="22">IF(OR($A57="",C$25=""),"",IF(C$26&gt;$B57,$B57,C$26))</f>
        <v/>
      </c>
      <c r="D57" s="14" t="str">
        <f t="shared" si="22"/>
        <v/>
      </c>
      <c r="E57" s="14" t="str">
        <f t="shared" si="22"/>
        <v/>
      </c>
      <c r="F57" s="14" t="str">
        <f t="shared" si="22"/>
        <v/>
      </c>
      <c r="G57" s="14" t="str">
        <f t="shared" si="22"/>
        <v/>
      </c>
      <c r="H57" s="14" t="str">
        <f t="shared" si="22"/>
        <v/>
      </c>
      <c r="I57" s="14" t="str">
        <f t="shared" si="22"/>
        <v/>
      </c>
      <c r="J57" s="14" t="str">
        <f t="shared" si="22"/>
        <v/>
      </c>
      <c r="K57" s="14" t="str">
        <f t="shared" si="22"/>
        <v/>
      </c>
      <c r="L57" s="14" t="str">
        <f t="shared" si="22"/>
        <v/>
      </c>
    </row>
    <row r="58" spans="1:13" x14ac:dyDescent="0.35">
      <c r="A58" t="str">
        <f t="shared" si="18"/>
        <v/>
      </c>
      <c r="B58" s="44"/>
      <c r="C58" s="14" t="str">
        <f t="shared" si="22"/>
        <v/>
      </c>
      <c r="D58" s="14" t="str">
        <f t="shared" si="22"/>
        <v/>
      </c>
      <c r="E58" s="14" t="str">
        <f t="shared" si="22"/>
        <v/>
      </c>
      <c r="F58" s="14" t="str">
        <f t="shared" si="22"/>
        <v/>
      </c>
      <c r="G58" s="14" t="str">
        <f t="shared" si="22"/>
        <v/>
      </c>
      <c r="H58" s="14" t="str">
        <f t="shared" si="22"/>
        <v/>
      </c>
      <c r="I58" s="14" t="str">
        <f t="shared" si="22"/>
        <v/>
      </c>
      <c r="J58" s="14" t="str">
        <f t="shared" si="22"/>
        <v/>
      </c>
      <c r="K58" s="14" t="str">
        <f t="shared" si="22"/>
        <v/>
      </c>
      <c r="L58" s="14" t="str">
        <f t="shared" si="22"/>
        <v/>
      </c>
    </row>
    <row r="59" spans="1:13" x14ac:dyDescent="0.35">
      <c r="A59" s="1" t="s">
        <v>167</v>
      </c>
      <c r="C59"/>
      <c r="M59" t="s">
        <v>168</v>
      </c>
    </row>
    <row r="60" spans="1:13" x14ac:dyDescent="0.35">
      <c r="A60" t="str">
        <f>IF(A6="","","    "&amp;A6)</f>
        <v xml:space="preserve">    Upper Basin</v>
      </c>
      <c r="B60" s="1"/>
      <c r="C60" s="50"/>
      <c r="D60" s="50"/>
      <c r="E60" s="50"/>
      <c r="F60" s="50"/>
      <c r="G60" s="50"/>
      <c r="H60" s="50"/>
      <c r="I60" s="50"/>
      <c r="J60" s="50"/>
      <c r="K60" s="50"/>
      <c r="L60" s="50"/>
      <c r="M60" s="54">
        <f>SUMPRODUCT(C60:L60,C$67:L$67)</f>
        <v>0</v>
      </c>
    </row>
    <row r="61" spans="1:13" x14ac:dyDescent="0.35">
      <c r="A61" t="str">
        <f t="shared" ref="A61:A65" si="23">IF(A7="","","    "&amp;A7)</f>
        <v xml:space="preserve">    Lower Basin</v>
      </c>
      <c r="B61" s="1"/>
      <c r="C61" s="62"/>
      <c r="D61" s="62"/>
      <c r="E61" s="67"/>
      <c r="F61" s="62"/>
      <c r="G61" s="62"/>
      <c r="H61" s="62"/>
      <c r="I61" s="62"/>
      <c r="J61" s="62"/>
      <c r="K61" s="67"/>
      <c r="L61" s="62"/>
      <c r="M61" s="54">
        <f t="shared" ref="M61:M65" si="24">SUMPRODUCT(C61:L61,C$67:L$67)</f>
        <v>0</v>
      </c>
    </row>
    <row r="62" spans="1:13" x14ac:dyDescent="0.35">
      <c r="A62" t="str">
        <f t="shared" si="23"/>
        <v xml:space="preserve">    Mexico</v>
      </c>
      <c r="B62" s="1"/>
      <c r="C62" s="50"/>
      <c r="D62" s="50"/>
      <c r="E62" s="68"/>
      <c r="F62" s="50"/>
      <c r="G62" s="50"/>
      <c r="H62" s="68"/>
      <c r="I62" s="50"/>
      <c r="J62" s="50"/>
      <c r="K62" s="68"/>
      <c r="L62" s="50"/>
      <c r="M62" s="54">
        <f t="shared" si="24"/>
        <v>0</v>
      </c>
    </row>
    <row r="63" spans="1:13" x14ac:dyDescent="0.35">
      <c r="A63" t="str">
        <f t="shared" si="23"/>
        <v xml:space="preserve">    Mohave &amp; Havasu Evap &amp; ET</v>
      </c>
      <c r="B63" s="1"/>
      <c r="C63" s="50"/>
      <c r="D63" s="50"/>
      <c r="E63" s="68"/>
      <c r="F63" s="50"/>
      <c r="G63" s="50"/>
      <c r="H63" s="68"/>
      <c r="I63" s="50"/>
      <c r="J63" s="50"/>
      <c r="K63" s="68"/>
      <c r="L63" s="50"/>
      <c r="M63" s="54">
        <f t="shared" si="24"/>
        <v>0</v>
      </c>
    </row>
    <row r="64" spans="1:13" x14ac:dyDescent="0.35">
      <c r="A64" t="str">
        <f t="shared" si="23"/>
        <v/>
      </c>
      <c r="B64" s="1"/>
      <c r="C64" s="50"/>
      <c r="D64" s="50"/>
      <c r="E64" s="68"/>
      <c r="F64" s="50"/>
      <c r="G64" s="50"/>
      <c r="H64" s="68"/>
      <c r="I64" s="50"/>
      <c r="J64" s="50"/>
      <c r="K64" s="68"/>
      <c r="L64" s="50"/>
      <c r="M64" s="54">
        <f t="shared" si="24"/>
        <v>0</v>
      </c>
    </row>
    <row r="65" spans="1:21" x14ac:dyDescent="0.35">
      <c r="A65" t="str">
        <f t="shared" si="23"/>
        <v/>
      </c>
      <c r="B65" s="1"/>
      <c r="C65" s="50"/>
      <c r="D65" s="50"/>
      <c r="E65" s="50"/>
      <c r="F65" s="50"/>
      <c r="G65" s="50"/>
      <c r="H65" s="50"/>
      <c r="I65" s="50"/>
      <c r="J65" s="50"/>
      <c r="K65" s="50"/>
      <c r="L65" s="50"/>
      <c r="M65" s="54">
        <f t="shared" si="24"/>
        <v>0</v>
      </c>
    </row>
    <row r="66" spans="1:21" x14ac:dyDescent="0.35">
      <c r="A66" t="s">
        <v>159</v>
      </c>
      <c r="B66" s="1"/>
      <c r="C66" s="53">
        <f>IF(C$25&lt;&gt;"",SUM(C60:C65),"")</f>
        <v>0</v>
      </c>
      <c r="D66" s="53">
        <f t="shared" ref="D66:L66" si="25">IF(D$25&lt;&gt;"",SUM(D60:D65),"")</f>
        <v>0</v>
      </c>
      <c r="E66" s="53">
        <f t="shared" si="25"/>
        <v>0</v>
      </c>
      <c r="F66" s="53">
        <f t="shared" si="25"/>
        <v>0</v>
      </c>
      <c r="G66" s="53">
        <f t="shared" si="25"/>
        <v>0</v>
      </c>
      <c r="H66" s="53">
        <f t="shared" si="25"/>
        <v>0</v>
      </c>
      <c r="I66" s="53">
        <f t="shared" si="25"/>
        <v>0</v>
      </c>
      <c r="J66" s="53">
        <f t="shared" si="25"/>
        <v>0</v>
      </c>
      <c r="K66" s="53">
        <f t="shared" si="25"/>
        <v>0</v>
      </c>
      <c r="L66" s="53">
        <f t="shared" si="25"/>
        <v>0</v>
      </c>
      <c r="M66" s="34"/>
    </row>
    <row r="67" spans="1:21" x14ac:dyDescent="0.35">
      <c r="A67" t="s">
        <v>160</v>
      </c>
      <c r="B67" s="1"/>
      <c r="C67" s="31"/>
      <c r="D67" s="31"/>
      <c r="E67" s="31"/>
      <c r="F67" s="31"/>
      <c r="G67" s="31"/>
      <c r="H67" s="31"/>
      <c r="I67" s="31"/>
      <c r="J67" s="31"/>
      <c r="K67" s="31"/>
      <c r="L67" s="31"/>
    </row>
    <row r="68" spans="1:21" x14ac:dyDescent="0.35">
      <c r="A68" s="1" t="s">
        <v>186</v>
      </c>
      <c r="B68" s="1"/>
      <c r="C68"/>
    </row>
    <row r="69" spans="1:21" x14ac:dyDescent="0.35">
      <c r="A69" t="str">
        <f>IF(A6="","","    "&amp;A6)</f>
        <v xml:space="preserve">    Upper Basin</v>
      </c>
      <c r="C69" s="14">
        <f>IF(OR(C$25="",$A69=""),"",C28+C46+C53-C38-C60)</f>
        <v>14.632257133649304</v>
      </c>
      <c r="D69" s="14">
        <f t="shared" ref="D69:L69" si="26">IF(OR(D$25="",$A69=""),"",D28+D46+D53-D38-D60)</f>
        <v>14.083093333626893</v>
      </c>
      <c r="E69" s="14">
        <f t="shared" si="26"/>
        <v>13.551085552983922</v>
      </c>
      <c r="F69" s="14">
        <f t="shared" si="26"/>
        <v>13.037236686384876</v>
      </c>
      <c r="G69" s="14">
        <f t="shared" si="26"/>
        <v>12.541761656000229</v>
      </c>
      <c r="H69" s="14">
        <f t="shared" si="26"/>
        <v>12.063868956382843</v>
      </c>
      <c r="I69" s="14">
        <f t="shared" si="26"/>
        <v>13.603631527986424</v>
      </c>
      <c r="J69" s="14">
        <f t="shared" si="26"/>
        <v>15.076202195079537</v>
      </c>
      <c r="K69" s="14">
        <f t="shared" si="26"/>
        <v>16.486629885257578</v>
      </c>
      <c r="L69" s="14">
        <f t="shared" si="26"/>
        <v>17.841619839876557</v>
      </c>
    </row>
    <row r="70" spans="1:21" x14ac:dyDescent="0.35">
      <c r="A70" t="str">
        <f t="shared" ref="A70:A74" si="27">IF(A7="","","    "&amp;A7)</f>
        <v xml:space="preserve">    Lower Basin</v>
      </c>
      <c r="C70" s="14">
        <f t="shared" ref="C70:L74" si="28">IF(OR(C$25="",$A70=""),"",C29+C47+C54-C39-C61)</f>
        <v>16.53683086430712</v>
      </c>
      <c r="D70" s="14">
        <f t="shared" si="28"/>
        <v>16.158243974330134</v>
      </c>
      <c r="E70" s="14">
        <f t="shared" si="28"/>
        <v>15.79099952047253</v>
      </c>
      <c r="F70" s="14">
        <f t="shared" si="28"/>
        <v>15.513719347570403</v>
      </c>
      <c r="G70" s="14">
        <f t="shared" si="28"/>
        <v>15.242794533454452</v>
      </c>
      <c r="H70" s="14">
        <f t="shared" si="28"/>
        <v>14.977635064071269</v>
      </c>
      <c r="I70" s="14">
        <f t="shared" si="28"/>
        <v>14.718511512468288</v>
      </c>
      <c r="J70" s="14">
        <f t="shared" si="28"/>
        <v>14.486961559375176</v>
      </c>
      <c r="K70" s="14">
        <f t="shared" si="28"/>
        <v>14.278140271196561</v>
      </c>
      <c r="L70" s="14">
        <f t="shared" si="28"/>
        <v>14.11101944557816</v>
      </c>
    </row>
    <row r="71" spans="1:21" x14ac:dyDescent="0.35">
      <c r="A71" t="str">
        <f t="shared" si="27"/>
        <v xml:space="preserve">    Mexico</v>
      </c>
      <c r="C71" s="60">
        <f t="shared" si="28"/>
        <v>1.5090143220436021</v>
      </c>
      <c r="D71" s="14">
        <f t="shared" si="28"/>
        <v>1.47</v>
      </c>
      <c r="E71" s="14">
        <f t="shared" si="28"/>
        <v>1.468</v>
      </c>
      <c r="F71" s="14">
        <f t="shared" si="28"/>
        <v>1.468</v>
      </c>
      <c r="G71" s="14">
        <f t="shared" si="28"/>
        <v>1.468</v>
      </c>
      <c r="H71" s="14">
        <f t="shared" si="28"/>
        <v>1.468</v>
      </c>
      <c r="I71" s="14">
        <f t="shared" si="28"/>
        <v>1.468</v>
      </c>
      <c r="J71" s="14">
        <f t="shared" si="28"/>
        <v>1.468</v>
      </c>
      <c r="K71" s="14">
        <f t="shared" si="28"/>
        <v>1.468</v>
      </c>
      <c r="L71" s="14">
        <f t="shared" si="28"/>
        <v>1.4470000000000001</v>
      </c>
    </row>
    <row r="72" spans="1:21" x14ac:dyDescent="0.35">
      <c r="A72" t="str">
        <f t="shared" si="27"/>
        <v xml:space="preserve">    Mohave &amp; Havasu Evap &amp; ET</v>
      </c>
      <c r="C72" s="14">
        <f t="shared" si="28"/>
        <v>0.6</v>
      </c>
      <c r="D72" s="14">
        <f t="shared" si="28"/>
        <v>0.6</v>
      </c>
      <c r="E72" s="14">
        <f t="shared" si="28"/>
        <v>0.6</v>
      </c>
      <c r="F72" s="14">
        <f t="shared" si="28"/>
        <v>0.6</v>
      </c>
      <c r="G72" s="14">
        <f t="shared" si="28"/>
        <v>0.6</v>
      </c>
      <c r="H72" s="14">
        <f t="shared" si="28"/>
        <v>0.6</v>
      </c>
      <c r="I72" s="14">
        <f t="shared" si="28"/>
        <v>0.6</v>
      </c>
      <c r="J72" s="14">
        <f t="shared" si="28"/>
        <v>0.6</v>
      </c>
      <c r="K72" s="14">
        <f t="shared" si="28"/>
        <v>0.6</v>
      </c>
      <c r="L72" s="14">
        <f t="shared" si="28"/>
        <v>0.6</v>
      </c>
    </row>
    <row r="73" spans="1:21" x14ac:dyDescent="0.35">
      <c r="A73" t="str">
        <f t="shared" si="27"/>
        <v/>
      </c>
      <c r="C73" s="60" t="str">
        <f t="shared" si="28"/>
        <v/>
      </c>
      <c r="D73" s="60" t="str">
        <f t="shared" si="28"/>
        <v/>
      </c>
      <c r="E73" s="60" t="str">
        <f t="shared" si="28"/>
        <v/>
      </c>
      <c r="F73" s="60" t="str">
        <f t="shared" si="28"/>
        <v/>
      </c>
      <c r="G73" s="60" t="str">
        <f t="shared" si="28"/>
        <v/>
      </c>
      <c r="H73" s="60" t="str">
        <f t="shared" si="28"/>
        <v/>
      </c>
      <c r="I73" s="60" t="str">
        <f t="shared" si="28"/>
        <v/>
      </c>
      <c r="J73" s="60" t="str">
        <f t="shared" si="28"/>
        <v/>
      </c>
      <c r="K73" s="60" t="str">
        <f t="shared" si="28"/>
        <v/>
      </c>
      <c r="L73" s="60" t="str">
        <f t="shared" si="28"/>
        <v/>
      </c>
    </row>
    <row r="74" spans="1:21" x14ac:dyDescent="0.35">
      <c r="A74" t="str">
        <f t="shared" si="27"/>
        <v/>
      </c>
      <c r="C74" s="14" t="str">
        <f t="shared" si="28"/>
        <v/>
      </c>
      <c r="D74" s="14" t="str">
        <f t="shared" si="28"/>
        <v/>
      </c>
      <c r="E74" s="14" t="str">
        <f t="shared" si="28"/>
        <v/>
      </c>
      <c r="F74" s="14" t="str">
        <f t="shared" si="28"/>
        <v/>
      </c>
      <c r="G74" s="14" t="str">
        <f t="shared" si="28"/>
        <v/>
      </c>
      <c r="H74" s="14" t="str">
        <f t="shared" si="28"/>
        <v/>
      </c>
      <c r="I74" s="14" t="str">
        <f t="shared" si="28"/>
        <v/>
      </c>
      <c r="J74" s="14" t="str">
        <f t="shared" si="28"/>
        <v/>
      </c>
      <c r="K74" s="14" t="str">
        <f t="shared" si="28"/>
        <v/>
      </c>
      <c r="L74" s="14" t="str">
        <f t="shared" si="28"/>
        <v/>
      </c>
    </row>
    <row r="75" spans="1:21" x14ac:dyDescent="0.35">
      <c r="A75" s="1" t="s">
        <v>136</v>
      </c>
      <c r="B75" s="1"/>
      <c r="C75" s="69"/>
      <c r="D75" s="2"/>
      <c r="E75" s="69"/>
      <c r="F75" s="2"/>
      <c r="G75" s="2"/>
      <c r="H75" s="2"/>
      <c r="I75" s="2"/>
      <c r="J75" s="2"/>
      <c r="K75" s="2"/>
      <c r="L75" s="2"/>
    </row>
    <row r="76" spans="1:21" x14ac:dyDescent="0.35">
      <c r="A76" t="str">
        <f>IF(A6="","","    "&amp;A6&amp;" - Consumptive Use and Headwaters Losses")</f>
        <v xml:space="preserve">    Upper Basin - Consumptive Use and Headwaters Losses</v>
      </c>
      <c r="C76" s="43">
        <f>IF(C69&gt;6.1+4.2,4.2,MAX(C69-6.1,0))</f>
        <v>4.2</v>
      </c>
      <c r="D76" s="43">
        <f t="shared" ref="D76:L76" si="29">IF(D69&gt;6.1+4.2,4.2,MAX(D69-6.1,0))</f>
        <v>4.2</v>
      </c>
      <c r="E76" s="43">
        <f t="shared" si="29"/>
        <v>4.2</v>
      </c>
      <c r="F76" s="43">
        <f t="shared" si="29"/>
        <v>4.2</v>
      </c>
      <c r="G76" s="43">
        <f t="shared" si="29"/>
        <v>4.2</v>
      </c>
      <c r="H76" s="43">
        <f t="shared" si="29"/>
        <v>4.2</v>
      </c>
      <c r="I76" s="43">
        <f t="shared" si="29"/>
        <v>4.2</v>
      </c>
      <c r="J76" s="43">
        <f t="shared" si="29"/>
        <v>4.2</v>
      </c>
      <c r="K76" s="43">
        <f t="shared" si="29"/>
        <v>4.2</v>
      </c>
      <c r="L76" s="43">
        <f t="shared" si="29"/>
        <v>4.2</v>
      </c>
      <c r="N76" s="1" t="s">
        <v>129</v>
      </c>
    </row>
    <row r="77" spans="1:21" x14ac:dyDescent="0.35">
      <c r="A77" t="str">
        <f>IF(A7="","","    "&amp;A7&amp;" - Release from Mead")</f>
        <v xml:space="preserve">    Lower Basin - Release from Mead</v>
      </c>
      <c r="C77" s="43">
        <f>7.5-IF(C$29&lt;$O$78,$P$78,IF(C$29&lt;=$O$85,VLOOKUP(C$29,$O$78:$P$85,2),0))</f>
        <v>6.867</v>
      </c>
      <c r="D77" s="43">
        <f t="shared" ref="D77:L77" si="30">7.5-IF(D$29&lt;$O$78,$P$78,IF(D$29&lt;=$O$85,VLOOKUP(D$29,$O$78:$P$85,2),0))</f>
        <v>6.867</v>
      </c>
      <c r="E77" s="43">
        <f t="shared" si="30"/>
        <v>6.7830000000000004</v>
      </c>
      <c r="F77" s="43">
        <f t="shared" si="30"/>
        <v>6.7830000000000004</v>
      </c>
      <c r="G77" s="43">
        <f t="shared" si="30"/>
        <v>6.7830000000000004</v>
      </c>
      <c r="H77" s="43">
        <f t="shared" si="30"/>
        <v>6.7830000000000004</v>
      </c>
      <c r="I77" s="43">
        <f t="shared" si="30"/>
        <v>6.7830000000000004</v>
      </c>
      <c r="J77" s="43">
        <f t="shared" si="30"/>
        <v>6.7830000000000004</v>
      </c>
      <c r="K77" s="43">
        <f t="shared" si="30"/>
        <v>6.7830000000000004</v>
      </c>
      <c r="L77" s="43">
        <f t="shared" si="30"/>
        <v>6.5330000000000004</v>
      </c>
      <c r="N77" s="37" t="s">
        <v>130</v>
      </c>
      <c r="O77" s="37" t="s">
        <v>131</v>
      </c>
      <c r="P77" s="38" t="s">
        <v>132</v>
      </c>
      <c r="Q77" s="38" t="s">
        <v>133</v>
      </c>
      <c r="R77" s="37" t="s">
        <v>134</v>
      </c>
      <c r="S77" s="37" t="s">
        <v>134</v>
      </c>
      <c r="T77" s="51" t="s">
        <v>157</v>
      </c>
      <c r="U77" s="51" t="s">
        <v>158</v>
      </c>
    </row>
    <row r="78" spans="1:21" x14ac:dyDescent="0.35">
      <c r="A78" t="str">
        <f t="shared" ref="A78:A81" si="31">IF(A8="","","    "&amp;A8&amp;" - Release from Mead")</f>
        <v xml:space="preserve">    Mexico - Release from Mead</v>
      </c>
      <c r="C78" s="50">
        <f t="shared" ref="C78:L78" si="32">C71</f>
        <v>1.5090143220436021</v>
      </c>
      <c r="D78" s="50">
        <f t="shared" si="32"/>
        <v>1.47</v>
      </c>
      <c r="E78" s="50">
        <f t="shared" si="32"/>
        <v>1.468</v>
      </c>
      <c r="F78" s="50">
        <f t="shared" si="32"/>
        <v>1.468</v>
      </c>
      <c r="G78" s="50">
        <f t="shared" si="32"/>
        <v>1.468</v>
      </c>
      <c r="H78" s="50">
        <f t="shared" si="32"/>
        <v>1.468</v>
      </c>
      <c r="I78" s="50">
        <f t="shared" si="32"/>
        <v>1.468</v>
      </c>
      <c r="J78" s="50">
        <f t="shared" si="32"/>
        <v>1.468</v>
      </c>
      <c r="K78" s="50">
        <f t="shared" si="32"/>
        <v>1.468</v>
      </c>
      <c r="L78" s="50">
        <f t="shared" si="32"/>
        <v>1.4470000000000001</v>
      </c>
      <c r="N78" s="39">
        <v>1025</v>
      </c>
      <c r="O78" s="40">
        <v>5.981122</v>
      </c>
      <c r="P78" s="41">
        <f>S78-Q78</f>
        <v>1.2000000000000002</v>
      </c>
      <c r="Q78" s="49">
        <v>0.15</v>
      </c>
      <c r="R78" s="41">
        <v>1.325</v>
      </c>
      <c r="S78" s="41">
        <f t="shared" ref="S78:S85" si="33">U78/1000000</f>
        <v>1.35</v>
      </c>
      <c r="T78" s="42">
        <v>0.125</v>
      </c>
      <c r="U78" s="52">
        <v>1350000</v>
      </c>
    </row>
    <row r="79" spans="1:21" x14ac:dyDescent="0.35">
      <c r="A79" t="str">
        <f t="shared" si="31"/>
        <v xml:space="preserve">    Mohave &amp; Havasu Evap &amp; ET - Release from Mead</v>
      </c>
      <c r="C79" s="43">
        <v>0.6</v>
      </c>
      <c r="D79" s="43">
        <v>0.6</v>
      </c>
      <c r="E79" s="43">
        <v>0.6</v>
      </c>
      <c r="F79" s="43">
        <v>0.6</v>
      </c>
      <c r="G79" s="43">
        <v>0.6</v>
      </c>
      <c r="H79" s="43">
        <v>0.6</v>
      </c>
      <c r="I79" s="43">
        <v>0.6</v>
      </c>
      <c r="J79" s="43">
        <v>0.6</v>
      </c>
      <c r="K79" s="43">
        <v>0.6</v>
      </c>
      <c r="L79" s="43">
        <v>0.6</v>
      </c>
      <c r="N79" s="39">
        <v>1030</v>
      </c>
      <c r="O79" s="40">
        <v>6.305377</v>
      </c>
      <c r="P79" s="41">
        <f t="shared" ref="P79:P85" si="34">S79-Q79</f>
        <v>1.117</v>
      </c>
      <c r="Q79" s="49">
        <v>0.10100000000000001</v>
      </c>
      <c r="R79" s="41">
        <v>1.1870000000000001</v>
      </c>
      <c r="S79" s="41">
        <f t="shared" si="33"/>
        <v>1.218</v>
      </c>
      <c r="T79" s="42">
        <v>7.0000000000000007E-2</v>
      </c>
      <c r="U79" s="52">
        <v>1218000</v>
      </c>
    </row>
    <row r="80" spans="1:21" x14ac:dyDescent="0.35">
      <c r="A80" t="str">
        <f t="shared" si="31"/>
        <v/>
      </c>
      <c r="C80" s="68"/>
      <c r="D80" s="68"/>
      <c r="E80" s="50" t="str">
        <f>E73</f>
        <v/>
      </c>
      <c r="F80" s="50"/>
      <c r="G80" s="50"/>
      <c r="H80" s="50" t="str">
        <f>H73</f>
        <v/>
      </c>
      <c r="I80" s="50"/>
      <c r="J80" s="50"/>
      <c r="K80" s="50" t="str">
        <f>K73</f>
        <v/>
      </c>
      <c r="L80" s="50"/>
      <c r="N80" s="39">
        <v>1035</v>
      </c>
      <c r="O80" s="40">
        <v>6.6375080000000004</v>
      </c>
      <c r="P80" s="41">
        <f t="shared" si="34"/>
        <v>1.0669999999999999</v>
      </c>
      <c r="Q80" s="49">
        <v>9.1999999999999998E-2</v>
      </c>
      <c r="R80" s="41">
        <v>1.137</v>
      </c>
      <c r="S80" s="41">
        <f t="shared" si="33"/>
        <v>1.159</v>
      </c>
      <c r="T80" s="42">
        <v>7.0000000000000007E-2</v>
      </c>
      <c r="U80" s="52">
        <v>1159000</v>
      </c>
    </row>
    <row r="81" spans="1:21" x14ac:dyDescent="0.35">
      <c r="A81" t="str">
        <f t="shared" si="31"/>
        <v/>
      </c>
      <c r="C81" s="43"/>
      <c r="D81" s="43"/>
      <c r="E81" s="43"/>
      <c r="F81" s="43"/>
      <c r="G81" s="43"/>
      <c r="H81" s="43"/>
      <c r="I81" s="43"/>
      <c r="J81" s="43"/>
      <c r="K81" s="43"/>
      <c r="L81" s="43"/>
      <c r="N81" s="39">
        <v>1040</v>
      </c>
      <c r="O81" s="40">
        <v>6.977665</v>
      </c>
      <c r="P81" s="41">
        <f t="shared" si="34"/>
        <v>1.0169999999999999</v>
      </c>
      <c r="Q81" s="49">
        <v>8.4000000000000005E-2</v>
      </c>
      <c r="R81" s="41">
        <v>1.087</v>
      </c>
      <c r="S81" s="41">
        <f t="shared" si="33"/>
        <v>1.101</v>
      </c>
      <c r="T81" s="42">
        <v>7.0000000000000007E-2</v>
      </c>
      <c r="U81" s="52">
        <v>1101000</v>
      </c>
    </row>
    <row r="82" spans="1:21" x14ac:dyDescent="0.35">
      <c r="A82" s="1" t="s">
        <v>141</v>
      </c>
      <c r="B82" s="1"/>
      <c r="D82" s="2"/>
      <c r="E82" s="2"/>
      <c r="F82" s="2"/>
      <c r="G82" s="2"/>
      <c r="H82" s="2"/>
      <c r="I82" s="2"/>
      <c r="J82" s="2"/>
      <c r="K82" s="2"/>
      <c r="L82" s="2"/>
      <c r="N82" s="39">
        <v>1045</v>
      </c>
      <c r="O82" s="40">
        <v>7.3260519999999998</v>
      </c>
      <c r="P82" s="41">
        <f t="shared" si="34"/>
        <v>0.96699999999999997</v>
      </c>
      <c r="Q82" s="49">
        <v>7.5999999999999998E-2</v>
      </c>
      <c r="R82" s="41">
        <v>1.0369999999999999</v>
      </c>
      <c r="S82" s="41">
        <f t="shared" si="33"/>
        <v>1.0429999999999999</v>
      </c>
      <c r="T82" s="42">
        <v>7.0000000000000007E-2</v>
      </c>
      <c r="U82" s="52">
        <v>1043000</v>
      </c>
    </row>
    <row r="83" spans="1:21" x14ac:dyDescent="0.35">
      <c r="A83" t="str">
        <f>IF(A6="","","    "&amp;A6)</f>
        <v xml:space="preserve">    Upper Basin</v>
      </c>
      <c r="C83" s="14">
        <f>IF(OR(C$25="",$A83=""),"",C69-C76)</f>
        <v>10.432257133649305</v>
      </c>
      <c r="D83" s="14">
        <f t="shared" ref="D83:L83" si="35">IF(OR(D$25="",$A83=""),"",D69-D76)</f>
        <v>9.883093333626892</v>
      </c>
      <c r="E83" s="14">
        <f t="shared" si="35"/>
        <v>9.3510855529839212</v>
      </c>
      <c r="F83" s="14">
        <f t="shared" si="35"/>
        <v>8.8372366863848768</v>
      </c>
      <c r="G83" s="14">
        <f t="shared" si="35"/>
        <v>8.3417616560002301</v>
      </c>
      <c r="H83" s="14">
        <f t="shared" si="35"/>
        <v>7.8638689563828423</v>
      </c>
      <c r="I83" s="14">
        <f t="shared" si="35"/>
        <v>9.4036315279864233</v>
      </c>
      <c r="J83" s="14">
        <f t="shared" si="35"/>
        <v>10.876202195079536</v>
      </c>
      <c r="K83" s="14">
        <f t="shared" si="35"/>
        <v>12.286629885257579</v>
      </c>
      <c r="L83" s="14">
        <f t="shared" si="35"/>
        <v>13.641619839876558</v>
      </c>
      <c r="N83" s="39">
        <v>1050</v>
      </c>
      <c r="O83" s="40">
        <v>7.6828779999999997</v>
      </c>
      <c r="P83" s="41">
        <f t="shared" si="34"/>
        <v>0.71699999999999997</v>
      </c>
      <c r="Q83" s="49">
        <v>3.4000000000000002E-2</v>
      </c>
      <c r="R83" s="41">
        <v>0.78700000000000003</v>
      </c>
      <c r="S83" s="41">
        <f t="shared" si="33"/>
        <v>0.751</v>
      </c>
      <c r="T83" s="42">
        <v>7.0000000000000007E-2</v>
      </c>
      <c r="U83" s="52">
        <v>751000</v>
      </c>
    </row>
    <row r="84" spans="1:21" x14ac:dyDescent="0.35">
      <c r="A84" t="str">
        <f t="shared" ref="A84:A88" si="36">IF(A7="","","    "&amp;A7)</f>
        <v xml:space="preserve">    Lower Basin</v>
      </c>
      <c r="C84" s="14">
        <f t="shared" ref="C84:L88" si="37">IF(OR(C$25="",$A84=""),"",C70-C77)</f>
        <v>9.6698308643071194</v>
      </c>
      <c r="D84" s="14">
        <f t="shared" si="37"/>
        <v>9.2912439743301327</v>
      </c>
      <c r="E84" s="14">
        <f t="shared" si="37"/>
        <v>9.0079995204725307</v>
      </c>
      <c r="F84" s="14">
        <f t="shared" si="37"/>
        <v>8.7307193475704032</v>
      </c>
      <c r="G84" s="14">
        <f t="shared" si="37"/>
        <v>8.4597945334544526</v>
      </c>
      <c r="H84" s="14">
        <f t="shared" si="37"/>
        <v>8.1946350640712673</v>
      </c>
      <c r="I84" s="14">
        <f t="shared" si="37"/>
        <v>7.9355115124682873</v>
      </c>
      <c r="J84" s="14">
        <f t="shared" si="37"/>
        <v>7.703961559375176</v>
      </c>
      <c r="K84" s="14">
        <f t="shared" si="37"/>
        <v>7.4951402711965605</v>
      </c>
      <c r="L84" s="14">
        <f t="shared" si="37"/>
        <v>7.5780194455781595</v>
      </c>
      <c r="N84" s="39">
        <v>1075</v>
      </c>
      <c r="O84" s="40">
        <v>9.6009879999900001</v>
      </c>
      <c r="P84" s="41">
        <f t="shared" si="34"/>
        <v>0.63300000000000001</v>
      </c>
      <c r="Q84" s="49">
        <v>0.03</v>
      </c>
      <c r="R84" s="41">
        <v>0.68300000000000005</v>
      </c>
      <c r="S84" s="41">
        <f t="shared" si="33"/>
        <v>0.66300000000000003</v>
      </c>
      <c r="T84" s="42">
        <v>0.05</v>
      </c>
      <c r="U84" s="52">
        <v>663000</v>
      </c>
    </row>
    <row r="85" spans="1:21" x14ac:dyDescent="0.35">
      <c r="A85" t="str">
        <f t="shared" si="36"/>
        <v xml:space="preserve">    Mexico</v>
      </c>
      <c r="C85" s="14">
        <f t="shared" si="37"/>
        <v>0</v>
      </c>
      <c r="D85" s="14">
        <f t="shared" si="37"/>
        <v>0</v>
      </c>
      <c r="E85" s="14">
        <f t="shared" si="37"/>
        <v>0</v>
      </c>
      <c r="F85" s="14">
        <f t="shared" si="37"/>
        <v>0</v>
      </c>
      <c r="G85" s="14">
        <f t="shared" si="37"/>
        <v>0</v>
      </c>
      <c r="H85" s="14">
        <f t="shared" si="37"/>
        <v>0</v>
      </c>
      <c r="I85" s="14">
        <f t="shared" si="37"/>
        <v>0</v>
      </c>
      <c r="J85" s="14">
        <f t="shared" si="37"/>
        <v>0</v>
      </c>
      <c r="K85" s="14">
        <f t="shared" si="37"/>
        <v>0</v>
      </c>
      <c r="L85" s="14">
        <f t="shared" si="37"/>
        <v>0</v>
      </c>
      <c r="N85" s="39">
        <v>1090</v>
      </c>
      <c r="O85" s="40">
        <v>10.857008</v>
      </c>
      <c r="P85" s="41">
        <f t="shared" si="34"/>
        <v>0.30000000000000004</v>
      </c>
      <c r="Q85" s="49">
        <v>4.1000000000000002E-2</v>
      </c>
      <c r="R85" s="41">
        <v>0.3</v>
      </c>
      <c r="S85" s="41">
        <f t="shared" si="33"/>
        <v>0.34100000000000003</v>
      </c>
      <c r="T85" s="38"/>
      <c r="U85" s="52">
        <v>341000</v>
      </c>
    </row>
    <row r="86" spans="1:21" x14ac:dyDescent="0.35">
      <c r="A86" t="str">
        <f t="shared" si="36"/>
        <v xml:space="preserve">    Mohave &amp; Havasu Evap &amp; ET</v>
      </c>
      <c r="C86" s="14">
        <f t="shared" si="37"/>
        <v>0</v>
      </c>
      <c r="D86" s="14">
        <f t="shared" si="37"/>
        <v>0</v>
      </c>
      <c r="E86" s="14">
        <f t="shared" si="37"/>
        <v>0</v>
      </c>
      <c r="F86" s="14">
        <f t="shared" si="37"/>
        <v>0</v>
      </c>
      <c r="G86" s="14">
        <f t="shared" si="37"/>
        <v>0</v>
      </c>
      <c r="H86" s="14">
        <f t="shared" si="37"/>
        <v>0</v>
      </c>
      <c r="I86" s="14">
        <f t="shared" si="37"/>
        <v>0</v>
      </c>
      <c r="J86" s="14">
        <f t="shared" si="37"/>
        <v>0</v>
      </c>
      <c r="K86" s="14">
        <f t="shared" si="37"/>
        <v>0</v>
      </c>
      <c r="L86" s="14">
        <f t="shared" si="37"/>
        <v>0</v>
      </c>
    </row>
    <row r="87" spans="1:21" x14ac:dyDescent="0.35">
      <c r="A87" t="str">
        <f t="shared" si="36"/>
        <v/>
      </c>
      <c r="C87" s="59" t="str">
        <f>IF(OR(C$25="",$A87=""),"",C73-C80)</f>
        <v/>
      </c>
      <c r="D87" s="59" t="str">
        <f t="shared" si="37"/>
        <v/>
      </c>
      <c r="E87" s="59" t="str">
        <f t="shared" si="37"/>
        <v/>
      </c>
      <c r="F87" s="59" t="str">
        <f t="shared" si="37"/>
        <v/>
      </c>
      <c r="G87" s="59" t="str">
        <f t="shared" si="37"/>
        <v/>
      </c>
      <c r="H87" s="59" t="str">
        <f t="shared" si="37"/>
        <v/>
      </c>
      <c r="I87" s="59" t="str">
        <f t="shared" si="37"/>
        <v/>
      </c>
      <c r="J87" s="59" t="str">
        <f t="shared" si="37"/>
        <v/>
      </c>
      <c r="K87" s="59" t="str">
        <f t="shared" si="37"/>
        <v/>
      </c>
      <c r="L87" s="59" t="str">
        <f t="shared" si="37"/>
        <v/>
      </c>
    </row>
    <row r="88" spans="1:21" x14ac:dyDescent="0.35">
      <c r="A88" t="str">
        <f t="shared" si="36"/>
        <v/>
      </c>
      <c r="C88" s="14" t="str">
        <f t="shared" si="37"/>
        <v/>
      </c>
      <c r="D88" s="14" t="str">
        <f t="shared" si="37"/>
        <v/>
      </c>
      <c r="E88" s="14" t="str">
        <f t="shared" si="37"/>
        <v/>
      </c>
      <c r="F88" s="14" t="str">
        <f t="shared" si="37"/>
        <v/>
      </c>
      <c r="G88" s="14" t="str">
        <f t="shared" si="37"/>
        <v/>
      </c>
      <c r="H88" s="14" t="str">
        <f t="shared" si="37"/>
        <v/>
      </c>
      <c r="I88" s="14" t="str">
        <f t="shared" si="37"/>
        <v/>
      </c>
      <c r="J88" s="14" t="str">
        <f t="shared" si="37"/>
        <v/>
      </c>
      <c r="K88" s="14" t="str">
        <f t="shared" si="37"/>
        <v/>
      </c>
      <c r="L88" s="14" t="str">
        <f t="shared" si="37"/>
        <v/>
      </c>
    </row>
    <row r="89" spans="1:21" x14ac:dyDescent="0.35">
      <c r="A89" s="1" t="s">
        <v>125</v>
      </c>
      <c r="B89" s="1"/>
      <c r="C89" s="14">
        <f>IF(C$25&lt;&gt;"",SUM(C83:C88),"")</f>
        <v>20.102087997956424</v>
      </c>
      <c r="D89" s="14">
        <f t="shared" ref="D89:L89" si="38">IF(D$25&lt;&gt;"",SUM(D83:D88),"")</f>
        <v>19.174337307957025</v>
      </c>
      <c r="E89" s="14">
        <f t="shared" si="38"/>
        <v>18.359085073456452</v>
      </c>
      <c r="F89" s="14">
        <f t="shared" si="38"/>
        <v>17.56795603395528</v>
      </c>
      <c r="G89" s="14">
        <f t="shared" si="38"/>
        <v>16.801556189454683</v>
      </c>
      <c r="H89" s="14">
        <f t="shared" si="38"/>
        <v>16.058504020454109</v>
      </c>
      <c r="I89" s="14">
        <f t="shared" si="38"/>
        <v>17.339143040454712</v>
      </c>
      <c r="J89" s="14">
        <f t="shared" si="38"/>
        <v>18.580163754454713</v>
      </c>
      <c r="K89" s="14">
        <f t="shared" si="38"/>
        <v>19.78177015645414</v>
      </c>
      <c r="L89" s="14">
        <f t="shared" si="38"/>
        <v>21.219639285454718</v>
      </c>
    </row>
    <row r="90" spans="1:21" x14ac:dyDescent="0.35">
      <c r="A90" s="1" t="s">
        <v>147</v>
      </c>
      <c r="B90" s="1"/>
      <c r="C90" s="14">
        <f>IF(C25&lt;&gt;"",C35+C25-C38-C76-C89*$B$35,"")</f>
        <v>8.6162131346710886</v>
      </c>
      <c r="D90" s="14">
        <f t="shared" ref="D90:L90" si="39">IF(D25&lt;&gt;"",D35+D25-D38-D76-D89*$B$35,"")</f>
        <v>8.1497115449772899</v>
      </c>
      <c r="E90" s="14">
        <f t="shared" si="39"/>
        <v>8.1106183366073186</v>
      </c>
      <c r="F90" s="14">
        <f t="shared" si="39"/>
        <v>8.1167156531515428</v>
      </c>
      <c r="G90" s="14">
        <f t="shared" si="39"/>
        <v>8.1227248918656532</v>
      </c>
      <c r="H90" s="14">
        <f t="shared" si="39"/>
        <v>8.1286333848828995</v>
      </c>
      <c r="I90" s="14">
        <f t="shared" si="39"/>
        <v>9.1344430616032799</v>
      </c>
      <c r="J90" s="14">
        <f t="shared" si="39"/>
        <v>9.0870603100931131</v>
      </c>
      <c r="K90" s="14">
        <f t="shared" si="39"/>
        <v>9.0446244891783305</v>
      </c>
      <c r="L90" s="14">
        <f t="shared" si="39"/>
        <v>8.8710553901186877</v>
      </c>
    </row>
    <row r="92" spans="1:21" x14ac:dyDescent="0.35">
      <c r="A92" s="1" t="s">
        <v>127</v>
      </c>
      <c r="C92" s="12">
        <f>IF(C$25&lt;&gt;"",0.2,"")</f>
        <v>0.2</v>
      </c>
      <c r="D92" s="12">
        <f t="shared" ref="D92:L92" si="40">IF(D$25&lt;&gt;"",0.2,"")</f>
        <v>0.2</v>
      </c>
      <c r="E92" s="12">
        <f t="shared" si="40"/>
        <v>0.2</v>
      </c>
      <c r="F92" s="12">
        <f t="shared" si="40"/>
        <v>0.2</v>
      </c>
      <c r="G92" s="12">
        <f t="shared" si="40"/>
        <v>0.2</v>
      </c>
      <c r="H92" s="12">
        <f t="shared" si="40"/>
        <v>0.2</v>
      </c>
      <c r="I92" s="12">
        <f t="shared" si="40"/>
        <v>0.2</v>
      </c>
      <c r="J92" s="12">
        <f t="shared" si="40"/>
        <v>0.2</v>
      </c>
      <c r="K92" s="12">
        <f t="shared" si="40"/>
        <v>0.2</v>
      </c>
      <c r="L92" s="12">
        <f t="shared" si="40"/>
        <v>0.2</v>
      </c>
    </row>
    <row r="93" spans="1:21" x14ac:dyDescent="0.35">
      <c r="A93" t="s">
        <v>128</v>
      </c>
      <c r="C93" s="14">
        <f t="shared" ref="C93:L93" si="41">IF(C$25&lt;&gt;"",C77+C92,"")</f>
        <v>7.0670000000000002</v>
      </c>
      <c r="D93" s="14">
        <f t="shared" si="41"/>
        <v>7.0670000000000002</v>
      </c>
      <c r="E93" s="14">
        <f t="shared" si="41"/>
        <v>6.9830000000000005</v>
      </c>
      <c r="F93" s="14">
        <f t="shared" si="41"/>
        <v>6.9830000000000005</v>
      </c>
      <c r="G93" s="14">
        <f t="shared" si="41"/>
        <v>6.9830000000000005</v>
      </c>
      <c r="H93" s="14">
        <f t="shared" si="41"/>
        <v>6.9830000000000005</v>
      </c>
      <c r="I93" s="14">
        <f t="shared" si="41"/>
        <v>6.9830000000000005</v>
      </c>
      <c r="J93" s="14">
        <f t="shared" si="41"/>
        <v>6.9830000000000005</v>
      </c>
      <c r="K93" s="14">
        <f t="shared" si="41"/>
        <v>6.9830000000000005</v>
      </c>
      <c r="L93" s="14">
        <f t="shared" si="41"/>
        <v>6.7330000000000005</v>
      </c>
    </row>
    <row r="95" spans="1:21" x14ac:dyDescent="0.35">
      <c r="D95" s="18"/>
    </row>
  </sheetData>
  <mergeCells count="9">
    <mergeCell ref="C9:G9"/>
    <mergeCell ref="C10:G10"/>
    <mergeCell ref="C11:G11"/>
    <mergeCell ref="A3:G3"/>
    <mergeCell ref="C4:G4"/>
    <mergeCell ref="C5:G5"/>
    <mergeCell ref="C6:G6"/>
    <mergeCell ref="C7:G7"/>
    <mergeCell ref="C8:G8"/>
  </mergeCells>
  <conditionalFormatting sqref="C76">
    <cfRule type="cellIs" dxfId="142" priority="60" operator="greaterThan">
      <formula>$C$69</formula>
    </cfRule>
  </conditionalFormatting>
  <conditionalFormatting sqref="C77">
    <cfRule type="cellIs" dxfId="141" priority="59" operator="greaterThan">
      <formula>$C$70</formula>
    </cfRule>
  </conditionalFormatting>
  <conditionalFormatting sqref="C78">
    <cfRule type="cellIs" dxfId="140" priority="58" operator="greaterThan">
      <formula>$C$71</formula>
    </cfRule>
  </conditionalFormatting>
  <conditionalFormatting sqref="C79">
    <cfRule type="cellIs" dxfId="139" priority="57" operator="greaterThan">
      <formula>$C$72</formula>
    </cfRule>
  </conditionalFormatting>
  <conditionalFormatting sqref="C80">
    <cfRule type="cellIs" dxfId="138" priority="56" operator="greaterThan">
      <formula>$C$73</formula>
    </cfRule>
  </conditionalFormatting>
  <conditionalFormatting sqref="C81">
    <cfRule type="cellIs" dxfId="137" priority="55" operator="greaterThan">
      <formula>$C$74</formula>
    </cfRule>
  </conditionalFormatting>
  <conditionalFormatting sqref="D76">
    <cfRule type="cellIs" dxfId="136" priority="54" operator="greaterThan">
      <formula>$D$69</formula>
    </cfRule>
  </conditionalFormatting>
  <conditionalFormatting sqref="D77">
    <cfRule type="cellIs" dxfId="135" priority="53" operator="greaterThan">
      <formula>$D$70</formula>
    </cfRule>
  </conditionalFormatting>
  <conditionalFormatting sqref="D78">
    <cfRule type="cellIs" dxfId="134" priority="52" operator="greaterThan">
      <formula>$D$71</formula>
    </cfRule>
  </conditionalFormatting>
  <conditionalFormatting sqref="D79">
    <cfRule type="cellIs" dxfId="133" priority="51" operator="greaterThan">
      <formula>$D$72</formula>
    </cfRule>
  </conditionalFormatting>
  <conditionalFormatting sqref="D80">
    <cfRule type="cellIs" dxfId="132" priority="50" operator="greaterThan">
      <formula>$D$73</formula>
    </cfRule>
  </conditionalFormatting>
  <conditionalFormatting sqref="D81">
    <cfRule type="cellIs" dxfId="131" priority="49" operator="greaterThan">
      <formula>$D$74</formula>
    </cfRule>
  </conditionalFormatting>
  <conditionalFormatting sqref="E76">
    <cfRule type="cellIs" dxfId="130" priority="48" operator="greaterThan">
      <formula>$E$69</formula>
    </cfRule>
  </conditionalFormatting>
  <conditionalFormatting sqref="E77">
    <cfRule type="cellIs" dxfId="129" priority="47" operator="greaterThan">
      <formula>$E$70</formula>
    </cfRule>
  </conditionalFormatting>
  <conditionalFormatting sqref="E78">
    <cfRule type="cellIs" dxfId="128" priority="46" operator="greaterThan">
      <formula>$E$71</formula>
    </cfRule>
  </conditionalFormatting>
  <conditionalFormatting sqref="E79">
    <cfRule type="cellIs" dxfId="127" priority="45" operator="greaterThan">
      <formula>$E$72</formula>
    </cfRule>
  </conditionalFormatting>
  <conditionalFormatting sqref="E80">
    <cfRule type="cellIs" dxfId="126" priority="44" operator="greaterThan">
      <formula>$E$73</formula>
    </cfRule>
  </conditionalFormatting>
  <conditionalFormatting sqref="E81">
    <cfRule type="cellIs" dxfId="125" priority="43" operator="greaterThan">
      <formula>$E$74</formula>
    </cfRule>
  </conditionalFormatting>
  <conditionalFormatting sqref="F76">
    <cfRule type="cellIs" dxfId="124" priority="42" operator="greaterThan">
      <formula>$F$69</formula>
    </cfRule>
  </conditionalFormatting>
  <conditionalFormatting sqref="F77">
    <cfRule type="cellIs" dxfId="123" priority="41" operator="greaterThan">
      <formula>$F$70</formula>
    </cfRule>
  </conditionalFormatting>
  <conditionalFormatting sqref="F78">
    <cfRule type="cellIs" dxfId="122" priority="40" operator="greaterThan">
      <formula>$F$71</formula>
    </cfRule>
  </conditionalFormatting>
  <conditionalFormatting sqref="F79">
    <cfRule type="cellIs" dxfId="121" priority="39" operator="greaterThan">
      <formula>$F$72</formula>
    </cfRule>
  </conditionalFormatting>
  <conditionalFormatting sqref="F80">
    <cfRule type="cellIs" dxfId="120" priority="38" operator="greaterThan">
      <formula>$F$73</formula>
    </cfRule>
  </conditionalFormatting>
  <conditionalFormatting sqref="F81">
    <cfRule type="cellIs" dxfId="119" priority="37" operator="greaterThan">
      <formula>$F$74</formula>
    </cfRule>
  </conditionalFormatting>
  <conditionalFormatting sqref="G76">
    <cfRule type="cellIs" dxfId="118" priority="36" operator="greaterThan">
      <formula>$G$69</formula>
    </cfRule>
  </conditionalFormatting>
  <conditionalFormatting sqref="G77">
    <cfRule type="cellIs" dxfId="117" priority="35" operator="greaterThan">
      <formula>$G$70</formula>
    </cfRule>
  </conditionalFormatting>
  <conditionalFormatting sqref="G78">
    <cfRule type="cellIs" dxfId="116" priority="34" operator="greaterThan">
      <formula>$G$71</formula>
    </cfRule>
  </conditionalFormatting>
  <conditionalFormatting sqref="G79">
    <cfRule type="cellIs" dxfId="115" priority="33" operator="greaterThan">
      <formula>$G$72</formula>
    </cfRule>
  </conditionalFormatting>
  <conditionalFormatting sqref="G80">
    <cfRule type="cellIs" dxfId="114" priority="32" operator="greaterThan">
      <formula>$G$73</formula>
    </cfRule>
  </conditionalFormatting>
  <conditionalFormatting sqref="G81">
    <cfRule type="cellIs" dxfId="113" priority="31" operator="greaterThan">
      <formula>$G$74</formula>
    </cfRule>
  </conditionalFormatting>
  <conditionalFormatting sqref="H76">
    <cfRule type="cellIs" dxfId="112" priority="30" operator="greaterThan">
      <formula>$H$69</formula>
    </cfRule>
  </conditionalFormatting>
  <conditionalFormatting sqref="H77">
    <cfRule type="cellIs" dxfId="111" priority="29" operator="greaterThan">
      <formula>$H$70</formula>
    </cfRule>
  </conditionalFormatting>
  <conditionalFormatting sqref="H78">
    <cfRule type="cellIs" dxfId="110" priority="28" operator="greaterThan">
      <formula>$H$71</formula>
    </cfRule>
  </conditionalFormatting>
  <conditionalFormatting sqref="H79">
    <cfRule type="cellIs" dxfId="109" priority="27" operator="greaterThan">
      <formula>$H$72</formula>
    </cfRule>
  </conditionalFormatting>
  <conditionalFormatting sqref="H80">
    <cfRule type="cellIs" dxfId="108" priority="26" operator="greaterThan">
      <formula>$H$73</formula>
    </cfRule>
  </conditionalFormatting>
  <conditionalFormatting sqref="H81">
    <cfRule type="cellIs" dxfId="107" priority="25" operator="greaterThan">
      <formula>$H$74</formula>
    </cfRule>
  </conditionalFormatting>
  <conditionalFormatting sqref="I76">
    <cfRule type="cellIs" dxfId="106" priority="24" operator="greaterThan">
      <formula>$I$69</formula>
    </cfRule>
  </conditionalFormatting>
  <conditionalFormatting sqref="I77">
    <cfRule type="cellIs" dxfId="105" priority="23" operator="greaterThan">
      <formula>$I$70</formula>
    </cfRule>
  </conditionalFormatting>
  <conditionalFormatting sqref="I78">
    <cfRule type="cellIs" dxfId="104" priority="22" operator="greaterThan">
      <formula>$I$71</formula>
    </cfRule>
  </conditionalFormatting>
  <conditionalFormatting sqref="I79">
    <cfRule type="cellIs" dxfId="103" priority="21" operator="greaterThan">
      <formula>$I$72</formula>
    </cfRule>
  </conditionalFormatting>
  <conditionalFormatting sqref="I80">
    <cfRule type="cellIs" dxfId="102" priority="20" operator="greaterThan">
      <formula>$I$73</formula>
    </cfRule>
  </conditionalFormatting>
  <conditionalFormatting sqref="I81">
    <cfRule type="cellIs" dxfId="101" priority="19" operator="greaterThan">
      <formula>$I$74</formula>
    </cfRule>
  </conditionalFormatting>
  <conditionalFormatting sqref="J76">
    <cfRule type="cellIs" dxfId="100" priority="18" operator="greaterThan">
      <formula>$J$69</formula>
    </cfRule>
  </conditionalFormatting>
  <conditionalFormatting sqref="J77">
    <cfRule type="cellIs" dxfId="99" priority="17" operator="greaterThan">
      <formula>$J$70</formula>
    </cfRule>
  </conditionalFormatting>
  <conditionalFormatting sqref="J78">
    <cfRule type="cellIs" dxfId="98" priority="16" operator="greaterThan">
      <formula>$J$71</formula>
    </cfRule>
  </conditionalFormatting>
  <conditionalFormatting sqref="J79">
    <cfRule type="cellIs" dxfId="97" priority="15" operator="greaterThan">
      <formula>$J$72</formula>
    </cfRule>
  </conditionalFormatting>
  <conditionalFormatting sqref="J80">
    <cfRule type="cellIs" dxfId="96" priority="14" operator="greaterThan">
      <formula>$J$73</formula>
    </cfRule>
  </conditionalFormatting>
  <conditionalFormatting sqref="J81">
    <cfRule type="cellIs" dxfId="95" priority="13" operator="greaterThan">
      <formula>$J$74</formula>
    </cfRule>
  </conditionalFormatting>
  <conditionalFormatting sqref="K76">
    <cfRule type="cellIs" dxfId="94" priority="12" operator="greaterThan">
      <formula>$K$69</formula>
    </cfRule>
  </conditionalFormatting>
  <conditionalFormatting sqref="K77">
    <cfRule type="cellIs" dxfId="93" priority="11" operator="greaterThan">
      <formula>$K$70</formula>
    </cfRule>
  </conditionalFormatting>
  <conditionalFormatting sqref="K78">
    <cfRule type="cellIs" dxfId="92" priority="10" operator="greaterThan">
      <formula>$K$71</formula>
    </cfRule>
  </conditionalFormatting>
  <conditionalFormatting sqref="K79">
    <cfRule type="cellIs" dxfId="91" priority="9" operator="greaterThan">
      <formula>$K$72</formula>
    </cfRule>
  </conditionalFormatting>
  <conditionalFormatting sqref="K80">
    <cfRule type="cellIs" dxfId="90" priority="8" operator="greaterThan">
      <formula>$K$73</formula>
    </cfRule>
  </conditionalFormatting>
  <conditionalFormatting sqref="K81">
    <cfRule type="cellIs" dxfId="89" priority="7" operator="greaterThan">
      <formula>$K$74</formula>
    </cfRule>
  </conditionalFormatting>
  <conditionalFormatting sqref="L76">
    <cfRule type="cellIs" dxfId="88" priority="6" operator="greaterThan">
      <formula>$L$69</formula>
    </cfRule>
  </conditionalFormatting>
  <conditionalFormatting sqref="L77">
    <cfRule type="cellIs" dxfId="87" priority="5" operator="greaterThan">
      <formula>$L$70</formula>
    </cfRule>
  </conditionalFormatting>
  <conditionalFormatting sqref="L78">
    <cfRule type="cellIs" dxfId="86" priority="4" operator="greaterThan">
      <formula>$L$71</formula>
    </cfRule>
  </conditionalFormatting>
  <conditionalFormatting sqref="L79">
    <cfRule type="cellIs" dxfId="85" priority="3" operator="greaterThan">
      <formula>$L$72</formula>
    </cfRule>
  </conditionalFormatting>
  <conditionalFormatting sqref="L80">
    <cfRule type="cellIs" dxfId="84" priority="2" operator="greaterThan">
      <formula>$L$73</formula>
    </cfRule>
  </conditionalFormatting>
  <conditionalFormatting sqref="L81">
    <cfRule type="cellIs" dxfId="83" priority="1" operator="greaterThan">
      <formula>$L$74</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ReadMe-Directions</vt:lpstr>
      <vt:lpstr>Versions</vt:lpstr>
      <vt:lpstr>Master</vt:lpstr>
      <vt:lpstr>11.0-Trade</vt:lpstr>
      <vt:lpstr>11.0-TradeReserve</vt:lpstr>
      <vt:lpstr>11.0-LawOfRiver</vt:lpstr>
      <vt:lpstr>11.0-Plots</vt:lpstr>
      <vt:lpstr>MillenniumRecover-Trade</vt:lpstr>
      <vt:lpstr>MillenniumRecover-LawOfRiver</vt:lpstr>
      <vt:lpstr>Millennium-Plots</vt:lpstr>
      <vt:lpstr>MillenniumRecover-Delta</vt:lpstr>
      <vt:lpstr>HydrologicScenarios</vt:lpstr>
      <vt:lpstr>Powell-Elevation-Area</vt:lpstr>
      <vt:lpstr>Mead-Elevation-Area</vt:lpstr>
      <vt:lpstr>11.0-LawOfRiverShort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dc:creator>
  <cp:lastModifiedBy>david</cp:lastModifiedBy>
  <dcterms:created xsi:type="dcterms:W3CDTF">2021-03-26T20:44:10Z</dcterms:created>
  <dcterms:modified xsi:type="dcterms:W3CDTF">2021-06-30T17:29:06Z</dcterms:modified>
</cp:coreProperties>
</file>