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26B4B24B-B154-A144-804C-1C58FB1D750B}" xr6:coauthVersionLast="47" xr6:coauthVersionMax="47" xr10:uidLastSave="{00000000-0000-0000-0000-000000000000}"/>
  <bookViews>
    <workbookView xWindow="0" yWindow="500" windowWidth="28800" windowHeight="158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61" l="1"/>
  <c r="E49" i="61" s="1"/>
  <c r="O44" i="61" s="1"/>
  <c r="D42" i="61"/>
  <c r="C42" i="61"/>
  <c r="C47" i="61" s="1"/>
  <c r="M42" i="61" s="1"/>
  <c r="S43" i="61" s="1"/>
  <c r="B42" i="61"/>
  <c r="B49" i="61" s="1"/>
  <c r="L44" i="61" s="1"/>
  <c r="E41" i="61"/>
  <c r="C41" i="61"/>
  <c r="B41" i="61"/>
  <c r="AG25" i="61"/>
  <c r="AF26" i="61"/>
  <c r="AF27" i="61"/>
  <c r="AF28" i="61"/>
  <c r="AF29" i="61"/>
  <c r="AF30" i="61"/>
  <c r="AF31" i="61"/>
  <c r="AF32" i="61"/>
  <c r="AF33" i="61"/>
  <c r="AF34" i="61"/>
  <c r="AF25" i="61"/>
  <c r="AE26" i="61"/>
  <c r="AE27" i="61"/>
  <c r="AE28" i="61"/>
  <c r="AE29" i="61"/>
  <c r="AE30" i="61"/>
  <c r="AE31" i="61"/>
  <c r="AE32" i="61"/>
  <c r="AE33" i="61"/>
  <c r="AE34" i="61"/>
  <c r="AE25" i="61"/>
  <c r="AD26" i="61"/>
  <c r="AD27" i="61"/>
  <c r="AD28" i="61"/>
  <c r="AD29" i="61"/>
  <c r="AD30" i="61"/>
  <c r="AD31" i="61"/>
  <c r="AD32" i="61"/>
  <c r="AD33" i="61"/>
  <c r="AD34" i="61"/>
  <c r="AD25" i="61"/>
  <c r="AC26" i="61"/>
  <c r="AG26" i="61" s="1"/>
  <c r="AC27" i="61"/>
  <c r="AG27" i="61" s="1"/>
  <c r="AC28" i="61"/>
  <c r="AC29" i="61"/>
  <c r="AC30" i="61"/>
  <c r="AG30" i="61" s="1"/>
  <c r="AC31" i="61"/>
  <c r="AC32" i="61"/>
  <c r="AC33" i="61"/>
  <c r="AC34" i="61"/>
  <c r="AG34" i="61" s="1"/>
  <c r="AB31" i="61"/>
  <c r="AG31" i="61" s="1"/>
  <c r="AB28" i="61"/>
  <c r="AG28" i="61" s="1"/>
  <c r="AC25" i="61"/>
  <c r="AB27" i="61"/>
  <c r="AB26" i="61"/>
  <c r="AB29" i="61"/>
  <c r="AG29" i="61" s="1"/>
  <c r="AB30" i="61"/>
  <c r="AB32" i="61"/>
  <c r="AG32" i="61" s="1"/>
  <c r="AB33" i="61"/>
  <c r="AG33" i="61" s="1"/>
  <c r="AB34" i="61"/>
  <c r="AB25" i="61"/>
  <c r="T41" i="61"/>
  <c r="U41" i="61"/>
  <c r="V41" i="61"/>
  <c r="S41" i="61"/>
  <c r="R41" i="61"/>
  <c r="F49" i="61"/>
  <c r="P44" i="61" s="1"/>
  <c r="F48" i="61"/>
  <c r="P43" i="61" s="1"/>
  <c r="V44" i="61" s="1"/>
  <c r="D48" i="61"/>
  <c r="N43" i="61" s="1"/>
  <c r="T44" i="61" s="1"/>
  <c r="E47" i="61"/>
  <c r="O42" i="61" s="1"/>
  <c r="U43" i="61" s="1"/>
  <c r="F47" i="61"/>
  <c r="P42" i="61" s="1"/>
  <c r="V43" i="61" s="1"/>
  <c r="C46" i="61"/>
  <c r="M41" i="61" s="1"/>
  <c r="S42" i="61" s="1"/>
  <c r="E46" i="61"/>
  <c r="O41" i="61" s="1"/>
  <c r="U42" i="61" s="1"/>
  <c r="F46" i="61"/>
  <c r="P41" i="61" s="1"/>
  <c r="V42" i="61" s="1"/>
  <c r="E48" i="61"/>
  <c r="O43" i="61" s="1"/>
  <c r="U44" i="61" s="1"/>
  <c r="D49" i="61"/>
  <c r="N44" i="61" s="1"/>
  <c r="G40" i="61"/>
  <c r="F15" i="61"/>
  <c r="E15" i="61"/>
  <c r="D15" i="61"/>
  <c r="C15" i="61"/>
  <c r="F14" i="61"/>
  <c r="E14" i="61"/>
  <c r="D14" i="61"/>
  <c r="M10" i="61" s="1"/>
  <c r="C14" i="61"/>
  <c r="F13" i="61"/>
  <c r="E13" i="61"/>
  <c r="N9" i="61" s="1"/>
  <c r="D13" i="61"/>
  <c r="M9" i="61" s="1"/>
  <c r="C13" i="61"/>
  <c r="F12" i="61"/>
  <c r="O8" i="61" s="1"/>
  <c r="E12" i="61"/>
  <c r="N8" i="61" s="1"/>
  <c r="D12" i="61"/>
  <c r="M8" i="61" s="1"/>
  <c r="C12" i="61"/>
  <c r="G11" i="61"/>
  <c r="G9" i="61"/>
  <c r="G8" i="61"/>
  <c r="G7" i="61"/>
  <c r="O11" i="61"/>
  <c r="AE8" i="61"/>
  <c r="AE9" i="61"/>
  <c r="AE10" i="61"/>
  <c r="AE11" i="61"/>
  <c r="AE12" i="61"/>
  <c r="AE13" i="61"/>
  <c r="AE14" i="61"/>
  <c r="AE15" i="61"/>
  <c r="AE16" i="61"/>
  <c r="AE7" i="61"/>
  <c r="AD8" i="61"/>
  <c r="AD9" i="61"/>
  <c r="AD10" i="61"/>
  <c r="AD11" i="61"/>
  <c r="AD12" i="61"/>
  <c r="AD13" i="61"/>
  <c r="AD14" i="61"/>
  <c r="AD15" i="61"/>
  <c r="AD16" i="61"/>
  <c r="AD7" i="61"/>
  <c r="AC8" i="61"/>
  <c r="AC9" i="61"/>
  <c r="AC10" i="61"/>
  <c r="AC11" i="61"/>
  <c r="AC12" i="61"/>
  <c r="AC13" i="61"/>
  <c r="AC14" i="61"/>
  <c r="AC15" i="61"/>
  <c r="AC16" i="61"/>
  <c r="AC7" i="61"/>
  <c r="AB12" i="61"/>
  <c r="AB13" i="61"/>
  <c r="AF13" i="61" s="1"/>
  <c r="AB14" i="61"/>
  <c r="AB15" i="61"/>
  <c r="AB16" i="61"/>
  <c r="AF16" i="61" s="1"/>
  <c r="AB8" i="61"/>
  <c r="AB9" i="61"/>
  <c r="AB10" i="61"/>
  <c r="AF10" i="61" s="1"/>
  <c r="AB11" i="61"/>
  <c r="AB7" i="61"/>
  <c r="AF7" i="61" s="1"/>
  <c r="U34" i="61"/>
  <c r="U26" i="61"/>
  <c r="U27" i="61"/>
  <c r="U28" i="61"/>
  <c r="U29" i="61"/>
  <c r="U30" i="61"/>
  <c r="U31" i="61"/>
  <c r="U32" i="61"/>
  <c r="U33" i="61"/>
  <c r="U25" i="61"/>
  <c r="S26" i="61"/>
  <c r="S27" i="61"/>
  <c r="S28" i="61"/>
  <c r="S29" i="61"/>
  <c r="S30" i="61"/>
  <c r="S31" i="61"/>
  <c r="S32" i="61"/>
  <c r="S33" i="61"/>
  <c r="S34" i="61"/>
  <c r="S25" i="61"/>
  <c r="G45" i="61"/>
  <c r="N11" i="61"/>
  <c r="M11" i="61"/>
  <c r="Q7" i="61"/>
  <c r="J14" i="61"/>
  <c r="J15" i="61"/>
  <c r="J13"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F55" i="47"/>
  <c r="G55" i="47"/>
  <c r="E56" i="47"/>
  <c r="G56" i="47"/>
  <c r="A1" i="47"/>
  <c r="A20" i="47"/>
  <c r="K16" i="61"/>
  <c r="H45" i="47"/>
  <c r="I45" i="47"/>
  <c r="J45" i="47"/>
  <c r="K45" i="47"/>
  <c r="L45" i="47"/>
  <c r="D43" i="47"/>
  <c r="E43" i="47"/>
  <c r="F43" i="47"/>
  <c r="G43" i="47"/>
  <c r="A56" i="47"/>
  <c r="D56" i="47" s="1"/>
  <c r="A57" i="47"/>
  <c r="A58" i="47"/>
  <c r="A59" i="47"/>
  <c r="E59" i="47" s="1"/>
  <c r="A55" i="47"/>
  <c r="D55" i="47" s="1"/>
  <c r="D52" i="47"/>
  <c r="E52" i="47"/>
  <c r="F52" i="47"/>
  <c r="G52" i="47"/>
  <c r="K12" i="61"/>
  <c r="J11" i="61"/>
  <c r="K11" i="61" s="1"/>
  <c r="J10" i="61"/>
  <c r="K10" i="61" s="1"/>
  <c r="J9" i="61"/>
  <c r="K9" i="61" s="1"/>
  <c r="J8" i="61"/>
  <c r="K8" i="61" s="1"/>
  <c r="T7" i="61"/>
  <c r="S7" i="61"/>
  <c r="R7" i="61"/>
  <c r="P7" i="61"/>
  <c r="J7" i="61"/>
  <c r="C19" i="47"/>
  <c r="C49" i="61" l="1"/>
  <c r="M44" i="61" s="1"/>
  <c r="C48" i="61"/>
  <c r="M43" i="61" s="1"/>
  <c r="S44" i="61" s="1"/>
  <c r="B48" i="61"/>
  <c r="L43" i="61" s="1"/>
  <c r="R44" i="61" s="1"/>
  <c r="B47" i="61"/>
  <c r="L42" i="61" s="1"/>
  <c r="R43" i="61" s="1"/>
  <c r="G42" i="61"/>
  <c r="M48" i="61"/>
  <c r="S49" i="61" s="1"/>
  <c r="M47" i="61"/>
  <c r="S48" i="61" s="1"/>
  <c r="M49" i="61"/>
  <c r="L49" i="61"/>
  <c r="L46" i="61"/>
  <c r="R47" i="61" s="1"/>
  <c r="R45" i="61"/>
  <c r="L45" i="61"/>
  <c r="R46" i="61" s="1"/>
  <c r="L47" i="61"/>
  <c r="R48" i="61" s="1"/>
  <c r="L48" i="61"/>
  <c r="R49" i="61" s="1"/>
  <c r="O48" i="61"/>
  <c r="U49" i="61" s="1"/>
  <c r="O49" i="61"/>
  <c r="O45" i="61"/>
  <c r="U46" i="61" s="1"/>
  <c r="O46" i="61"/>
  <c r="U47" i="61" s="1"/>
  <c r="U45" i="61"/>
  <c r="O47" i="61"/>
  <c r="U48" i="61" s="1"/>
  <c r="H5" i="63"/>
  <c r="P46" i="61"/>
  <c r="V47" i="61" s="1"/>
  <c r="P47" i="61"/>
  <c r="V48" i="61" s="1"/>
  <c r="P48" i="61"/>
  <c r="V49" i="61" s="1"/>
  <c r="P49" i="61"/>
  <c r="P45" i="61"/>
  <c r="V46" i="61" s="1"/>
  <c r="V45" i="61"/>
  <c r="N46" i="61"/>
  <c r="T47" i="61" s="1"/>
  <c r="T45" i="61"/>
  <c r="N47" i="61"/>
  <c r="T48" i="61" s="1"/>
  <c r="N48" i="61"/>
  <c r="T49" i="61" s="1"/>
  <c r="N49" i="61"/>
  <c r="N45" i="61"/>
  <c r="T46" i="61" s="1"/>
  <c r="F56" i="47"/>
  <c r="AF12" i="61"/>
  <c r="G41" i="61"/>
  <c r="D46" i="61"/>
  <c r="N41" i="61" s="1"/>
  <c r="T42" i="61" s="1"/>
  <c r="D47" i="61"/>
  <c r="N42" i="61" s="1"/>
  <c r="T43" i="61" s="1"/>
  <c r="S45" i="61"/>
  <c r="G13" i="61"/>
  <c r="G15" i="61"/>
  <c r="B46" i="61"/>
  <c r="L41" i="61" s="1"/>
  <c r="R42" i="61" s="1"/>
  <c r="AF15" i="61"/>
  <c r="M45" i="61"/>
  <c r="S46" i="61" s="1"/>
  <c r="M46" i="61"/>
  <c r="S47" i="61" s="1"/>
  <c r="G8" i="63"/>
  <c r="E55" i="47"/>
  <c r="AF9" i="61"/>
  <c r="AF11" i="61"/>
  <c r="AF8" i="61"/>
  <c r="AF14" i="61"/>
  <c r="G14" i="61"/>
  <c r="G12" i="61"/>
  <c r="R8" i="61"/>
  <c r="U7" i="61"/>
  <c r="O14" i="61"/>
  <c r="T14" i="61" s="1"/>
  <c r="S8" i="61"/>
  <c r="T8" i="61"/>
  <c r="N14" i="61"/>
  <c r="S14" i="61" s="1"/>
  <c r="M14" i="61"/>
  <c r="R14" i="61" s="1"/>
  <c r="O15" i="61"/>
  <c r="T15" i="61" s="1"/>
  <c r="M15" i="61"/>
  <c r="R15" i="61" s="1"/>
  <c r="M13" i="61"/>
  <c r="R13" i="61" s="1"/>
  <c r="O13" i="61"/>
  <c r="T13" i="61" s="1"/>
  <c r="N15" i="61"/>
  <c r="N13" i="61"/>
  <c r="L8" i="61"/>
  <c r="B59" i="47"/>
  <c r="D59" i="47"/>
  <c r="G59" i="47"/>
  <c r="F59" i="47"/>
  <c r="L10" i="61"/>
  <c r="M12" i="61"/>
  <c r="R12" i="61" s="1"/>
  <c r="R16" i="61" s="1"/>
  <c r="M16" i="61" s="1"/>
  <c r="R11" i="61"/>
  <c r="T11" i="61"/>
  <c r="O12" i="61"/>
  <c r="T12" i="61" s="1"/>
  <c r="T16" i="61" s="1"/>
  <c r="O16" i="61" s="1"/>
  <c r="S11" i="61"/>
  <c r="N12" i="61"/>
  <c r="R10" i="61"/>
  <c r="S9" i="61"/>
  <c r="R9" i="61"/>
  <c r="N10" i="61"/>
  <c r="O10" i="61"/>
  <c r="T10" i="61" s="1"/>
  <c r="O9" i="61"/>
  <c r="T9" i="61" s="1"/>
  <c r="P29" i="61" l="1"/>
  <c r="P30" i="61"/>
  <c r="V30" i="61" s="1"/>
  <c r="H8" i="63"/>
  <c r="P31" i="61"/>
  <c r="V31" i="61" s="1"/>
  <c r="P32" i="61"/>
  <c r="V32" i="61" s="1"/>
  <c r="P33" i="61"/>
  <c r="V33" i="61" s="1"/>
  <c r="P26" i="61"/>
  <c r="P34" i="61"/>
  <c r="V34" i="61" s="1"/>
  <c r="P27" i="61"/>
  <c r="P25" i="61"/>
  <c r="P28" i="61"/>
  <c r="V28" i="61" s="1"/>
  <c r="L26" i="61"/>
  <c r="R26" i="61" s="1"/>
  <c r="H6" i="63"/>
  <c r="H7" i="63"/>
  <c r="B24" i="47" s="1"/>
  <c r="B25" i="47" s="1"/>
  <c r="P8" i="61"/>
  <c r="S12" i="61"/>
  <c r="S16" i="61" s="1"/>
  <c r="N16" i="61" s="1"/>
  <c r="N34" i="61" s="1"/>
  <c r="T34" i="61" s="1"/>
  <c r="S13" i="61"/>
  <c r="S15" i="61"/>
  <c r="S10" i="61"/>
  <c r="L11" i="61"/>
  <c r="L29" i="61" s="1"/>
  <c r="Q8" i="61"/>
  <c r="U8" i="61" s="1"/>
  <c r="Q10" i="61"/>
  <c r="P10" i="61"/>
  <c r="L9" i="61"/>
  <c r="L27" i="61" s="1"/>
  <c r="V25" i="61" l="1"/>
  <c r="N25" i="61"/>
  <c r="T25" i="61" s="1"/>
  <c r="L25" i="61"/>
  <c r="N33" i="61"/>
  <c r="T33" i="61" s="1"/>
  <c r="L28" i="61"/>
  <c r="N32" i="61"/>
  <c r="T32" i="61" s="1"/>
  <c r="V27" i="61"/>
  <c r="N27" i="61"/>
  <c r="T27" i="61" s="1"/>
  <c r="V29" i="61"/>
  <c r="N29" i="61"/>
  <c r="T29" i="61" s="1"/>
  <c r="U10" i="61"/>
  <c r="N31" i="61"/>
  <c r="T31" i="61" s="1"/>
  <c r="N28" i="61"/>
  <c r="T28" i="61" s="1"/>
  <c r="V26" i="61"/>
  <c r="N26" i="61"/>
  <c r="N30" i="61"/>
  <c r="T30" i="61" s="1"/>
  <c r="P11" i="61"/>
  <c r="P13" i="61" s="1"/>
  <c r="Q11" i="61"/>
  <c r="U11" i="61" s="1"/>
  <c r="L12" i="61"/>
  <c r="L30" i="61" s="1"/>
  <c r="R30" i="61" s="1"/>
  <c r="W30" i="61" s="1"/>
  <c r="R27" i="61"/>
  <c r="Q27" i="61"/>
  <c r="R29" i="61"/>
  <c r="W29" i="61" s="1"/>
  <c r="Q29" i="61"/>
  <c r="P15" i="61"/>
  <c r="P14" i="61"/>
  <c r="L15" i="61"/>
  <c r="L33" i="61" s="1"/>
  <c r="L13" i="61"/>
  <c r="L31" i="61" s="1"/>
  <c r="L14" i="61"/>
  <c r="L32" i="61" s="1"/>
  <c r="Q9" i="61"/>
  <c r="U9" i="61" s="1"/>
  <c r="P9" i="61"/>
  <c r="W27" i="61" l="1"/>
  <c r="Q25" i="61"/>
  <c r="R25" i="61"/>
  <c r="W25" i="61" s="1"/>
  <c r="R28" i="61"/>
  <c r="W28" i="61" s="1"/>
  <c r="Q28" i="61"/>
  <c r="T26" i="61"/>
  <c r="W26" i="61" s="1"/>
  <c r="Q26" i="61"/>
  <c r="P12" i="61"/>
  <c r="Q30" i="61"/>
  <c r="Q12" i="61"/>
  <c r="Q16" i="61" s="1"/>
  <c r="L16" i="61" s="1"/>
  <c r="L34" i="61" s="1"/>
  <c r="R34" i="61" s="1"/>
  <c r="W34" i="61" s="1"/>
  <c r="Q32" i="61"/>
  <c r="R32" i="61"/>
  <c r="W32" i="61" s="1"/>
  <c r="R31" i="61"/>
  <c r="W31" i="61" s="1"/>
  <c r="Q31" i="61"/>
  <c r="R33" i="61"/>
  <c r="W33" i="61" s="1"/>
  <c r="Q33" i="61"/>
  <c r="Q15" i="61"/>
  <c r="U15" i="61" s="1"/>
  <c r="Q14" i="61"/>
  <c r="U14" i="61" s="1"/>
  <c r="Q13" i="61"/>
  <c r="U13" i="61" s="1"/>
  <c r="U12" i="61"/>
  <c r="U16" i="61" s="1"/>
  <c r="P16" i="61" s="1"/>
  <c r="B36" i="47"/>
  <c r="Q34" i="61" l="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 r="G47" i="61"/>
  <c r="G49" i="61"/>
  <c r="G46" i="61"/>
  <c r="G48" i="61"/>
</calcChain>
</file>

<file path=xl/sharedStrings.xml><?xml version="1.0" encoding="utf-8"?>
<sst xmlns="http://schemas.openxmlformats.org/spreadsheetml/2006/main" count="706" uniqueCount="442">
  <si>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</si>
  <si>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</si>
  <si>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</si>
  <si>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</si>
  <si>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</si>
  <si>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</si>
  <si>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</si>
  <si>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</si>
  <si>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</si>
  <si>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</si>
  <si>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</si>
  <si>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</si>
  <si>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</si>
  <si>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</si>
  <si>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</si>
  <si>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</si>
  <si>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</si>
  <si>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</si>
  <si>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</si>
  <si>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</si>
  <si>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</si>
  <si>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</si>
  <si>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</si>
  <si>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</si>
  <si>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</si>
  <si>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</si>
  <si>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</si>
  <si>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</si>
  <si>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</si>
  <si>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</si>
  <si>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</si>
  <si>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</si>
  <si>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</si>
  <si>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</si>
  <si>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</si>
  <si>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</si>
  <si>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</si>
  <si>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</si>
  <si>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</si>
  <si>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</si>
  <si>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</si>
  <si>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</si>
  <si>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</si>
  <si>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</si>
  <si>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</si>
  <si>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</si>
  <si>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</si>
  <si>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</si>
  <si>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</si>
  <si>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</si>
  <si>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</si>
  <si>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</si>
  <si>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</si>
  <si>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</si>
  <si>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</si>
  <si>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</si>
  <si>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</si>
  <si>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</si>
  <si>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</si>
  <si>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</si>
  <si>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</si>
  <si>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</si>
  <si>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</si>
  <si>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</si>
  <si>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</si>
  <si>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</si>
  <si>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</si>
  <si>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</si>
  <si>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</si>
  <si>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</si>
  <si>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</si>
  <si>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</si>
  <si>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</si>
  <si>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</si>
  <si>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</si>
  <si>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</si>
  <si>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</si>
  <si>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</si>
  <si>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</si>
  <si>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</si>
  <si>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</si>
  <si>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</si>
  <si>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</si>
  <si>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</si>
  <si>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</si>
  <si>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</si>
  <si>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</si>
  <si>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</si>
  <si>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</si>
  <si>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</si>
  <si>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</si>
  <si>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</si>
  <si>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</si>
  <si>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</si>
  <si>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</si>
  <si>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</si>
  <si>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</si>
  <si>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</si>
  <si>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</si>
  <si>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</si>
  <si>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</si>
  <si>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</si>
  <si>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</si>
  <si>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</si>
  <si>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</si>
  <si>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</si>
  <si>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</si>
  <si>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</si>
  <si>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</si>
  <si>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</si>
  <si>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</si>
  <si>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</si>
  <si>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</si>
  <si>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</si>
  <si>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</si>
  <si>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</si>
  <si>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</si>
  <si>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</si>
  <si>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</si>
  <si>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</si>
  <si>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</si>
  <si>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</si>
  <si>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</si>
  <si>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</si>
  <si>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</si>
  <si>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</si>
  <si>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</si>
  <si>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</si>
  <si>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</si>
  <si>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</si>
  <si>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</si>
  <si>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</si>
  <si>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</si>
  <si>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</si>
  <si>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</si>
  <si>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</si>
  <si>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</si>
  <si>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</si>
  <si>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</si>
  <si>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</si>
  <si>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</si>
  <si>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</si>
  <si>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</si>
  <si>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</si>
  <si>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</si>
  <si>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</si>
  <si>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</si>
  <si>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</si>
  <si>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</si>
  <si>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</si>
  <si>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</si>
  <si>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</si>
  <si>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</si>
  <si>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</si>
  <si>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</si>
  <si>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</si>
  <si>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</si>
  <si>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</si>
  <si>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</si>
  <si>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</si>
  <si>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</si>
  <si>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</si>
  <si>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</si>
  <si>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</si>
  <si>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</si>
  <si>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</si>
  <si>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</si>
  <si>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</si>
  <si>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</si>
  <si>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</si>
  <si>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</si>
  <si>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</si>
  <si>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</si>
  <si>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</si>
  <si>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</si>
  <si>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</si>
  <si>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</si>
  <si>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</si>
  <si>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</si>
  <si>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</si>
  <si>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</si>
  <si>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</si>
  <si>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</si>
  <si>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</si>
  <si>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</si>
  <si>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</si>
  <si>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</si>
  <si>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</si>
  <si>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</si>
  <si>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</si>
  <si>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</si>
  <si>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</si>
  <si>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</si>
  <si>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</si>
  <si>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</si>
  <si>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</si>
  <si>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</si>
  <si>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</si>
  <si>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</si>
  <si>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</si>
  <si>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</si>
  <si>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</si>
  <si>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</si>
  <si>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</si>
  <si>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</si>
  <si>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</si>
  <si>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</si>
  <si>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</si>
  <si>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</si>
  <si>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</si>
  <si>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</si>
  <si>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</si>
  <si>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</si>
  <si>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</si>
  <si>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</si>
  <si>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</si>
  <si>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</si>
  <si>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</si>
  <si>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</si>
  <si>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</si>
  <si>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</si>
  <si>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</si>
  <si>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</si>
  <si>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</si>
  <si>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</si>
  <si>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</si>
  <si>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</si>
  <si>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</si>
  <si>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</si>
  <si>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</si>
  <si>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</si>
  <si>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</si>
  <si>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</si>
  <si>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</si>
  <si>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</si>
  <si>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</si>
  <si>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</si>
  <si>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</si>
  <si>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</si>
  <si>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</si>
  <si>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</si>
  <si>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</si>
  <si>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</si>
  <si>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</si>
  <si>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</si>
  <si>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</si>
  <si>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</si>
  <si>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</si>
  <si>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</si>
  <si>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</si>
  <si>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</si>
  <si>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</si>
  <si>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</si>
  <si>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</si>
  <si>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</si>
  <si>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</si>
  <si>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</si>
  <si>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</si>
  <si>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</si>
  <si>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</si>
  <si>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</si>
  <si>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</si>
  <si>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</si>
  <si>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</si>
  <si>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</si>
  <si>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</si>
  <si>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</si>
  <si>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</si>
  <si>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</si>
  <si>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</si>
  <si>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</si>
  <si>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</si>
  <si>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</si>
  <si>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</si>
  <si>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</si>
  <si>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</si>
  <si>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</si>
  <si>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</si>
  <si>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</si>
  <si>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</si>
  <si>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</si>
  <si>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</si>
  <si>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</si>
  <si>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</si>
  <si>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</si>
  <si>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</si>
  <si>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</si>
  <si>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</si>
  <si>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</si>
  <si>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</si>
  <si>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</si>
  <si>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</si>
  <si>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</si>
  <si>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</si>
  <si>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</si>
  <si>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</si>
  <si>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</si>
  <si>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</si>
  <si>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</si>
  <si>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</si>
  <si>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</si>
  <si>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</si>
  <si>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</si>
  <si>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</si>
  <si>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</si>
  <si>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</si>
  <si>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</si>
  <si>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</si>
  <si>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</si>
  <si>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</si>
  <si>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</si>
  <si>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</si>
  <si>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</si>
  <si>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</si>
  <si>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</si>
  <si>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</si>
  <si>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</si>
  <si>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</si>
  <si>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</si>
  <si>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</si>
  <si>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</si>
  <si>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</si>
  <si>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</si>
  <si>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</si>
  <si>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</si>
  <si>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</si>
  <si>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</si>
  <si>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</si>
  <si>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</si>
  <si>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</si>
  <si>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</si>
  <si>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</si>
  <si>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</si>
  <si>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</si>
  <si>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</si>
  <si>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</si>
  <si>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</si>
  <si>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</si>
  <si>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</si>
  <si>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</si>
  <si>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</si>
  <si>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</si>
  <si>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</si>
  <si>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</si>
  <si>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</si>
  <si>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</si>
  <si>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</si>
  <si>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</si>
  <si>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</si>
  <si>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</si>
  <si>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</si>
  <si>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</si>
  <si>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</si>
  <si>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</si>
  <si>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</si>
  <si>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</si>
  <si>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</si>
  <si>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</si>
  <si>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</si>
  <si>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</si>
  <si>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</si>
  <si>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</si>
  <si>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</si>
  <si>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</si>
  <si>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</si>
  <si>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</si>
  <si>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</si>
  <si>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</si>
  <si>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</si>
  <si>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</si>
  <si>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</si>
  <si>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</si>
  <si>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</si>
  <si>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</si>
  <si>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</si>
  <si>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</si>
  <si>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</si>
  <si>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</si>
  <si>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</si>
  <si>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</si>
  <si>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</si>
  <si>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</si>
  <si>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</si>
  <si>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</si>
  <si>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</si>
  <si>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</si>
  <si>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</si>
  <si>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</si>
  <si>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</si>
  <si>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</si>
  <si>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</si>
  <si>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</si>
  <si>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</si>
  <si>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</si>
  <si>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</si>
  <si>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</si>
  <si>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</si>
  <si>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</si>
  <si>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</si>
  <si>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</si>
  <si>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</si>
  <si>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</si>
  <si>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</si>
  <si>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</si>
  <si>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</si>
  <si>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</si>
  <si>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</si>
  <si>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</si>
  <si>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</si>
  <si>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</si>
  <si>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</si>
  <si>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</si>
  <si>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</si>
  <si>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</si>
  <si>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</si>
  <si>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</si>
  <si>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</si>
  <si>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</si>
  <si>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</si>
  <si>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</si>
  <si>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</si>
  <si>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Total Shortage
(maf per year)
[A]</t>
  </si>
  <si>
    <t>Lake Mead Inflow
(maf per year) [B]</t>
  </si>
  <si>
    <t>Pro Rata/ Historical</t>
  </si>
  <si>
    <t>Standardized</t>
  </si>
  <si>
    <t>Pro Rato/ Historical: Tribal Nations Included in Lake Mead Inflow Allocation (Tribal Nations Does Not Take Shortages)</t>
  </si>
  <si>
    <t>Total Shortage
(maf per year) [A]</t>
  </si>
  <si>
    <t>Arizona
[C]</t>
  </si>
  <si>
    <t>Nevada
[D]</t>
  </si>
  <si>
    <t>California
[E]</t>
  </si>
  <si>
    <t>Arizona
[H]</t>
  </si>
  <si>
    <t>Nevada
[I]</t>
  </si>
  <si>
    <t>California
[J]</t>
  </si>
  <si>
    <t>Mexico
[K]</t>
  </si>
  <si>
    <t>Pro Rato/ Historical: Tribal Nations Included in Lake Mead Inflow Allocation</t>
  </si>
  <si>
    <t>Standardized: Tribal Nations Included in Lake Mead Inflow Allocation</t>
  </si>
  <si>
    <t>Tribal Nations</t>
  </si>
  <si>
    <t>Tribal Nations Included in Total Shortage</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</si>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</sst>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0">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0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164" fontId="19" fillId="0" borderId="0" xfId="0" applyNumberFormat="1" applyFont="1"/>
    <xf numFmtId="2" fontId="19" fillId="0" borderId="0" xfId="0" applyNumberFormat="1" applyFont="1"/>
    <xf numFmtId="172" fontId="19" fillId="0" borderId="0" xfId="4" applyNumberFormat="1" applyFont="1" applyBorder="1"/>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164" fontId="19" fillId="0" borderId="9" xfId="0" applyNumberFormat="1" applyFont="1" applyBorder="1" applyAlignment="1">
      <alignment horizontal="center" vertical="center" wrapText="1"/>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19" fillId="0" borderId="0" xfId="0" applyFont="1" applyAlignment="1">
      <alignment horizontal="center" vertical="top"/>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19" borderId="9" xfId="0" applyFont="1" applyFill="1" applyBorder="1" applyAlignment="1">
      <alignment horizontal="center" vertical="center" wrapText="1"/>
    </xf>
    <xf numFmtId="0" fontId="18" fillId="21" borderId="11" xfId="0" applyFont="1" applyFill="1" applyBorder="1" applyAlignment="1">
      <alignment horizontal="center"/>
    </xf>
    <xf numFmtId="0" fontId="18" fillId="21" borderId="12" xfId="0" applyFont="1" applyFill="1" applyBorder="1" applyAlignment="1">
      <alignment horizontal="center"/>
    </xf>
    <xf numFmtId="0" fontId="18" fillId="21" borderId="13"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21" borderId="9" xfId="0" applyFont="1" applyFill="1" applyBorder="1" applyAlignment="1">
      <alignment horizont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19" fillId="0" borderId="9" xfId="0" applyFont="1" applyBorder="1" applyAlignment="1">
      <alignment horizont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30" fillId="0" borderId="0" xfId="0" applyFont="1" applyAlignment="1">
      <alignment horizontal="left" wrapText="1"/>
    </xf>
    <xf numFmtId="0" fontId="30" fillId="0" borderId="0" xfId="0" applyFont="1" applyAlignment="1">
      <alignment horizontal="left"/>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10" t="s">
        <v>302</v>
      </c>
      <c r="B1" s="310"/>
      <c r="C1" s="310"/>
      <c r="D1" s="310"/>
      <c r="E1" s="310"/>
      <c r="F1" s="310"/>
      <c r="G1" s="310"/>
      <c r="H1" s="310"/>
      <c r="I1" s="310"/>
      <c r="J1" s="310"/>
      <c r="K1" s="310"/>
      <c r="L1" s="310"/>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311" t="s">
        <v>303</v>
      </c>
      <c r="B4" s="312"/>
      <c r="C4" s="312"/>
      <c r="D4" s="312"/>
      <c r="E4" s="312"/>
      <c r="F4" s="312"/>
      <c r="G4" s="312"/>
      <c r="H4" s="312"/>
      <c r="I4" s="312"/>
      <c r="J4" s="312"/>
      <c r="K4" s="312"/>
      <c r="L4" s="313"/>
      <c r="N4" s="314"/>
      <c r="O4" s="314"/>
      <c r="P4" s="314"/>
      <c r="Q4" s="314"/>
      <c r="R4" s="314"/>
    </row>
    <row r="5" spans="1:18" s="54" customFormat="1" ht="35" customHeight="1" x14ac:dyDescent="0.2">
      <c r="A5" s="315" t="s">
        <v>286</v>
      </c>
      <c r="B5" s="316"/>
      <c r="C5" s="316"/>
      <c r="D5" s="316"/>
      <c r="E5" s="316"/>
      <c r="F5" s="316"/>
      <c r="G5" s="316"/>
      <c r="H5" s="316"/>
      <c r="I5" s="316"/>
      <c r="J5" s="316"/>
      <c r="K5" s="316"/>
      <c r="L5" s="317"/>
      <c r="N5" s="113"/>
      <c r="O5" s="113"/>
      <c r="P5" s="113"/>
      <c r="Q5" s="113"/>
      <c r="R5" s="113"/>
    </row>
    <row r="6" spans="1:18" s="54" customFormat="1" ht="14" customHeight="1" x14ac:dyDescent="0.2">
      <c r="A6" s="315" t="s">
        <v>304</v>
      </c>
      <c r="B6" s="316"/>
      <c r="C6" s="316"/>
      <c r="D6" s="316"/>
      <c r="E6" s="316"/>
      <c r="F6" s="316"/>
      <c r="G6" s="316"/>
      <c r="H6" s="316"/>
      <c r="I6" s="316"/>
      <c r="J6" s="316"/>
      <c r="K6" s="316"/>
      <c r="L6" s="317"/>
      <c r="N6" s="113"/>
      <c r="O6" s="113"/>
      <c r="P6" s="113"/>
      <c r="Q6" s="113"/>
      <c r="R6" s="113"/>
    </row>
    <row r="7" spans="1:18" s="54" customFormat="1" ht="14" customHeight="1" x14ac:dyDescent="0.2">
      <c r="A7" s="227"/>
      <c r="B7" s="316" t="s">
        <v>305</v>
      </c>
      <c r="C7" s="316"/>
      <c r="D7" s="316"/>
      <c r="E7" s="316"/>
      <c r="F7" s="316"/>
      <c r="G7" s="316"/>
      <c r="H7" s="316"/>
      <c r="I7" s="316"/>
      <c r="J7" s="316"/>
      <c r="K7" s="316"/>
      <c r="L7" s="317"/>
      <c r="N7" s="113"/>
      <c r="O7" s="113"/>
      <c r="P7" s="113"/>
      <c r="Q7" s="113"/>
      <c r="R7" s="113"/>
    </row>
    <row r="8" spans="1:18" s="54" customFormat="1" ht="14" customHeight="1" x14ac:dyDescent="0.2">
      <c r="A8" s="228"/>
      <c r="B8" s="331" t="s">
        <v>306</v>
      </c>
      <c r="C8" s="331"/>
      <c r="D8" s="331"/>
      <c r="E8" s="331"/>
      <c r="F8" s="331"/>
      <c r="G8" s="331"/>
      <c r="H8" s="331"/>
      <c r="I8" s="331"/>
      <c r="J8" s="331"/>
      <c r="K8" s="331"/>
      <c r="L8" s="332"/>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33" t="s">
        <v>341</v>
      </c>
      <c r="B10" s="334"/>
      <c r="C10" s="334"/>
      <c r="D10" s="334"/>
      <c r="E10" s="334"/>
      <c r="F10" s="334"/>
      <c r="G10" s="334"/>
      <c r="H10" s="334"/>
      <c r="I10" s="334"/>
      <c r="J10" s="334"/>
      <c r="K10" s="334"/>
      <c r="L10" s="335"/>
    </row>
    <row r="11" spans="1:18" s="58" customFormat="1" ht="14.5" customHeight="1" x14ac:dyDescent="0.2">
      <c r="A11" s="248" t="s">
        <v>342</v>
      </c>
      <c r="B11" s="288" t="s">
        <v>345</v>
      </c>
      <c r="C11" s="288"/>
      <c r="D11" s="288"/>
      <c r="E11" s="288"/>
      <c r="F11" s="288"/>
      <c r="G11" s="288"/>
      <c r="H11" s="288"/>
      <c r="I11" s="288"/>
      <c r="J11" s="288"/>
      <c r="K11" s="288"/>
      <c r="L11" s="289"/>
    </row>
    <row r="12" spans="1:18" s="59" customFormat="1" ht="161.5" customHeight="1" x14ac:dyDescent="0.2">
      <c r="A12" s="240"/>
      <c r="B12" s="246"/>
      <c r="C12" s="246"/>
      <c r="D12" s="246"/>
      <c r="E12" s="246"/>
      <c r="F12" s="246"/>
      <c r="G12" s="246"/>
      <c r="H12" s="246"/>
      <c r="I12" s="246"/>
      <c r="J12" s="246"/>
      <c r="K12" s="246"/>
      <c r="L12" s="247"/>
    </row>
    <row r="13" spans="1:18" s="58" customFormat="1" ht="14.5" customHeight="1" x14ac:dyDescent="0.2">
      <c r="A13" s="248" t="s">
        <v>343</v>
      </c>
      <c r="B13" s="288" t="s">
        <v>346</v>
      </c>
      <c r="C13" s="288"/>
      <c r="D13" s="288"/>
      <c r="E13" s="288"/>
      <c r="F13" s="288"/>
      <c r="G13" s="288"/>
      <c r="H13" s="288"/>
      <c r="I13" s="288"/>
      <c r="J13" s="288"/>
      <c r="K13" s="288"/>
      <c r="L13" s="289"/>
    </row>
    <row r="14" spans="1:18" s="59" customFormat="1" ht="90.5" customHeight="1" x14ac:dyDescent="0.2">
      <c r="A14" s="240"/>
      <c r="B14" s="290"/>
      <c r="C14" s="290"/>
      <c r="D14" s="290"/>
      <c r="E14" s="290"/>
      <c r="F14" s="290"/>
      <c r="G14" s="290"/>
      <c r="H14" s="290"/>
      <c r="I14" s="290"/>
      <c r="J14" s="290"/>
      <c r="K14" s="290"/>
      <c r="L14" s="291"/>
    </row>
    <row r="15" spans="1:18" s="58" customFormat="1" ht="29" customHeight="1" x14ac:dyDescent="0.2">
      <c r="A15" s="248" t="s">
        <v>344</v>
      </c>
      <c r="B15" s="288" t="s">
        <v>347</v>
      </c>
      <c r="C15" s="288"/>
      <c r="D15" s="288"/>
      <c r="E15" s="288"/>
      <c r="F15" s="288"/>
      <c r="G15" s="288"/>
      <c r="H15" s="288"/>
      <c r="I15" s="288"/>
      <c r="J15" s="288"/>
      <c r="K15" s="288"/>
      <c r="L15" s="289"/>
    </row>
    <row r="16" spans="1:18" s="59" customFormat="1" ht="94.5" customHeight="1" x14ac:dyDescent="0.2">
      <c r="A16" s="240"/>
      <c r="B16" s="246"/>
      <c r="C16" s="246"/>
      <c r="D16" s="246"/>
      <c r="E16" s="246"/>
      <c r="F16" s="246"/>
      <c r="G16" s="246"/>
      <c r="H16" s="246"/>
      <c r="I16" s="246"/>
      <c r="J16" s="246"/>
      <c r="K16" s="246"/>
      <c r="L16" s="247"/>
    </row>
    <row r="17" spans="1:14" s="59" customFormat="1" ht="14.5" customHeight="1" x14ac:dyDescent="0.2">
      <c r="A17" s="286" t="s">
        <v>351</v>
      </c>
      <c r="B17" s="287"/>
      <c r="C17" s="287"/>
      <c r="D17" s="287"/>
      <c r="E17" s="245" t="s">
        <v>352</v>
      </c>
      <c r="F17" s="243"/>
      <c r="G17" s="243"/>
      <c r="H17" s="243"/>
      <c r="I17" s="243"/>
      <c r="J17" s="243"/>
      <c r="K17" s="243"/>
      <c r="L17" s="244"/>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18" t="s">
        <v>166</v>
      </c>
      <c r="B19" s="319"/>
      <c r="C19" s="319"/>
      <c r="D19" s="319"/>
      <c r="E19" s="319"/>
      <c r="F19" s="319"/>
      <c r="G19" s="319"/>
      <c r="H19" s="319"/>
      <c r="I19" s="319"/>
      <c r="J19" s="319"/>
      <c r="K19" s="319"/>
      <c r="L19" s="320"/>
    </row>
    <row r="20" spans="1:14" s="59" customFormat="1" ht="14.5" customHeight="1" x14ac:dyDescent="0.2">
      <c r="A20" s="321" t="s">
        <v>287</v>
      </c>
      <c r="B20" s="322"/>
      <c r="C20" s="322"/>
      <c r="D20" s="322"/>
      <c r="E20" s="322"/>
      <c r="F20" s="322"/>
      <c r="G20" s="322"/>
      <c r="H20" s="322"/>
      <c r="I20" s="322"/>
      <c r="J20" s="322"/>
      <c r="K20" s="322"/>
      <c r="L20" s="323"/>
    </row>
    <row r="21" spans="1:14" s="59" customFormat="1" ht="14.5" customHeight="1" x14ac:dyDescent="0.2">
      <c r="A21" s="324" t="s">
        <v>288</v>
      </c>
      <c r="B21" s="302"/>
      <c r="C21" s="302"/>
      <c r="D21" s="302"/>
      <c r="E21" s="302"/>
      <c r="F21" s="302"/>
      <c r="G21" s="302"/>
      <c r="H21" s="302"/>
      <c r="I21" s="302"/>
      <c r="J21" s="302"/>
      <c r="K21" s="302"/>
      <c r="L21" s="303"/>
    </row>
    <row r="22" spans="1:14" s="59" customFormat="1" ht="14.5" customHeight="1" x14ac:dyDescent="0.2">
      <c r="A22" s="324" t="s">
        <v>167</v>
      </c>
      <c r="B22" s="302"/>
      <c r="C22" s="302"/>
      <c r="D22" s="302"/>
      <c r="E22" s="302"/>
      <c r="F22" s="302"/>
      <c r="G22" s="302"/>
      <c r="H22" s="302"/>
      <c r="I22" s="302"/>
      <c r="J22" s="302"/>
      <c r="K22" s="302"/>
      <c r="L22" s="303"/>
    </row>
    <row r="23" spans="1:14" s="59" customFormat="1" ht="14.5" customHeight="1" x14ac:dyDescent="0.2">
      <c r="A23" s="325" t="s">
        <v>289</v>
      </c>
      <c r="B23" s="326"/>
      <c r="C23" s="326"/>
      <c r="D23" s="326"/>
      <c r="E23" s="326"/>
      <c r="F23" s="326"/>
      <c r="G23" s="326"/>
      <c r="H23" s="326"/>
      <c r="I23" s="326"/>
      <c r="J23" s="326"/>
      <c r="K23" s="326"/>
      <c r="L23" s="327"/>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28" t="s">
        <v>285</v>
      </c>
      <c r="B25" s="329"/>
      <c r="C25" s="329"/>
      <c r="D25" s="329"/>
      <c r="E25" s="329"/>
      <c r="F25" s="329"/>
      <c r="G25" s="329"/>
      <c r="H25" s="329"/>
      <c r="I25" s="329"/>
      <c r="J25" s="329"/>
      <c r="K25" s="329"/>
      <c r="L25" s="330"/>
      <c r="N25" s="1"/>
    </row>
    <row r="26" spans="1:14" s="59" customFormat="1" ht="16.5" customHeight="1" x14ac:dyDescent="0.2">
      <c r="A26" s="307" t="s">
        <v>176</v>
      </c>
      <c r="B26" s="308"/>
      <c r="C26" s="308"/>
      <c r="D26" s="308"/>
      <c r="E26" s="308"/>
      <c r="F26" s="308"/>
      <c r="G26" s="308"/>
      <c r="H26" s="308"/>
      <c r="I26" s="308"/>
      <c r="J26" s="308"/>
      <c r="K26" s="308"/>
      <c r="L26" s="309"/>
      <c r="N26" s="1"/>
    </row>
    <row r="27" spans="1:14" s="59" customFormat="1" ht="15" customHeight="1" x14ac:dyDescent="0.2">
      <c r="A27" s="222">
        <v>1</v>
      </c>
      <c r="B27" s="295" t="s">
        <v>175</v>
      </c>
      <c r="C27" s="295"/>
      <c r="D27" s="295"/>
      <c r="E27" s="295"/>
      <c r="F27" s="295"/>
      <c r="G27" s="295"/>
      <c r="H27" s="295"/>
      <c r="I27" s="295"/>
      <c r="J27" s="295"/>
      <c r="K27" s="295"/>
      <c r="L27" s="296"/>
    </row>
    <row r="28" spans="1:14" s="59" customFormat="1" ht="30" customHeight="1" x14ac:dyDescent="0.2">
      <c r="A28" s="222">
        <v>2</v>
      </c>
      <c r="B28" s="295" t="s">
        <v>281</v>
      </c>
      <c r="C28" s="295"/>
      <c r="D28" s="295"/>
      <c r="E28" s="295"/>
      <c r="F28" s="295"/>
      <c r="G28" s="295"/>
      <c r="H28" s="295"/>
      <c r="I28" s="295"/>
      <c r="J28" s="295"/>
      <c r="K28" s="295"/>
      <c r="L28" s="296"/>
      <c r="N28" s="106"/>
    </row>
    <row r="29" spans="1:14" s="59" customFormat="1" ht="15" customHeight="1" x14ac:dyDescent="0.2">
      <c r="A29" s="222">
        <v>3</v>
      </c>
      <c r="B29" s="295" t="s">
        <v>168</v>
      </c>
      <c r="C29" s="295"/>
      <c r="D29" s="295"/>
      <c r="E29" s="295"/>
      <c r="F29" s="295"/>
      <c r="G29" s="295"/>
      <c r="H29" s="295"/>
      <c r="I29" s="295"/>
      <c r="J29" s="295"/>
      <c r="K29" s="295"/>
      <c r="L29" s="296"/>
      <c r="N29" s="106"/>
    </row>
    <row r="30" spans="1:14" s="59" customFormat="1" ht="15" customHeight="1" x14ac:dyDescent="0.2">
      <c r="A30" s="222">
        <v>4</v>
      </c>
      <c r="B30" s="295" t="s">
        <v>290</v>
      </c>
      <c r="C30" s="295"/>
      <c r="D30" s="295"/>
      <c r="E30" s="295"/>
      <c r="F30" s="295"/>
      <c r="G30" s="295"/>
      <c r="H30" s="295"/>
      <c r="I30" s="295"/>
      <c r="J30" s="295"/>
      <c r="K30" s="295"/>
      <c r="L30" s="296"/>
      <c r="N30" s="106"/>
    </row>
    <row r="31" spans="1:14" s="59" customFormat="1" ht="15" customHeight="1" x14ac:dyDescent="0.2">
      <c r="A31" s="222">
        <v>5</v>
      </c>
      <c r="B31" s="295" t="s">
        <v>169</v>
      </c>
      <c r="C31" s="295"/>
      <c r="D31" s="295"/>
      <c r="E31" s="295"/>
      <c r="F31" s="295"/>
      <c r="G31" s="295"/>
      <c r="H31" s="295"/>
      <c r="I31" s="295"/>
      <c r="J31" s="295"/>
      <c r="K31" s="295"/>
      <c r="L31" s="296"/>
      <c r="N31" s="106"/>
    </row>
    <row r="32" spans="1:14" s="59" customFormat="1" ht="15" customHeight="1" x14ac:dyDescent="0.2">
      <c r="A32" s="222"/>
      <c r="B32" s="295" t="s">
        <v>170</v>
      </c>
      <c r="C32" s="295"/>
      <c r="D32" s="295"/>
      <c r="E32" s="295"/>
      <c r="F32" s="295"/>
      <c r="G32" s="295"/>
      <c r="H32" s="295"/>
      <c r="I32" s="295"/>
      <c r="J32" s="295"/>
      <c r="K32" s="295"/>
      <c r="L32" s="296"/>
      <c r="N32" s="106"/>
    </row>
    <row r="33" spans="1:14" s="59" customFormat="1" ht="15" customHeight="1" x14ac:dyDescent="0.2">
      <c r="A33" s="222"/>
      <c r="B33" s="295" t="s">
        <v>171</v>
      </c>
      <c r="C33" s="295"/>
      <c r="D33" s="295"/>
      <c r="E33" s="295"/>
      <c r="F33" s="295"/>
      <c r="G33" s="295"/>
      <c r="H33" s="295"/>
      <c r="I33" s="295"/>
      <c r="J33" s="295"/>
      <c r="K33" s="295"/>
      <c r="L33" s="296"/>
      <c r="N33" s="106"/>
    </row>
    <row r="34" spans="1:14" s="59" customFormat="1" ht="15" customHeight="1" x14ac:dyDescent="0.2">
      <c r="A34" s="304" t="s">
        <v>177</v>
      </c>
      <c r="B34" s="305"/>
      <c r="C34" s="305"/>
      <c r="D34" s="305"/>
      <c r="E34" s="305"/>
      <c r="F34" s="305"/>
      <c r="G34" s="305"/>
      <c r="H34" s="305"/>
      <c r="I34" s="305"/>
      <c r="J34" s="305"/>
      <c r="K34" s="305"/>
      <c r="L34" s="306"/>
      <c r="N34" s="106"/>
    </row>
    <row r="35" spans="1:14" s="59" customFormat="1" ht="15" customHeight="1" x14ac:dyDescent="0.2">
      <c r="A35" s="222">
        <v>1</v>
      </c>
      <c r="B35" s="295" t="s">
        <v>172</v>
      </c>
      <c r="C35" s="295"/>
      <c r="D35" s="295"/>
      <c r="E35" s="295"/>
      <c r="F35" s="295"/>
      <c r="G35" s="295"/>
      <c r="H35" s="295"/>
      <c r="I35" s="295"/>
      <c r="J35" s="295"/>
      <c r="K35" s="295"/>
      <c r="L35" s="296"/>
      <c r="N35" s="106"/>
    </row>
    <row r="36" spans="1:14" s="59" customFormat="1" ht="30.75" customHeight="1" x14ac:dyDescent="0.2">
      <c r="A36" s="222"/>
      <c r="B36" s="293" t="s">
        <v>291</v>
      </c>
      <c r="C36" s="293"/>
      <c r="D36" s="293"/>
      <c r="E36" s="293"/>
      <c r="F36" s="293"/>
      <c r="G36" s="293"/>
      <c r="H36" s="293"/>
      <c r="I36" s="293"/>
      <c r="J36" s="293"/>
      <c r="K36" s="293"/>
      <c r="L36" s="294"/>
      <c r="N36" s="106"/>
    </row>
    <row r="37" spans="1:14" s="59" customFormat="1" ht="29.5" customHeight="1" x14ac:dyDescent="0.2">
      <c r="A37" s="222">
        <v>2</v>
      </c>
      <c r="B37" s="295" t="s">
        <v>284</v>
      </c>
      <c r="C37" s="295"/>
      <c r="D37" s="295"/>
      <c r="E37" s="295"/>
      <c r="F37" s="295"/>
      <c r="G37" s="295"/>
      <c r="H37" s="295"/>
      <c r="I37" s="295"/>
      <c r="J37" s="295"/>
      <c r="K37" s="295"/>
      <c r="L37" s="296"/>
      <c r="N37" s="106"/>
    </row>
    <row r="38" spans="1:14" s="59" customFormat="1" ht="26.5" customHeight="1" x14ac:dyDescent="0.2">
      <c r="A38" s="222">
        <v>3</v>
      </c>
      <c r="B38" s="295" t="s">
        <v>273</v>
      </c>
      <c r="C38" s="295"/>
      <c r="D38" s="295"/>
      <c r="E38" s="295"/>
      <c r="F38" s="295"/>
      <c r="G38" s="295"/>
      <c r="H38" s="295"/>
      <c r="I38" s="295"/>
      <c r="J38" s="295"/>
      <c r="K38" s="295"/>
      <c r="L38" s="296"/>
      <c r="N38" s="106"/>
    </row>
    <row r="39" spans="1:14" s="59" customFormat="1" ht="26.5" customHeight="1" x14ac:dyDescent="0.2">
      <c r="A39" s="222">
        <v>4</v>
      </c>
      <c r="B39" s="295" t="s">
        <v>292</v>
      </c>
      <c r="C39" s="295"/>
      <c r="D39" s="295"/>
      <c r="E39" s="295"/>
      <c r="F39" s="295"/>
      <c r="G39" s="295"/>
      <c r="H39" s="295"/>
      <c r="I39" s="295"/>
      <c r="J39" s="295"/>
      <c r="K39" s="295"/>
      <c r="L39" s="296"/>
      <c r="N39" s="106"/>
    </row>
    <row r="40" spans="1:14" s="59" customFormat="1" ht="15" customHeight="1" x14ac:dyDescent="0.2">
      <c r="A40" s="222">
        <v>5</v>
      </c>
      <c r="B40" s="293" t="s">
        <v>274</v>
      </c>
      <c r="C40" s="293"/>
      <c r="D40" s="293"/>
      <c r="E40" s="293"/>
      <c r="F40" s="293"/>
      <c r="G40" s="293"/>
      <c r="H40" s="293"/>
      <c r="I40" s="293"/>
      <c r="J40" s="293"/>
      <c r="K40" s="293"/>
      <c r="L40" s="294"/>
      <c r="N40" s="106"/>
    </row>
    <row r="41" spans="1:14" s="59" customFormat="1" ht="28.5" customHeight="1" x14ac:dyDescent="0.2">
      <c r="A41" s="222">
        <v>6</v>
      </c>
      <c r="B41" s="293" t="s">
        <v>279</v>
      </c>
      <c r="C41" s="293"/>
      <c r="D41" s="293"/>
      <c r="E41" s="293"/>
      <c r="F41" s="293"/>
      <c r="G41" s="293"/>
      <c r="H41" s="293"/>
      <c r="I41" s="293"/>
      <c r="J41" s="293"/>
      <c r="K41" s="293"/>
      <c r="L41" s="294"/>
      <c r="N41" s="106"/>
    </row>
    <row r="42" spans="1:14" s="59" customFormat="1" ht="16.5" customHeight="1" x14ac:dyDescent="0.2">
      <c r="A42" s="222">
        <v>7</v>
      </c>
      <c r="B42" s="295" t="s">
        <v>275</v>
      </c>
      <c r="C42" s="295"/>
      <c r="D42" s="295"/>
      <c r="E42" s="295"/>
      <c r="F42" s="295"/>
      <c r="G42" s="295"/>
      <c r="H42" s="295"/>
      <c r="I42" s="295"/>
      <c r="J42" s="295"/>
      <c r="K42" s="295"/>
      <c r="L42" s="296"/>
    </row>
    <row r="43" spans="1:14" s="59" customFormat="1" ht="17.5" customHeight="1" x14ac:dyDescent="0.2">
      <c r="A43" s="222"/>
      <c r="B43" s="223"/>
      <c r="C43" s="223"/>
      <c r="D43" s="223"/>
      <c r="E43" s="223"/>
      <c r="F43" s="223"/>
      <c r="G43" s="223"/>
      <c r="H43" s="223"/>
      <c r="I43" s="223"/>
      <c r="J43" s="223"/>
      <c r="K43" s="223"/>
      <c r="L43" s="224"/>
    </row>
    <row r="44" spans="1:14" s="59" customFormat="1" ht="16.5" customHeight="1" x14ac:dyDescent="0.2">
      <c r="A44" s="304" t="s">
        <v>278</v>
      </c>
      <c r="B44" s="305"/>
      <c r="C44" s="305"/>
      <c r="D44" s="305"/>
      <c r="E44" s="305"/>
      <c r="F44" s="305"/>
      <c r="G44" s="305"/>
      <c r="H44" s="305"/>
      <c r="I44" s="305"/>
      <c r="J44" s="305"/>
      <c r="K44" s="305"/>
      <c r="L44" s="306"/>
    </row>
    <row r="45" spans="1:14" s="59" customFormat="1" ht="15" customHeight="1" x14ac:dyDescent="0.2">
      <c r="A45" s="225" t="s">
        <v>276</v>
      </c>
      <c r="B45" s="295" t="s">
        <v>173</v>
      </c>
      <c r="C45" s="295"/>
      <c r="D45" s="295"/>
      <c r="E45" s="295"/>
      <c r="F45" s="295"/>
      <c r="G45" s="295"/>
      <c r="H45" s="295"/>
      <c r="I45" s="295"/>
      <c r="J45" s="295"/>
      <c r="K45" s="295"/>
      <c r="L45" s="296"/>
    </row>
    <row r="46" spans="1:14" s="59" customFormat="1" ht="30.75" customHeight="1" x14ac:dyDescent="0.2">
      <c r="A46" s="226" t="s">
        <v>277</v>
      </c>
      <c r="B46" s="297" t="s">
        <v>280</v>
      </c>
      <c r="C46" s="297"/>
      <c r="D46" s="297"/>
      <c r="E46" s="297"/>
      <c r="F46" s="297"/>
      <c r="G46" s="297"/>
      <c r="H46" s="297"/>
      <c r="I46" s="297"/>
      <c r="J46" s="297"/>
      <c r="K46" s="297"/>
      <c r="L46" s="298"/>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299" t="s">
        <v>201</v>
      </c>
      <c r="B48" s="300"/>
      <c r="C48" s="300"/>
      <c r="D48" s="300"/>
      <c r="E48" s="300"/>
      <c r="F48" s="300"/>
      <c r="G48" s="300"/>
      <c r="H48" s="300"/>
      <c r="I48" s="300"/>
      <c r="J48" s="300"/>
      <c r="K48" s="300"/>
      <c r="L48" s="301"/>
    </row>
    <row r="49" spans="1:12" s="1" customFormat="1" ht="16.5" customHeight="1" x14ac:dyDescent="0.2">
      <c r="A49" s="229"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302" t="s">
        <v>265</v>
      </c>
      <c r="D54" s="302"/>
      <c r="E54" s="302"/>
      <c r="F54" s="302"/>
      <c r="G54" s="302"/>
      <c r="H54" s="302"/>
      <c r="I54" s="302"/>
      <c r="J54" s="302"/>
      <c r="K54" s="302"/>
      <c r="L54" s="303"/>
    </row>
    <row r="55" spans="1:12" s="58" customFormat="1" ht="33.75" customHeight="1" x14ac:dyDescent="0.2">
      <c r="A55" s="167"/>
      <c r="B55" s="168" t="s">
        <v>266</v>
      </c>
      <c r="C55" s="302" t="s">
        <v>267</v>
      </c>
      <c r="D55" s="302"/>
      <c r="E55" s="302"/>
      <c r="F55" s="302"/>
      <c r="G55" s="302"/>
      <c r="H55" s="302"/>
      <c r="I55" s="302"/>
      <c r="J55" s="302"/>
      <c r="K55" s="302"/>
      <c r="L55" s="303"/>
    </row>
    <row r="56" spans="1:12" s="58" customFormat="1" ht="33.75" customHeight="1" x14ac:dyDescent="0.2">
      <c r="A56" s="167"/>
      <c r="B56" s="168" t="s">
        <v>334</v>
      </c>
      <c r="C56" s="302" t="s">
        <v>335</v>
      </c>
      <c r="D56" s="302"/>
      <c r="E56" s="302"/>
      <c r="F56" s="302"/>
      <c r="G56" s="302"/>
      <c r="H56" s="302"/>
      <c r="I56" s="302"/>
      <c r="J56" s="302"/>
      <c r="K56" s="302"/>
      <c r="L56" s="303"/>
    </row>
    <row r="57" spans="1:12" ht="30.75" customHeight="1" x14ac:dyDescent="0.2">
      <c r="A57" s="167"/>
      <c r="B57" s="168" t="s">
        <v>99</v>
      </c>
      <c r="C57" s="302" t="s">
        <v>100</v>
      </c>
      <c r="D57" s="302"/>
      <c r="E57" s="302"/>
      <c r="F57" s="302"/>
      <c r="G57" s="302"/>
      <c r="H57" s="302"/>
      <c r="I57" s="302"/>
      <c r="J57" s="302"/>
      <c r="K57" s="302"/>
      <c r="L57" s="303"/>
    </row>
    <row r="58" spans="1:12" ht="30.75" customHeight="1" x14ac:dyDescent="0.2">
      <c r="A58" s="167"/>
      <c r="B58" s="168" t="s">
        <v>199</v>
      </c>
      <c r="C58" s="302" t="s">
        <v>200</v>
      </c>
      <c r="D58" s="302"/>
      <c r="E58" s="302"/>
      <c r="F58" s="302"/>
      <c r="G58" s="302"/>
      <c r="H58" s="302"/>
      <c r="I58" s="302"/>
      <c r="J58" s="302"/>
      <c r="K58" s="302"/>
      <c r="L58" s="303"/>
    </row>
    <row r="59" spans="1:12" x14ac:dyDescent="0.2">
      <c r="A59" s="167"/>
      <c r="B59" s="168" t="s">
        <v>164</v>
      </c>
      <c r="C59" s="169" t="s">
        <v>268</v>
      </c>
      <c r="D59" s="169"/>
      <c r="E59" s="169"/>
      <c r="F59" s="169"/>
      <c r="G59" s="169"/>
      <c r="H59" s="169"/>
      <c r="I59" s="169"/>
      <c r="J59" s="169"/>
      <c r="K59" s="169"/>
      <c r="L59" s="170"/>
    </row>
    <row r="60" spans="1:12" ht="14.5" customHeight="1" x14ac:dyDescent="0.2">
      <c r="A60" s="167"/>
      <c r="B60" s="168" t="s">
        <v>401</v>
      </c>
      <c r="C60" s="302" t="s">
        <v>402</v>
      </c>
      <c r="D60" s="302"/>
      <c r="E60" s="302"/>
      <c r="F60" s="302"/>
      <c r="G60" s="302"/>
      <c r="H60" s="302"/>
      <c r="I60" s="302"/>
      <c r="J60" s="302"/>
      <c r="K60" s="302"/>
      <c r="L60" s="303"/>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403</v>
      </c>
    </row>
    <row r="71" spans="1:2" x14ac:dyDescent="0.2">
      <c r="A71" s="45"/>
      <c r="B71" t="s">
        <v>55</v>
      </c>
    </row>
    <row r="72" spans="1:2" x14ac:dyDescent="0.2">
      <c r="A72" s="45"/>
      <c r="B72" s="45" t="s">
        <v>404</v>
      </c>
    </row>
    <row r="73" spans="1:2" x14ac:dyDescent="0.2">
      <c r="A73" s="45"/>
    </row>
    <row r="74" spans="1:2" x14ac:dyDescent="0.2">
      <c r="A74" s="242" t="s">
        <v>348</v>
      </c>
    </row>
    <row r="75" spans="1:2" x14ac:dyDescent="0.2">
      <c r="A75" s="241" t="s">
        <v>349</v>
      </c>
    </row>
    <row r="76" spans="1:2" x14ac:dyDescent="0.2">
      <c r="A76" s="45" t="s">
        <v>350</v>
      </c>
    </row>
    <row r="77" spans="1:2" x14ac:dyDescent="0.2">
      <c r="A77" s="45"/>
    </row>
    <row r="78" spans="1:2" x14ac:dyDescent="0.2">
      <c r="A78" s="1" t="s">
        <v>162</v>
      </c>
    </row>
    <row r="79" spans="1:2" x14ac:dyDescent="0.2">
      <c r="A79" s="45" t="s">
        <v>269</v>
      </c>
    </row>
    <row r="81" spans="1:12" x14ac:dyDescent="0.2">
      <c r="A81" s="1" t="s">
        <v>23</v>
      </c>
    </row>
    <row r="82" spans="1:12" ht="29.25" customHeight="1" x14ac:dyDescent="0.2">
      <c r="A82" s="292" t="s">
        <v>405</v>
      </c>
      <c r="B82" s="292"/>
      <c r="C82" s="292"/>
      <c r="D82" s="292"/>
      <c r="E82" s="292"/>
      <c r="F82" s="292"/>
      <c r="G82" s="292"/>
      <c r="H82" s="292"/>
      <c r="I82" s="292"/>
      <c r="J82" s="292"/>
      <c r="K82" s="292"/>
      <c r="L82" s="292"/>
    </row>
    <row r="87" spans="1:12" ht="16" customHeight="1" x14ac:dyDescent="0.2"/>
    <row r="88" spans="1:12"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85" t="s">
        <v>117</v>
      </c>
      <c r="B3" s="385"/>
      <c r="C3" s="385"/>
      <c r="D3" s="128" t="s">
        <v>116</v>
      </c>
    </row>
    <row r="4" spans="1:4" ht="30" customHeight="1" x14ac:dyDescent="0.2">
      <c r="A4" s="386" t="s">
        <v>113</v>
      </c>
      <c r="B4" s="386"/>
      <c r="C4" s="386"/>
      <c r="D4" s="175" t="s">
        <v>183</v>
      </c>
    </row>
    <row r="5" spans="1:4" ht="48" x14ac:dyDescent="0.2">
      <c r="A5" s="390" t="s">
        <v>184</v>
      </c>
      <c r="B5" s="387"/>
      <c r="C5" s="387"/>
      <c r="D5" s="176" t="s">
        <v>202</v>
      </c>
    </row>
    <row r="6" spans="1:4" ht="57.5" customHeight="1" x14ac:dyDescent="0.2">
      <c r="A6" s="388" t="s">
        <v>185</v>
      </c>
      <c r="B6" s="388"/>
      <c r="C6" s="388"/>
      <c r="D6" s="177" t="s">
        <v>186</v>
      </c>
    </row>
    <row r="7" spans="1:4" ht="32" x14ac:dyDescent="0.2">
      <c r="A7" s="389" t="s">
        <v>21</v>
      </c>
      <c r="B7" s="389"/>
      <c r="C7" s="389"/>
      <c r="D7" s="178" t="s">
        <v>187</v>
      </c>
    </row>
    <row r="11" spans="1:4" x14ac:dyDescent="0.2">
      <c r="A11" s="386" t="s">
        <v>113</v>
      </c>
      <c r="B11" s="386"/>
      <c r="C11" s="386"/>
    </row>
    <row r="12" spans="1:4" x14ac:dyDescent="0.2">
      <c r="A12" s="387" t="s">
        <v>114</v>
      </c>
      <c r="B12" s="387"/>
      <c r="C12" s="387"/>
    </row>
    <row r="13" spans="1:4" x14ac:dyDescent="0.2">
      <c r="A13" s="388" t="s">
        <v>115</v>
      </c>
      <c r="B13" s="388"/>
      <c r="C13" s="388"/>
    </row>
    <row r="14" spans="1:4" x14ac:dyDescent="0.2">
      <c r="A14" s="389" t="s">
        <v>21</v>
      </c>
      <c r="B14" s="389"/>
      <c r="C14" s="38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workbookViewId="0">
      <selection activeCell="M7" sqref="M7"/>
    </sheetView>
  </sheetViews>
  <sheetFormatPr baseColWidth="10" defaultRowHeight="15" x14ac:dyDescent="0.2"/>
  <cols>
    <col min="1" max="1" width="17.6640625" bestFit="1" customWidth="1"/>
    <col min="3" max="3" width="18.6640625" customWidth="1"/>
  </cols>
  <sheetData>
    <row r="1" spans="1:20" x14ac:dyDescent="0.2">
      <c r="A1" s="1" t="s">
        <v>400</v>
      </c>
    </row>
    <row r="2" spans="1:20" ht="33" customHeight="1" x14ac:dyDescent="0.2">
      <c r="A2" s="399" t="s">
        <v>441</v>
      </c>
      <c r="B2" s="400"/>
      <c r="C2" s="400"/>
      <c r="D2" s="400"/>
      <c r="E2" s="400"/>
      <c r="F2" s="400"/>
      <c r="G2" s="400"/>
      <c r="H2" s="400"/>
      <c r="I2" s="400"/>
      <c r="J2" s="400"/>
      <c r="K2" s="400"/>
      <c r="L2" s="400"/>
      <c r="M2" s="400"/>
      <c r="N2" s="400"/>
      <c r="O2" s="400"/>
      <c r="P2" s="400"/>
      <c r="Q2" s="400"/>
      <c r="R2" s="400"/>
      <c r="S2" s="400"/>
      <c r="T2" s="400"/>
    </row>
    <row r="3" spans="1:20" ht="16" thickBot="1" x14ac:dyDescent="0.25"/>
    <row r="4" spans="1:20" ht="32" x14ac:dyDescent="0.2">
      <c r="A4" s="391" t="s">
        <v>359</v>
      </c>
      <c r="B4" s="392" t="s">
        <v>360</v>
      </c>
      <c r="C4" s="393" t="s">
        <v>440</v>
      </c>
      <c r="D4" s="394" t="s">
        <v>361</v>
      </c>
      <c r="E4" s="394" t="s">
        <v>362</v>
      </c>
      <c r="F4" s="394" t="s">
        <v>363</v>
      </c>
      <c r="G4" s="394" t="s">
        <v>364</v>
      </c>
      <c r="H4" s="394" t="s">
        <v>365</v>
      </c>
      <c r="I4" s="395" t="s">
        <v>366</v>
      </c>
    </row>
    <row r="5" spans="1:20" x14ac:dyDescent="0.2">
      <c r="A5" s="396" t="s">
        <v>367</v>
      </c>
      <c r="B5" s="250">
        <v>64</v>
      </c>
      <c r="C5">
        <v>0</v>
      </c>
      <c r="D5" s="2">
        <v>8</v>
      </c>
      <c r="E5">
        <v>122</v>
      </c>
      <c r="F5">
        <v>0</v>
      </c>
      <c r="G5">
        <v>0</v>
      </c>
      <c r="H5">
        <v>0</v>
      </c>
      <c r="I5" s="251">
        <f t="shared" ref="I5:I26" si="0">AVERAGE(F5:H5)</f>
        <v>0</v>
      </c>
    </row>
    <row r="6" spans="1:20" x14ac:dyDescent="0.2">
      <c r="A6" s="397" t="s">
        <v>368</v>
      </c>
      <c r="B6" s="250">
        <v>112</v>
      </c>
      <c r="C6" s="250">
        <v>11.6</v>
      </c>
      <c r="D6" s="2" t="s">
        <v>369</v>
      </c>
      <c r="E6">
        <v>81</v>
      </c>
      <c r="F6">
        <v>2.8</v>
      </c>
      <c r="G6">
        <v>4.7</v>
      </c>
      <c r="H6">
        <v>4.2</v>
      </c>
      <c r="I6" s="251">
        <f t="shared" si="0"/>
        <v>3.9</v>
      </c>
    </row>
    <row r="7" spans="1:20" x14ac:dyDescent="0.2">
      <c r="A7" s="397" t="s">
        <v>370</v>
      </c>
      <c r="B7" s="250">
        <v>100</v>
      </c>
      <c r="C7">
        <v>14.1</v>
      </c>
      <c r="D7" s="2" t="s">
        <v>369</v>
      </c>
      <c r="E7">
        <v>13</v>
      </c>
      <c r="F7">
        <v>10</v>
      </c>
      <c r="G7">
        <v>-1.3</v>
      </c>
      <c r="H7">
        <v>5.4</v>
      </c>
      <c r="I7" s="251">
        <f t="shared" si="0"/>
        <v>4.7</v>
      </c>
    </row>
    <row r="8" spans="1:20" x14ac:dyDescent="0.2">
      <c r="A8" s="397" t="s">
        <v>371</v>
      </c>
      <c r="B8" s="250">
        <v>97</v>
      </c>
      <c r="C8">
        <v>14.1</v>
      </c>
      <c r="D8" s="2" t="s">
        <v>372</v>
      </c>
      <c r="E8">
        <v>147</v>
      </c>
      <c r="F8">
        <v>3.8</v>
      </c>
      <c r="G8">
        <v>6.3</v>
      </c>
      <c r="H8">
        <v>4</v>
      </c>
      <c r="I8" s="251">
        <f t="shared" si="0"/>
        <v>4.7</v>
      </c>
    </row>
    <row r="9" spans="1:20" x14ac:dyDescent="0.2">
      <c r="A9" s="397" t="s">
        <v>373</v>
      </c>
      <c r="B9" s="250">
        <v>112</v>
      </c>
      <c r="C9">
        <v>16.5</v>
      </c>
      <c r="D9" s="2" t="s">
        <v>374</v>
      </c>
      <c r="E9">
        <v>103</v>
      </c>
      <c r="F9">
        <v>5.9</v>
      </c>
      <c r="G9">
        <v>5.0999999999999996</v>
      </c>
      <c r="H9">
        <v>5.5</v>
      </c>
      <c r="I9" s="251">
        <f t="shared" si="0"/>
        <v>5.5</v>
      </c>
    </row>
    <row r="10" spans="1:20" x14ac:dyDescent="0.2">
      <c r="A10" s="397" t="s">
        <v>375</v>
      </c>
      <c r="B10" s="250">
        <v>100</v>
      </c>
      <c r="C10">
        <v>16.600000000000001</v>
      </c>
      <c r="D10" s="2" t="s">
        <v>376</v>
      </c>
      <c r="E10">
        <v>26</v>
      </c>
      <c r="F10">
        <v>5.5</v>
      </c>
      <c r="G10">
        <v>5.5</v>
      </c>
      <c r="H10">
        <v>5.5</v>
      </c>
      <c r="I10" s="251">
        <f t="shared" si="0"/>
        <v>5.5</v>
      </c>
    </row>
    <row r="11" spans="1:20" x14ac:dyDescent="0.2">
      <c r="A11" s="397" t="s">
        <v>377</v>
      </c>
      <c r="B11" s="250">
        <v>112</v>
      </c>
      <c r="C11" s="250">
        <v>16.600000000000001</v>
      </c>
      <c r="D11" s="2" t="s">
        <v>369</v>
      </c>
      <c r="E11">
        <v>81</v>
      </c>
      <c r="F11">
        <v>3.8</v>
      </c>
      <c r="G11">
        <v>6.6</v>
      </c>
      <c r="H11">
        <v>6.1</v>
      </c>
      <c r="I11" s="251">
        <f t="shared" si="0"/>
        <v>5.5</v>
      </c>
    </row>
    <row r="12" spans="1:20" x14ac:dyDescent="0.2">
      <c r="A12" s="397" t="s">
        <v>378</v>
      </c>
      <c r="B12" s="250">
        <v>100</v>
      </c>
      <c r="C12" s="250">
        <v>17.8</v>
      </c>
      <c r="D12" s="2" t="s">
        <v>379</v>
      </c>
      <c r="E12">
        <v>31</v>
      </c>
      <c r="F12">
        <v>5.9</v>
      </c>
      <c r="G12">
        <v>5.9</v>
      </c>
      <c r="H12">
        <v>5.9</v>
      </c>
      <c r="I12" s="251">
        <f t="shared" si="0"/>
        <v>5.9000000000000012</v>
      </c>
    </row>
    <row r="13" spans="1:20" x14ac:dyDescent="0.2">
      <c r="A13" s="397" t="s">
        <v>380</v>
      </c>
      <c r="B13" s="250">
        <v>100</v>
      </c>
      <c r="C13">
        <v>18</v>
      </c>
      <c r="D13" s="2" t="s">
        <v>381</v>
      </c>
      <c r="E13">
        <v>18</v>
      </c>
      <c r="F13">
        <v>11</v>
      </c>
      <c r="G13">
        <v>5.6</v>
      </c>
      <c r="H13">
        <v>8.1</v>
      </c>
      <c r="I13" s="251">
        <f t="shared" si="0"/>
        <v>8.2333333333333343</v>
      </c>
    </row>
    <row r="14" spans="1:20" x14ac:dyDescent="0.2">
      <c r="A14" s="397" t="s">
        <v>382</v>
      </c>
      <c r="B14" s="250">
        <v>112</v>
      </c>
      <c r="C14" s="250">
        <v>19.3</v>
      </c>
      <c r="D14" s="2" t="s">
        <v>369</v>
      </c>
      <c r="E14">
        <v>81</v>
      </c>
      <c r="F14">
        <v>4.4000000000000004</v>
      </c>
      <c r="G14">
        <v>7.8</v>
      </c>
      <c r="H14">
        <v>7.2</v>
      </c>
      <c r="I14" s="251">
        <f t="shared" si="0"/>
        <v>6.4666666666666659</v>
      </c>
    </row>
    <row r="15" spans="1:20" x14ac:dyDescent="0.2">
      <c r="A15" s="397" t="s">
        <v>383</v>
      </c>
      <c r="B15" s="250">
        <v>100</v>
      </c>
      <c r="C15">
        <v>20.399999999999999</v>
      </c>
      <c r="D15" s="2" t="s">
        <v>384</v>
      </c>
      <c r="E15">
        <v>48</v>
      </c>
      <c r="F15">
        <v>5.9</v>
      </c>
      <c r="G15">
        <v>5.9</v>
      </c>
      <c r="H15">
        <v>8.5</v>
      </c>
      <c r="I15" s="251">
        <f t="shared" si="0"/>
        <v>6.7666666666666666</v>
      </c>
    </row>
    <row r="16" spans="1:20" x14ac:dyDescent="0.2">
      <c r="A16" s="397" t="s">
        <v>385</v>
      </c>
      <c r="B16" s="250">
        <v>100</v>
      </c>
      <c r="C16" s="250">
        <v>20.399999999999999</v>
      </c>
      <c r="D16" s="2" t="s">
        <v>386</v>
      </c>
      <c r="E16">
        <v>45</v>
      </c>
      <c r="F16">
        <v>8.3000000000000007</v>
      </c>
      <c r="G16">
        <v>6.6</v>
      </c>
      <c r="H16">
        <v>5.5</v>
      </c>
      <c r="I16" s="251">
        <f t="shared" si="0"/>
        <v>6.8</v>
      </c>
    </row>
    <row r="17" spans="1:9" x14ac:dyDescent="0.2">
      <c r="A17" s="397" t="s">
        <v>387</v>
      </c>
      <c r="B17" s="250">
        <v>100</v>
      </c>
      <c r="C17" s="250">
        <v>20.5</v>
      </c>
      <c r="D17" s="2" t="s">
        <v>388</v>
      </c>
      <c r="E17">
        <v>2</v>
      </c>
      <c r="F17">
        <v>8.6</v>
      </c>
      <c r="G17">
        <v>5.9</v>
      </c>
      <c r="H17">
        <v>5.9</v>
      </c>
      <c r="I17" s="251">
        <f t="shared" si="0"/>
        <v>6.8</v>
      </c>
    </row>
    <row r="18" spans="1:9" x14ac:dyDescent="0.2">
      <c r="A18" s="397" t="s">
        <v>389</v>
      </c>
      <c r="B18" s="250">
        <v>1</v>
      </c>
      <c r="C18">
        <v>20.9</v>
      </c>
      <c r="D18" s="2" t="s">
        <v>379</v>
      </c>
      <c r="E18">
        <v>430</v>
      </c>
      <c r="F18">
        <v>6.4</v>
      </c>
      <c r="G18">
        <v>8.4</v>
      </c>
      <c r="H18">
        <v>6.1</v>
      </c>
      <c r="I18" s="251">
        <f t="shared" si="0"/>
        <v>6.9666666666666659</v>
      </c>
    </row>
    <row r="19" spans="1:9" x14ac:dyDescent="0.2">
      <c r="A19" s="397" t="s">
        <v>390</v>
      </c>
      <c r="B19" s="250">
        <v>1</v>
      </c>
      <c r="C19">
        <v>20.9</v>
      </c>
      <c r="D19" s="2" t="s">
        <v>379</v>
      </c>
      <c r="E19">
        <v>430</v>
      </c>
      <c r="F19">
        <v>6.4</v>
      </c>
      <c r="G19">
        <v>8.4</v>
      </c>
      <c r="H19">
        <v>6.1</v>
      </c>
      <c r="I19" s="251">
        <f t="shared" si="0"/>
        <v>6.9666666666666659</v>
      </c>
    </row>
    <row r="20" spans="1:9" x14ac:dyDescent="0.2">
      <c r="A20" s="397" t="s">
        <v>391</v>
      </c>
      <c r="B20" s="250">
        <v>112</v>
      </c>
      <c r="C20" s="250">
        <v>21.7</v>
      </c>
      <c r="D20" s="2" t="s">
        <v>369</v>
      </c>
      <c r="E20">
        <v>81</v>
      </c>
      <c r="F20">
        <v>4.9000000000000004</v>
      </c>
      <c r="G20">
        <v>8.6999999999999993</v>
      </c>
      <c r="H20">
        <v>8.1</v>
      </c>
      <c r="I20" s="251">
        <f t="shared" si="0"/>
        <v>7.2333333333333334</v>
      </c>
    </row>
    <row r="21" spans="1:9" x14ac:dyDescent="0.2">
      <c r="A21" s="397" t="s">
        <v>392</v>
      </c>
      <c r="B21" s="250">
        <v>112</v>
      </c>
      <c r="C21" s="250">
        <v>21.8</v>
      </c>
      <c r="D21" s="2" t="s">
        <v>369</v>
      </c>
      <c r="E21">
        <v>81</v>
      </c>
      <c r="F21">
        <v>5</v>
      </c>
      <c r="G21">
        <v>8.6999999999999993</v>
      </c>
      <c r="H21">
        <v>8.1</v>
      </c>
      <c r="I21" s="251">
        <f t="shared" si="0"/>
        <v>7.2666666666666657</v>
      </c>
    </row>
    <row r="22" spans="1:9" x14ac:dyDescent="0.2">
      <c r="A22" s="397" t="s">
        <v>393</v>
      </c>
      <c r="B22" s="250">
        <v>112</v>
      </c>
      <c r="C22" s="250">
        <v>24.2</v>
      </c>
      <c r="D22" s="2" t="s">
        <v>394</v>
      </c>
      <c r="E22">
        <v>80</v>
      </c>
      <c r="F22">
        <v>5.5</v>
      </c>
      <c r="G22">
        <v>9.6999999999999993</v>
      </c>
      <c r="H22">
        <v>9</v>
      </c>
      <c r="I22" s="251">
        <f t="shared" si="0"/>
        <v>8.0666666666666664</v>
      </c>
    </row>
    <row r="23" spans="1:9" x14ac:dyDescent="0.2">
      <c r="A23" s="397" t="s">
        <v>395</v>
      </c>
      <c r="B23" s="250">
        <v>100</v>
      </c>
      <c r="C23" s="250">
        <v>24.8</v>
      </c>
      <c r="D23" s="2" t="s">
        <v>396</v>
      </c>
      <c r="E23">
        <v>5</v>
      </c>
      <c r="F23">
        <v>8.4</v>
      </c>
      <c r="G23">
        <v>5.9</v>
      </c>
      <c r="H23">
        <v>10.5</v>
      </c>
      <c r="I23" s="251">
        <f t="shared" si="0"/>
        <v>8.2666666666666675</v>
      </c>
    </row>
    <row r="24" spans="1:9" x14ac:dyDescent="0.2">
      <c r="A24" s="397" t="s">
        <v>397</v>
      </c>
      <c r="B24" s="250">
        <v>1</v>
      </c>
      <c r="C24" s="250">
        <v>26.1</v>
      </c>
      <c r="D24" s="252" t="s">
        <v>379</v>
      </c>
      <c r="E24" s="250">
        <v>97</v>
      </c>
      <c r="F24" s="250">
        <v>5.9</v>
      </c>
      <c r="G24" s="250">
        <v>10.5</v>
      </c>
      <c r="H24" s="250">
        <v>9.6</v>
      </c>
      <c r="I24" s="251">
        <f t="shared" si="0"/>
        <v>8.6666666666666661</v>
      </c>
    </row>
    <row r="25" spans="1:9" x14ac:dyDescent="0.2">
      <c r="A25" s="397" t="s">
        <v>398</v>
      </c>
      <c r="B25" s="250">
        <v>1</v>
      </c>
      <c r="C25">
        <v>26.1</v>
      </c>
      <c r="D25" s="2" t="s">
        <v>379</v>
      </c>
      <c r="E25">
        <v>72</v>
      </c>
      <c r="F25">
        <v>5.9</v>
      </c>
      <c r="G25">
        <v>10.5</v>
      </c>
      <c r="H25">
        <v>9.6</v>
      </c>
      <c r="I25" s="251">
        <f t="shared" si="0"/>
        <v>8.6666666666666661</v>
      </c>
    </row>
    <row r="26" spans="1:9" ht="16" thickBot="1" x14ac:dyDescent="0.25">
      <c r="A26" s="398" t="s">
        <v>399</v>
      </c>
      <c r="B26" s="253">
        <v>1</v>
      </c>
      <c r="C26" s="254">
        <v>26.1</v>
      </c>
      <c r="D26" s="255" t="s">
        <v>379</v>
      </c>
      <c r="E26" s="254">
        <v>15</v>
      </c>
      <c r="F26" s="254">
        <v>5.9</v>
      </c>
      <c r="G26" s="254">
        <v>10.5</v>
      </c>
      <c r="H26" s="254">
        <v>9.6</v>
      </c>
      <c r="I26" s="256">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5" zoomScale="150" zoomScaleNormal="150" workbookViewId="0">
      <selection activeCell="C12" sqref="C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242</v>
      </c>
      <c r="E1" s="36" t="s">
        <v>46</v>
      </c>
      <c r="F1" s="36" t="s">
        <v>45</v>
      </c>
      <c r="G1" s="36" t="s">
        <v>47</v>
      </c>
      <c r="I1" s="107" t="s">
        <v>58</v>
      </c>
      <c r="J1" s="107" t="s">
        <v>45</v>
      </c>
      <c r="K1" s="108" t="s">
        <v>47</v>
      </c>
    </row>
    <row r="2" spans="1:11" ht="32" x14ac:dyDescent="0.2">
      <c r="A2" s="57">
        <v>45413</v>
      </c>
      <c r="B2" s="149" t="s">
        <v>240</v>
      </c>
      <c r="C2" s="56" t="s">
        <v>244</v>
      </c>
      <c r="D2" s="55">
        <v>0.3</v>
      </c>
      <c r="E2" s="55" t="s">
        <v>241</v>
      </c>
      <c r="F2" s="55" t="s">
        <v>241</v>
      </c>
      <c r="G2" s="57"/>
      <c r="I2" s="38"/>
      <c r="J2" s="38"/>
      <c r="K2" s="40"/>
    </row>
    <row r="3" spans="1:11" ht="48" x14ac:dyDescent="0.2">
      <c r="A3" s="57">
        <v>45604</v>
      </c>
      <c r="B3" s="149" t="s">
        <v>243</v>
      </c>
      <c r="C3" s="56" t="s">
        <v>270</v>
      </c>
      <c r="D3" s="55">
        <v>4</v>
      </c>
      <c r="E3" s="55" t="s">
        <v>241</v>
      </c>
      <c r="F3" s="55" t="s">
        <v>241</v>
      </c>
      <c r="G3" s="57"/>
      <c r="I3" s="38"/>
      <c r="J3" s="38"/>
      <c r="K3" s="39"/>
    </row>
    <row r="4" spans="1:11" ht="16" x14ac:dyDescent="0.2">
      <c r="A4" s="57">
        <v>45611</v>
      </c>
      <c r="B4" s="149" t="s">
        <v>271</v>
      </c>
      <c r="C4" s="56" t="s">
        <v>272</v>
      </c>
      <c r="D4" s="55">
        <v>0.3</v>
      </c>
      <c r="E4" s="55" t="s">
        <v>241</v>
      </c>
      <c r="F4" s="55" t="s">
        <v>241</v>
      </c>
      <c r="G4" s="57"/>
      <c r="I4" s="38"/>
      <c r="J4" s="38"/>
      <c r="K4" s="40"/>
    </row>
    <row r="5" spans="1:11" ht="40.5" customHeight="1" x14ac:dyDescent="0.2">
      <c r="A5" s="57">
        <v>45622</v>
      </c>
      <c r="B5" s="149" t="s">
        <v>298</v>
      </c>
      <c r="C5" s="56" t="s">
        <v>299</v>
      </c>
      <c r="D5" s="55">
        <v>4</v>
      </c>
      <c r="E5" s="55" t="s">
        <v>241</v>
      </c>
      <c r="F5" s="55" t="s">
        <v>241</v>
      </c>
      <c r="G5" s="57"/>
      <c r="I5" s="38"/>
      <c r="J5" s="38"/>
      <c r="K5" s="40"/>
    </row>
    <row r="6" spans="1:11" ht="38.5" customHeight="1" x14ac:dyDescent="0.2">
      <c r="A6" s="57">
        <v>45666</v>
      </c>
      <c r="B6" s="149" t="s">
        <v>307</v>
      </c>
      <c r="C6" s="56" t="s">
        <v>308</v>
      </c>
      <c r="D6" s="55">
        <v>3</v>
      </c>
      <c r="E6" s="55" t="s">
        <v>241</v>
      </c>
      <c r="F6" s="55" t="s">
        <v>241</v>
      </c>
      <c r="G6" s="57"/>
      <c r="I6" s="38"/>
      <c r="J6" s="38"/>
      <c r="K6" s="39"/>
    </row>
    <row r="7" spans="1:11" ht="64" x14ac:dyDescent="0.2">
      <c r="A7" s="57">
        <v>45670</v>
      </c>
      <c r="B7" s="149" t="s">
        <v>312</v>
      </c>
      <c r="C7" s="38" t="s">
        <v>309</v>
      </c>
      <c r="D7" s="55">
        <v>0.5</v>
      </c>
      <c r="E7" s="55" t="s">
        <v>241</v>
      </c>
      <c r="F7" s="55" t="s">
        <v>241</v>
      </c>
      <c r="G7" s="57"/>
      <c r="I7" s="38"/>
      <c r="J7" s="41"/>
      <c r="K7" s="40"/>
    </row>
    <row r="8" spans="1:11" ht="32" x14ac:dyDescent="0.2">
      <c r="A8" s="57">
        <v>45671</v>
      </c>
      <c r="B8" s="149" t="s">
        <v>339</v>
      </c>
      <c r="C8" s="56" t="s">
        <v>340</v>
      </c>
      <c r="D8" s="55">
        <v>0.5</v>
      </c>
      <c r="E8" s="55" t="s">
        <v>241</v>
      </c>
      <c r="F8" s="55" t="s">
        <v>241</v>
      </c>
      <c r="G8" s="57"/>
      <c r="I8" s="38"/>
      <c r="J8" s="41"/>
      <c r="K8" s="40"/>
    </row>
    <row r="9" spans="1:11" ht="16" x14ac:dyDescent="0.2">
      <c r="A9" s="57">
        <v>45681</v>
      </c>
      <c r="B9" s="149" t="s">
        <v>353</v>
      </c>
      <c r="C9" s="56" t="s">
        <v>354</v>
      </c>
      <c r="D9" s="55">
        <v>0.25</v>
      </c>
      <c r="E9" s="55" t="s">
        <v>241</v>
      </c>
      <c r="F9" s="55" t="s">
        <v>241</v>
      </c>
      <c r="G9" s="57"/>
      <c r="I9" s="38"/>
      <c r="J9" s="38"/>
      <c r="K9" s="40"/>
    </row>
    <row r="10" spans="1:11" ht="32" x14ac:dyDescent="0.2">
      <c r="A10" s="57">
        <v>45681</v>
      </c>
      <c r="B10" s="149" t="s">
        <v>357</v>
      </c>
      <c r="C10" s="56" t="s">
        <v>358</v>
      </c>
      <c r="D10" s="55">
        <v>1</v>
      </c>
      <c r="E10" s="55" t="s">
        <v>241</v>
      </c>
      <c r="F10" s="38" t="s">
        <v>355</v>
      </c>
      <c r="G10" s="57">
        <v>45678</v>
      </c>
      <c r="I10" s="38"/>
      <c r="J10" s="41"/>
      <c r="K10" s="40"/>
    </row>
    <row r="11" spans="1:11" ht="32" x14ac:dyDescent="0.2">
      <c r="A11" s="57">
        <v>45762</v>
      </c>
      <c r="B11" s="149" t="s">
        <v>406</v>
      </c>
      <c r="C11" s="56" t="s">
        <v>407</v>
      </c>
      <c r="D11" s="55">
        <v>12</v>
      </c>
      <c r="E11" s="55" t="s">
        <v>408</v>
      </c>
      <c r="F11" s="55" t="s">
        <v>409</v>
      </c>
      <c r="G11" s="57">
        <v>45702</v>
      </c>
      <c r="I11" s="38"/>
      <c r="J11" s="41"/>
      <c r="K11" s="40"/>
    </row>
    <row r="12" spans="1:11" ht="48" x14ac:dyDescent="0.2">
      <c r="A12" s="57"/>
      <c r="B12" s="149"/>
      <c r="C12" s="56" t="s">
        <v>439</v>
      </c>
      <c r="D12" s="55">
        <v>6</v>
      </c>
      <c r="E12" s="55" t="s">
        <v>408</v>
      </c>
      <c r="F12" s="55" t="s">
        <v>438</v>
      </c>
      <c r="G12" s="57">
        <v>45702</v>
      </c>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36" t="str">
        <f>'ReadMe-Directions'!A1</f>
        <v>Immersive Model for Lake Mead based on the Principle of Divide Reservoir Inflow</v>
      </c>
      <c r="B1" s="336"/>
      <c r="C1" s="336"/>
      <c r="D1" s="336"/>
      <c r="E1" s="336"/>
      <c r="F1" s="336"/>
      <c r="G1" s="336"/>
    </row>
    <row r="2" spans="1:14" x14ac:dyDescent="0.2">
      <c r="A2" s="1" t="s">
        <v>179</v>
      </c>
      <c r="B2" s="1"/>
    </row>
    <row r="3" spans="1:14" ht="32.25" customHeight="1" x14ac:dyDescent="0.2">
      <c r="A3" s="344" t="s">
        <v>191</v>
      </c>
      <c r="B3" s="344"/>
      <c r="C3" s="344"/>
      <c r="D3" s="344"/>
      <c r="E3" s="344"/>
      <c r="F3" s="344"/>
      <c r="G3" s="344"/>
      <c r="H3" s="84"/>
      <c r="I3" s="84"/>
      <c r="J3" s="84"/>
      <c r="K3" s="84"/>
      <c r="N3" s="137" t="s">
        <v>157</v>
      </c>
    </row>
    <row r="4" spans="1:14" x14ac:dyDescent="0.2">
      <c r="A4" s="127" t="s">
        <v>261</v>
      </c>
      <c r="B4" s="127" t="s">
        <v>19</v>
      </c>
      <c r="C4" s="345" t="s">
        <v>262</v>
      </c>
      <c r="D4" s="346"/>
      <c r="E4" s="346"/>
      <c r="F4" s="346"/>
      <c r="G4" s="347"/>
      <c r="N4" s="141" t="s">
        <v>336</v>
      </c>
    </row>
    <row r="5" spans="1:14" x14ac:dyDescent="0.2">
      <c r="A5" s="90" t="s">
        <v>239</v>
      </c>
      <c r="B5" s="114"/>
      <c r="C5" s="348"/>
      <c r="D5" s="343"/>
      <c r="E5" s="343"/>
      <c r="F5" s="343"/>
      <c r="G5" s="343"/>
      <c r="N5" s="141"/>
    </row>
    <row r="6" spans="1:14" x14ac:dyDescent="0.2">
      <c r="A6" s="90" t="s">
        <v>203</v>
      </c>
      <c r="B6" s="114"/>
      <c r="C6" s="348"/>
      <c r="D6" s="343"/>
      <c r="E6" s="343"/>
      <c r="F6" s="343"/>
      <c r="G6" s="343"/>
      <c r="N6" s="142"/>
    </row>
    <row r="7" spans="1:14" x14ac:dyDescent="0.2">
      <c r="A7" s="90" t="s">
        <v>204</v>
      </c>
      <c r="B7" s="114"/>
      <c r="C7" s="348"/>
      <c r="D7" s="343"/>
      <c r="E7" s="343"/>
      <c r="F7" s="343"/>
      <c r="G7" s="343"/>
      <c r="N7" s="142"/>
    </row>
    <row r="8" spans="1:14" x14ac:dyDescent="0.2">
      <c r="A8" s="114" t="s">
        <v>205</v>
      </c>
      <c r="B8" s="90"/>
      <c r="C8" s="343"/>
      <c r="D8" s="343"/>
      <c r="E8" s="343"/>
      <c r="F8" s="343"/>
      <c r="G8" s="343"/>
      <c r="N8" s="142"/>
    </row>
    <row r="9" spans="1:14" x14ac:dyDescent="0.2">
      <c r="A9" s="114" t="s">
        <v>18</v>
      </c>
      <c r="B9" s="90"/>
      <c r="C9" s="349"/>
      <c r="D9" s="349"/>
      <c r="E9" s="349"/>
      <c r="F9" s="349"/>
      <c r="G9" s="349"/>
      <c r="N9" s="142"/>
    </row>
    <row r="10" spans="1:14" x14ac:dyDescent="0.2">
      <c r="A10" s="90" t="s">
        <v>283</v>
      </c>
      <c r="B10" s="90"/>
      <c r="C10" s="343"/>
      <c r="D10" s="343"/>
      <c r="E10" s="343"/>
      <c r="F10" s="343"/>
      <c r="G10" s="343"/>
      <c r="N10" s="142"/>
    </row>
    <row r="11" spans="1:14" x14ac:dyDescent="0.2">
      <c r="A11" s="13"/>
      <c r="B11" s="2"/>
      <c r="C11"/>
      <c r="N11" s="142"/>
    </row>
    <row r="12" spans="1:14" x14ac:dyDescent="0.2">
      <c r="A12" s="15" t="s">
        <v>111</v>
      </c>
      <c r="B12" s="350" t="s">
        <v>113</v>
      </c>
      <c r="C12" s="351"/>
      <c r="D12" s="352"/>
      <c r="N12" s="141" t="s">
        <v>130</v>
      </c>
    </row>
    <row r="13" spans="1:14" x14ac:dyDescent="0.2">
      <c r="B13" s="353" t="s">
        <v>190</v>
      </c>
      <c r="C13" s="354"/>
      <c r="D13" s="355"/>
    </row>
    <row r="14" spans="1:14" x14ac:dyDescent="0.2">
      <c r="B14" s="337" t="s">
        <v>185</v>
      </c>
      <c r="C14" s="338"/>
      <c r="D14" s="339"/>
      <c r="N14" s="142"/>
    </row>
    <row r="15" spans="1:14" x14ac:dyDescent="0.2">
      <c r="B15" s="340" t="s">
        <v>21</v>
      </c>
      <c r="C15" s="341"/>
      <c r="D15" s="342"/>
      <c r="N15" s="142"/>
    </row>
    <row r="16" spans="1:14" x14ac:dyDescent="0.2">
      <c r="N16" s="142"/>
    </row>
    <row r="17" spans="1:14" ht="32" x14ac:dyDescent="0.2">
      <c r="A17" s="1" t="s">
        <v>254</v>
      </c>
      <c r="B17" s="221" t="s">
        <v>206</v>
      </c>
      <c r="C17" s="221" t="s">
        <v>207</v>
      </c>
      <c r="N17" s="141" t="s">
        <v>131</v>
      </c>
    </row>
    <row r="18" spans="1:14" x14ac:dyDescent="0.2">
      <c r="A18" t="s">
        <v>255</v>
      </c>
      <c r="B18" s="220">
        <v>6</v>
      </c>
      <c r="D18" s="16"/>
      <c r="N18" s="141" t="s">
        <v>133</v>
      </c>
    </row>
    <row r="19" spans="1:14" x14ac:dyDescent="0.2">
      <c r="A19" t="s">
        <v>256</v>
      </c>
      <c r="B19" s="212">
        <v>1063.29</v>
      </c>
      <c r="C19" s="12">
        <f>VLOOKUP(B19,'Mead-Elevation-Area'!$A$5:$B$676,2)/1000000</f>
        <v>8.6522179999999995</v>
      </c>
      <c r="D19" s="129" t="s">
        <v>356</v>
      </c>
      <c r="F19" s="249"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257</v>
      </c>
      <c r="C21" s="12">
        <f>C19-C20</f>
        <v>8.6522179999999995</v>
      </c>
      <c r="D21" s="116"/>
      <c r="E21" s="28"/>
      <c r="F21" s="116"/>
      <c r="N21" s="141" t="s">
        <v>294</v>
      </c>
    </row>
    <row r="22" spans="1:14" x14ac:dyDescent="0.2">
      <c r="A22" t="s">
        <v>258</v>
      </c>
      <c r="C22" s="185">
        <v>3.5339999999999998</v>
      </c>
      <c r="D22" s="111" t="s">
        <v>211</v>
      </c>
      <c r="E22" s="28"/>
      <c r="F22" s="28"/>
      <c r="N22" s="141" t="s">
        <v>293</v>
      </c>
    </row>
    <row r="23" spans="1:14" x14ac:dyDescent="0.2">
      <c r="A23" t="s">
        <v>282</v>
      </c>
      <c r="C23" s="12">
        <f>C21-C22</f>
        <v>5.1182179999999997</v>
      </c>
      <c r="D23" s="111"/>
      <c r="E23" s="28"/>
      <c r="N23" s="141" t="s">
        <v>295</v>
      </c>
    </row>
    <row r="24" spans="1:14" x14ac:dyDescent="0.2">
      <c r="A24" t="s">
        <v>311</v>
      </c>
      <c r="B24" s="94">
        <f>TribalWater!H7</f>
        <v>0.16438105840220965</v>
      </c>
      <c r="C24"/>
      <c r="D24" s="111"/>
      <c r="E24" s="28"/>
      <c r="N24" s="141" t="s">
        <v>337</v>
      </c>
    </row>
    <row r="25" spans="1:14" x14ac:dyDescent="0.2">
      <c r="A25" t="s">
        <v>310</v>
      </c>
      <c r="B25" s="230">
        <f>1-B24</f>
        <v>0.83561894159779038</v>
      </c>
      <c r="C25"/>
      <c r="D25" s="111"/>
      <c r="E25" s="28"/>
      <c r="N25" s="141" t="s">
        <v>338</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297</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252</v>
      </c>
      <c r="B32" s="1"/>
      <c r="H32" s="96"/>
      <c r="I32" s="96"/>
      <c r="J32" s="96"/>
      <c r="K32" s="96"/>
      <c r="L32" s="96"/>
      <c r="N32" s="141"/>
    </row>
    <row r="33" spans="1:14" x14ac:dyDescent="0.2">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2">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296</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300</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246</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260</v>
      </c>
      <c r="C55" s="82" t="str">
        <f>IF(OR(C$28="",$A55=""),"",(VLOOKUP(C$54,DivideInflow!$K$19:$W$22,9)-IF($A$59&lt;&gt;"",$B$59*$B$24,0))*(C$54))</f>
        <v/>
      </c>
      <c r="D55" s="82" t="str">
        <f>IF(OR(D$28="",$A55=""),"",(VLOOKUP(D$54,DivideInflow!$K$19:$W$22,9)-IF($A$59&lt;&gt;"",$B$59*$B$24,0))*(D$54))</f>
        <v/>
      </c>
      <c r="E55" s="82" t="str">
        <f>IF(OR(E$28="",$A55=""),"",(VLOOKUP(E$54,DivideInflow!$K$19:$W$22,9)-IF($A$59&lt;&gt;"",$B$59*$B$24,0))*(E$54))</f>
        <v/>
      </c>
      <c r="F55" s="82" t="str">
        <f>IF(OR(F$28="",$A55=""),"",(VLOOKUP(F$54,DivideInflow!$K$19:$W$22,9)-IF($A$59&lt;&gt;"",$B$59*$B$24,0))*(F$54))</f>
        <v/>
      </c>
      <c r="G55" s="82" t="str">
        <f>IF(OR(G$28="",$A55=""),"",(VLOOKUP(G$54,DivideInflow!$K$19:$W$22,9)-IF($A$59&lt;&gt;"",$B$59*$B$24,0))*(G$54))</f>
        <v/>
      </c>
      <c r="H55" s="81"/>
      <c r="I55" s="81"/>
      <c r="J55" s="81"/>
      <c r="K55" s="81"/>
      <c r="L55" s="81"/>
      <c r="M55" s="218" t="e">
        <f>C55/C$54</f>
        <v>#VALUE!</v>
      </c>
      <c r="N55" s="143"/>
      <c r="P55" s="81"/>
    </row>
    <row r="56" spans="1:16" x14ac:dyDescent="0.2">
      <c r="A56" t="str">
        <f>IF(A7="","","       To "&amp;A7)</f>
        <v xml:space="preserve">       To Arizona</v>
      </c>
      <c r="B56" s="95" t="s">
        <v>259</v>
      </c>
      <c r="C56" s="82" t="str">
        <f>IF(OR(C$28="",$A56=""),"",(VLOOKUP(C$54,DivideInflow!$K$19:$W$22,7)-IF($A$59&lt;&gt;"",$B$59*$B$25,0))*(C$54))</f>
        <v/>
      </c>
      <c r="D56" s="82" t="str">
        <f>IF(OR(D$28="",$A56=""),"",(VLOOKUP(D$54,DivideInflow!$K$19:$W$22,7)-IF($A$59&lt;&gt;"",$B$59*$B$25,0))*(D$54))</f>
        <v/>
      </c>
      <c r="E56" s="82" t="str">
        <f>IF(OR(E$28="",$A56=""),"",(VLOOKUP(E$54,DivideInflow!$K$19:$W$22,7)-IF($A$59&lt;&gt;"",$B$59*$B$25,0))*(E$54))</f>
        <v/>
      </c>
      <c r="F56" s="82" t="str">
        <f>IF(OR(F$28="",$A56=""),"",(VLOOKUP(F$54,DivideInflow!$K$19:$W$22,7)-IF($A$59&lt;&gt;"",$B$59*$B$25,0))*(F$54))</f>
        <v/>
      </c>
      <c r="G56" s="82" t="str">
        <f>IF(OR(G$28="",$A56=""),"",(VLOOKUP(G$54,DivideInflow!$K$19:$W$22,7)-IF($A$59&lt;&gt;"",$B$59*$B$25,0))*(G$54))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8" t="e">
        <f t="shared" ref="M56:M58" si="26">C56/C$54</f>
        <v>#VALUE!</v>
      </c>
      <c r="N56" s="143"/>
    </row>
    <row r="57" spans="1:16" x14ac:dyDescent="0.2">
      <c r="A57" t="str">
        <f>IF(A8="","","       To "&amp;A8)</f>
        <v xml:space="preserve">       To Nevada</v>
      </c>
      <c r="B57" s="207">
        <v>3.3000000000000002E-2</v>
      </c>
      <c r="C57" s="82" t="str">
        <f>IF(OR(C$28="",$A57=""),"",VLOOKUP(C$54,DivideInflow!$K$19:$W$22,8)*(C$54))</f>
        <v/>
      </c>
      <c r="D57" s="82" t="str">
        <f>IF(OR(D$28="",$A57=""),"",VLOOKUP(D$54,DivideInflow!$K$18:$W$22,8)*(D$54))</f>
        <v/>
      </c>
      <c r="E57" s="82" t="str">
        <f>IF(OR(E$28="",$A57=""),"",VLOOKUP(E$54,DivideInflow!$K$18:$W$22,8)*(E$54))</f>
        <v/>
      </c>
      <c r="F57" s="82" t="str">
        <f>IF(OR(F$28="",$A57=""),"",VLOOKUP(F$54,DivideInflow!$K$18:$W$22,8)*(F$54))</f>
        <v/>
      </c>
      <c r="G57" s="82" t="str">
        <f>IF(OR(G$28="",$A57=""),"",VLOOKUP(G$54,DivideInflow!$K$18:$W$22,8)*(G$54))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8" t="e">
        <f t="shared" si="26"/>
        <v>#VALUE!</v>
      </c>
      <c r="N57" s="143"/>
    </row>
    <row r="58" spans="1:16" x14ac:dyDescent="0.2">
      <c r="A58" t="str">
        <f>IF(A9="","","       To "&amp;A9)</f>
        <v xml:space="preserve">       To Mexico</v>
      </c>
      <c r="B58" s="207">
        <v>0.16700000000000001</v>
      </c>
      <c r="C58" s="82" t="str">
        <f>IF(OR(C$28="",$A58=""),"",VLOOKUP(C$54,DivideInflow!$K$19:$W$22,10)*(C$54))</f>
        <v/>
      </c>
      <c r="D58" s="82" t="str">
        <f>IF(OR(D$28="",$A58=""),"",VLOOKUP(D$54,DivideInflow!$K$18:$W$22,10)*(D$54))</f>
        <v/>
      </c>
      <c r="E58" s="82" t="str">
        <f>IF(OR(E$28="",$A58=""),"",VLOOKUP(E$54,DivideInflow!$K$18:$W$22,10)*(E$54))</f>
        <v/>
      </c>
      <c r="F58" s="82" t="str">
        <f>IF(OR(F$28="",$A58=""),"",VLOOKUP(F$54,DivideInflow!$K$18:$W$22,10)*(F$54))</f>
        <v/>
      </c>
      <c r="G58" s="82" t="str">
        <f>IF(OR(G$28="",$A58=""),"",VLOOKUP(G$54,DivideInflow!$K$18:$W$22,10)*(G$54))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8" t="e">
        <f t="shared" si="26"/>
        <v>#VALUE!</v>
      </c>
      <c r="N58" s="143"/>
    </row>
    <row r="59" spans="1:16" x14ac:dyDescent="0.2">
      <c r="A59" t="str">
        <f>IF(A10="","","       To "&amp;A10)</f>
        <v xml:space="preserve">       To Tribal Nations of the Lower Basin</v>
      </c>
      <c r="B59" s="207">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8"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8"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2">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253</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248</v>
      </c>
      <c r="H134" s="12" t="str">
        <f t="shared" ref="H134:L134" si="85">IF(H$28&lt;&gt;"",SUM(H128:H133),"")</f>
        <v/>
      </c>
      <c r="I134" s="12" t="str">
        <f t="shared" si="85"/>
        <v/>
      </c>
      <c r="J134" s="12" t="str">
        <f t="shared" si="85"/>
        <v/>
      </c>
      <c r="K134" s="12" t="str">
        <f t="shared" si="85"/>
        <v/>
      </c>
      <c r="L134" s="12" t="str">
        <f t="shared" si="85"/>
        <v/>
      </c>
      <c r="N134" s="141" t="s">
        <v>301</v>
      </c>
    </row>
    <row r="135" spans="1:14" x14ac:dyDescent="0.2">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2">
      <c r="A137" s="125" t="s">
        <v>251</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AM51"/>
  <sheetViews>
    <sheetView tabSelected="1" topLeftCell="A9" zoomScale="125" zoomScaleNormal="170" workbookViewId="0">
      <selection activeCell="B43" sqref="B43:G43"/>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14" customWidth="1"/>
    <col min="27" max="27" width="15.33203125" customWidth="1"/>
    <col min="30" max="30" width="9.83203125" customWidth="1"/>
    <col min="35" max="36" width="10" customWidth="1"/>
  </cols>
  <sheetData>
    <row r="1" spans="1:37" x14ac:dyDescent="0.2">
      <c r="A1" s="1" t="s">
        <v>263</v>
      </c>
    </row>
    <row r="2" spans="1:37" x14ac:dyDescent="0.2">
      <c r="A2" t="s">
        <v>264</v>
      </c>
    </row>
    <row r="3" spans="1:37" x14ac:dyDescent="0.2">
      <c r="A3" t="s">
        <v>213</v>
      </c>
    </row>
    <row r="4" spans="1:37" ht="15" customHeight="1" x14ac:dyDescent="0.2">
      <c r="I4" s="370" t="s">
        <v>423</v>
      </c>
      <c r="J4" s="370"/>
      <c r="K4" s="370"/>
      <c r="L4" s="370"/>
      <c r="M4" s="370"/>
      <c r="N4" s="370"/>
      <c r="O4" s="370"/>
      <c r="P4" s="370"/>
      <c r="Q4" s="370"/>
      <c r="R4" s="370"/>
      <c r="S4" s="370"/>
      <c r="T4" s="370"/>
      <c r="U4" s="370"/>
      <c r="Y4" s="370" t="s">
        <v>424</v>
      </c>
      <c r="Z4" s="370"/>
      <c r="AA4" s="370"/>
      <c r="AB4" s="370"/>
      <c r="AC4" s="370"/>
      <c r="AD4" s="370"/>
      <c r="AE4" s="370"/>
      <c r="AF4" s="370"/>
      <c r="AG4" s="370"/>
      <c r="AH4" s="370"/>
      <c r="AI4" s="370"/>
      <c r="AJ4" s="370"/>
      <c r="AK4" s="370"/>
    </row>
    <row r="5" spans="1:37" ht="31" customHeight="1" x14ac:dyDescent="0.2">
      <c r="B5" s="189" t="s">
        <v>218</v>
      </c>
      <c r="C5" s="189" t="s">
        <v>204</v>
      </c>
      <c r="D5" s="189" t="s">
        <v>205</v>
      </c>
      <c r="E5" s="189" t="s">
        <v>203</v>
      </c>
      <c r="F5" s="189" t="s">
        <v>18</v>
      </c>
      <c r="G5" s="189" t="s">
        <v>25</v>
      </c>
      <c r="I5" s="373" t="s">
        <v>13</v>
      </c>
      <c r="J5" s="373" t="s">
        <v>214</v>
      </c>
      <c r="K5" s="373" t="s">
        <v>215</v>
      </c>
      <c r="L5" s="356" t="s">
        <v>216</v>
      </c>
      <c r="M5" s="357"/>
      <c r="N5" s="357"/>
      <c r="O5" s="357"/>
      <c r="P5" s="358"/>
      <c r="Q5" s="377" t="s">
        <v>217</v>
      </c>
      <c r="R5" s="378"/>
      <c r="S5" s="378"/>
      <c r="T5" s="378"/>
      <c r="U5" s="379"/>
      <c r="Y5" s="371" t="s">
        <v>13</v>
      </c>
      <c r="Z5" s="373" t="s">
        <v>421</v>
      </c>
      <c r="AA5" s="373" t="s">
        <v>422</v>
      </c>
      <c r="AB5" s="374" t="s">
        <v>216</v>
      </c>
      <c r="AC5" s="375"/>
      <c r="AD5" s="375"/>
      <c r="AE5" s="375"/>
      <c r="AF5" s="376"/>
      <c r="AG5" s="377" t="s">
        <v>217</v>
      </c>
      <c r="AH5" s="378"/>
      <c r="AI5" s="378"/>
      <c r="AJ5" s="378"/>
      <c r="AK5" s="379"/>
    </row>
    <row r="6" spans="1:37" s="188" customFormat="1" ht="27.5" customHeight="1" x14ac:dyDescent="0.15">
      <c r="B6" s="356" t="s">
        <v>229</v>
      </c>
      <c r="C6" s="357"/>
      <c r="D6" s="357"/>
      <c r="E6" s="357"/>
      <c r="F6" s="357"/>
      <c r="G6" s="358"/>
      <c r="I6" s="380"/>
      <c r="J6" s="380"/>
      <c r="K6" s="380"/>
      <c r="L6" s="190" t="s">
        <v>219</v>
      </c>
      <c r="M6" s="190" t="s">
        <v>220</v>
      </c>
      <c r="N6" s="190" t="s">
        <v>221</v>
      </c>
      <c r="O6" s="190" t="s">
        <v>222</v>
      </c>
      <c r="P6" s="190" t="s">
        <v>223</v>
      </c>
      <c r="Q6" s="191" t="s">
        <v>224</v>
      </c>
      <c r="R6" s="191" t="s">
        <v>225</v>
      </c>
      <c r="S6" s="191" t="s">
        <v>226</v>
      </c>
      <c r="T6" s="191" t="s">
        <v>227</v>
      </c>
      <c r="U6" s="191" t="s">
        <v>228</v>
      </c>
      <c r="Y6" s="372"/>
      <c r="Z6" s="372"/>
      <c r="AA6" s="372"/>
      <c r="AB6" s="190" t="s">
        <v>219</v>
      </c>
      <c r="AC6" s="190" t="s">
        <v>220</v>
      </c>
      <c r="AD6" s="190" t="s">
        <v>221</v>
      </c>
      <c r="AE6" s="190" t="s">
        <v>222</v>
      </c>
      <c r="AF6" s="190" t="s">
        <v>223</v>
      </c>
      <c r="AG6" s="191" t="s">
        <v>224</v>
      </c>
      <c r="AH6" s="191" t="s">
        <v>225</v>
      </c>
      <c r="AI6" s="191" t="s">
        <v>226</v>
      </c>
      <c r="AJ6" s="191" t="s">
        <v>227</v>
      </c>
      <c r="AK6" s="191" t="s">
        <v>228</v>
      </c>
    </row>
    <row r="7" spans="1:37" s="188" customFormat="1" ht="13" customHeight="1" x14ac:dyDescent="0.15">
      <c r="B7" s="198">
        <v>0</v>
      </c>
      <c r="C7" s="199">
        <v>0</v>
      </c>
      <c r="D7" s="199">
        <v>0</v>
      </c>
      <c r="E7" s="199">
        <v>0</v>
      </c>
      <c r="F7" s="199">
        <v>0</v>
      </c>
      <c r="G7" s="199">
        <f>SUM(C7:F7)</f>
        <v>0</v>
      </c>
      <c r="I7" s="192" t="s">
        <v>410</v>
      </c>
      <c r="J7" s="192">
        <f>B11</f>
        <v>0</v>
      </c>
      <c r="K7" s="193">
        <v>9</v>
      </c>
      <c r="L7" s="194">
        <v>2.8</v>
      </c>
      <c r="M7" s="194">
        <v>0.3</v>
      </c>
      <c r="N7" s="194">
        <v>4.4000000000000004</v>
      </c>
      <c r="O7" s="194">
        <v>1.5</v>
      </c>
      <c r="P7" s="193">
        <f>SUM(L7:O7)</f>
        <v>9</v>
      </c>
      <c r="Q7" s="195">
        <f>L7/$K7</f>
        <v>0.31111111111111112</v>
      </c>
      <c r="R7" s="195">
        <f t="shared" ref="Q7:T11" si="0">M7/$K7</f>
        <v>3.3333333333333333E-2</v>
      </c>
      <c r="S7" s="195">
        <f t="shared" si="0"/>
        <v>0.48888888888888893</v>
      </c>
      <c r="T7" s="195">
        <f t="shared" si="0"/>
        <v>0.16666666666666666</v>
      </c>
      <c r="U7" s="196">
        <f>SUM(Q7:T7)</f>
        <v>1</v>
      </c>
      <c r="Y7" s="280" t="s">
        <v>410</v>
      </c>
      <c r="Z7" s="281">
        <v>0</v>
      </c>
      <c r="AA7" s="281">
        <v>9</v>
      </c>
      <c r="AB7" s="281">
        <f>AG7*AA7</f>
        <v>2.3286999999999995</v>
      </c>
      <c r="AC7" s="281">
        <f>AH7*AA7</f>
        <v>0.30012857142857147</v>
      </c>
      <c r="AD7" s="281">
        <f>AI7*AA7</f>
        <v>4.8713000000000006</v>
      </c>
      <c r="AE7" s="281">
        <f>AJ7*AA7</f>
        <v>1.4998714285714287</v>
      </c>
      <c r="AF7" s="281">
        <f t="shared" ref="AF7:AF16" si="1">SUM(AB7:AE7)</f>
        <v>9</v>
      </c>
      <c r="AG7" s="283">
        <v>0.25874444444444439</v>
      </c>
      <c r="AH7" s="283">
        <v>3.334761904761905E-2</v>
      </c>
      <c r="AI7" s="283">
        <v>0.5412555555555556</v>
      </c>
      <c r="AJ7" s="283">
        <v>0.16665238095238097</v>
      </c>
      <c r="AK7" s="282">
        <v>1</v>
      </c>
    </row>
    <row r="8" spans="1:37" s="197" customFormat="1" ht="14" x14ac:dyDescent="0.15">
      <c r="B8" s="198" t="s">
        <v>231</v>
      </c>
      <c r="C8" s="202">
        <v>0.8</v>
      </c>
      <c r="D8" s="202">
        <v>3.3300000000000003E-2</v>
      </c>
      <c r="E8" s="202">
        <v>0</v>
      </c>
      <c r="F8" s="202">
        <v>0.16669999999999999</v>
      </c>
      <c r="G8" s="202">
        <f t="shared" ref="G8:G9" si="2">SUM(C8:F8)</f>
        <v>1</v>
      </c>
      <c r="I8" s="192" t="s">
        <v>230</v>
      </c>
      <c r="J8" s="192">
        <f>B12</f>
        <v>0.3</v>
      </c>
      <c r="K8" s="200">
        <f>K$7-J8</f>
        <v>8.6999999999999993</v>
      </c>
      <c r="L8" s="201">
        <f t="shared" ref="L8:O11" si="3">L$7-C12</f>
        <v>2.67001</v>
      </c>
      <c r="M8" s="201">
        <f t="shared" si="3"/>
        <v>0.29000999999999999</v>
      </c>
      <c r="N8" s="201">
        <f t="shared" si="3"/>
        <v>4.2899900000000004</v>
      </c>
      <c r="O8" s="201">
        <f t="shared" si="3"/>
        <v>1.4499900000000001</v>
      </c>
      <c r="P8" s="193">
        <f t="shared" ref="P8:P11" si="4">SUM(L8:O8)</f>
        <v>8.7000000000000011</v>
      </c>
      <c r="Q8" s="195">
        <f t="shared" si="0"/>
        <v>0.30689770114942533</v>
      </c>
      <c r="R8" s="195">
        <f t="shared" si="0"/>
        <v>3.3334482758620693E-2</v>
      </c>
      <c r="S8" s="195">
        <f t="shared" si="0"/>
        <v>0.49310229885057483</v>
      </c>
      <c r="T8" s="195">
        <f t="shared" si="0"/>
        <v>0.16666551724137935</v>
      </c>
      <c r="U8" s="196">
        <f t="shared" ref="U8:U11" si="5">SUM(Q8:T8)</f>
        <v>1.0000000000000002</v>
      </c>
      <c r="Y8" s="257" t="s">
        <v>230</v>
      </c>
      <c r="Z8" s="261">
        <v>0.3</v>
      </c>
      <c r="AA8" s="261">
        <v>8.6999999999999993</v>
      </c>
      <c r="AB8" s="281">
        <f t="shared" ref="AB8:AB16" si="6">AG8*AA8</f>
        <v>2.2510766666666662</v>
      </c>
      <c r="AC8" s="281">
        <f t="shared" ref="AC8:AC16" si="7">AH8*AA8</f>
        <v>0.29000999999999999</v>
      </c>
      <c r="AD8" s="281">
        <f t="shared" ref="AD8:AD16" si="8">AI8*AA8</f>
        <v>4.7089233333333329</v>
      </c>
      <c r="AE8" s="281">
        <f t="shared" ref="AE8:AE16" si="9">AJ8*AA8</f>
        <v>1.4499900000000001</v>
      </c>
      <c r="AF8" s="281">
        <f t="shared" si="1"/>
        <v>8.6999999999999993</v>
      </c>
      <c r="AG8" s="283">
        <v>0.25874444444444439</v>
      </c>
      <c r="AH8" s="283">
        <v>3.3334482758620693E-2</v>
      </c>
      <c r="AI8" s="283">
        <v>0.5412555555555556</v>
      </c>
      <c r="AJ8" s="283">
        <v>0.16666551724137935</v>
      </c>
      <c r="AK8" s="282">
        <v>1.0000000000000002</v>
      </c>
    </row>
    <row r="9" spans="1:37" s="197" customFormat="1" ht="14" x14ac:dyDescent="0.15">
      <c r="B9" s="198" t="s">
        <v>233</v>
      </c>
      <c r="C9" s="202">
        <v>0.43330000000000002</v>
      </c>
      <c r="D9" s="202">
        <v>3.3300000000000003E-2</v>
      </c>
      <c r="E9" s="202">
        <v>0.36670000000000003</v>
      </c>
      <c r="F9" s="202">
        <v>0.16669999999999999</v>
      </c>
      <c r="G9" s="202">
        <f t="shared" si="2"/>
        <v>1</v>
      </c>
      <c r="I9" s="192" t="s">
        <v>232</v>
      </c>
      <c r="J9" s="192">
        <f>B13</f>
        <v>0.4</v>
      </c>
      <c r="K9" s="200">
        <f>K$7-J9</f>
        <v>8.6</v>
      </c>
      <c r="L9" s="201">
        <f t="shared" si="3"/>
        <v>2.6266799999999999</v>
      </c>
      <c r="M9" s="201">
        <f t="shared" si="3"/>
        <v>0.28667999999999999</v>
      </c>
      <c r="N9" s="201">
        <f t="shared" si="3"/>
        <v>4.2533200000000004</v>
      </c>
      <c r="O9" s="201">
        <f t="shared" si="3"/>
        <v>1.4333199999999999</v>
      </c>
      <c r="P9" s="193">
        <f t="shared" si="4"/>
        <v>8.6</v>
      </c>
      <c r="Q9" s="195">
        <f t="shared" si="0"/>
        <v>0.30542790697674421</v>
      </c>
      <c r="R9" s="195">
        <f t="shared" si="0"/>
        <v>3.3334883720930235E-2</v>
      </c>
      <c r="S9" s="195">
        <f t="shared" si="0"/>
        <v>0.49457209302325589</v>
      </c>
      <c r="T9" s="195">
        <f t="shared" si="0"/>
        <v>0.16666511627906977</v>
      </c>
      <c r="U9" s="196">
        <f t="shared" si="5"/>
        <v>1</v>
      </c>
      <c r="Y9" s="257" t="s">
        <v>232</v>
      </c>
      <c r="Z9" s="261">
        <v>0.4</v>
      </c>
      <c r="AA9" s="261">
        <v>8.6</v>
      </c>
      <c r="AB9" s="281">
        <f t="shared" si="6"/>
        <v>2.2252022222222219</v>
      </c>
      <c r="AC9" s="281">
        <f t="shared" si="7"/>
        <v>0.28667999999999999</v>
      </c>
      <c r="AD9" s="281">
        <f t="shared" si="8"/>
        <v>4.6547977777777776</v>
      </c>
      <c r="AE9" s="281">
        <f t="shared" si="9"/>
        <v>1.4333199999999999</v>
      </c>
      <c r="AF9" s="281">
        <f t="shared" si="1"/>
        <v>8.6</v>
      </c>
      <c r="AG9" s="283">
        <v>0.25874444444444439</v>
      </c>
      <c r="AH9" s="283">
        <v>3.3334883720930235E-2</v>
      </c>
      <c r="AI9" s="283">
        <v>0.5412555555555556</v>
      </c>
      <c r="AJ9" s="283">
        <v>0.16666511627906977</v>
      </c>
      <c r="AK9" s="282">
        <v>1</v>
      </c>
    </row>
    <row r="10" spans="1:37" s="197" customFormat="1" ht="14" x14ac:dyDescent="0.15">
      <c r="B10" s="359" t="s">
        <v>238</v>
      </c>
      <c r="C10" s="359"/>
      <c r="D10" s="359"/>
      <c r="E10" s="359"/>
      <c r="F10" s="359"/>
      <c r="G10" s="359"/>
      <c r="I10" s="192" t="s">
        <v>234</v>
      </c>
      <c r="J10" s="192">
        <f>B14</f>
        <v>1</v>
      </c>
      <c r="K10" s="200">
        <f>K$7-J10</f>
        <v>8</v>
      </c>
      <c r="L10" s="201">
        <f t="shared" si="3"/>
        <v>2.3666999999999998</v>
      </c>
      <c r="M10" s="201">
        <f t="shared" si="3"/>
        <v>0.26669999999999999</v>
      </c>
      <c r="N10" s="201">
        <f t="shared" si="3"/>
        <v>4.0333000000000006</v>
      </c>
      <c r="O10" s="201">
        <f t="shared" si="3"/>
        <v>1.3332999999999999</v>
      </c>
      <c r="P10" s="193">
        <f t="shared" si="4"/>
        <v>8</v>
      </c>
      <c r="Q10" s="195">
        <f t="shared" si="0"/>
        <v>0.29583749999999998</v>
      </c>
      <c r="R10" s="195">
        <f t="shared" si="0"/>
        <v>3.3337499999999999E-2</v>
      </c>
      <c r="S10" s="195">
        <f t="shared" si="0"/>
        <v>0.50416250000000007</v>
      </c>
      <c r="T10" s="195">
        <f t="shared" si="0"/>
        <v>0.16666249999999999</v>
      </c>
      <c r="U10" s="196">
        <f t="shared" si="5"/>
        <v>1</v>
      </c>
      <c r="Y10" s="257" t="s">
        <v>234</v>
      </c>
      <c r="Z10" s="261">
        <v>1</v>
      </c>
      <c r="AA10" s="261">
        <v>8</v>
      </c>
      <c r="AB10" s="281">
        <f t="shared" si="6"/>
        <v>2.0699555555555551</v>
      </c>
      <c r="AC10" s="281">
        <f t="shared" si="7"/>
        <v>0.26669999999999999</v>
      </c>
      <c r="AD10" s="281">
        <f t="shared" si="8"/>
        <v>4.3300444444444448</v>
      </c>
      <c r="AE10" s="281">
        <f t="shared" si="9"/>
        <v>1.3332999999999999</v>
      </c>
      <c r="AF10" s="281">
        <f t="shared" si="1"/>
        <v>8</v>
      </c>
      <c r="AG10" s="283">
        <v>0.25874444444444439</v>
      </c>
      <c r="AH10" s="283">
        <v>3.3337499999999999E-2</v>
      </c>
      <c r="AI10" s="283">
        <v>0.5412555555555556</v>
      </c>
      <c r="AJ10" s="283">
        <v>0.16666249999999999</v>
      </c>
      <c r="AK10" s="282">
        <v>1</v>
      </c>
    </row>
    <row r="11" spans="1:37" s="197" customFormat="1" ht="14" x14ac:dyDescent="0.15">
      <c r="B11" s="198">
        <v>0</v>
      </c>
      <c r="C11" s="203">
        <v>0</v>
      </c>
      <c r="D11" s="203">
        <v>0</v>
      </c>
      <c r="E11" s="203">
        <v>0</v>
      </c>
      <c r="F11" s="203">
        <v>0</v>
      </c>
      <c r="G11" s="203">
        <f>SUM(C11:F11)</f>
        <v>0</v>
      </c>
      <c r="I11" s="192" t="s">
        <v>237</v>
      </c>
      <c r="J11" s="192">
        <f>B15</f>
        <v>1.5</v>
      </c>
      <c r="K11" s="200">
        <f>K$7-J11</f>
        <v>7.5</v>
      </c>
      <c r="L11" s="201">
        <f t="shared" si="3"/>
        <v>2.1500499999999998</v>
      </c>
      <c r="M11" s="201">
        <f t="shared" si="3"/>
        <v>0.25004999999999999</v>
      </c>
      <c r="N11" s="201">
        <f t="shared" si="3"/>
        <v>3.8499500000000002</v>
      </c>
      <c r="O11" s="201">
        <f t="shared" si="3"/>
        <v>1.2499500000000001</v>
      </c>
      <c r="P11" s="193">
        <f t="shared" si="4"/>
        <v>7.5</v>
      </c>
      <c r="Q11" s="195">
        <f t="shared" si="0"/>
        <v>0.28667333333333328</v>
      </c>
      <c r="R11" s="195">
        <f t="shared" si="0"/>
        <v>3.3340000000000002E-2</v>
      </c>
      <c r="S11" s="195">
        <f t="shared" si="0"/>
        <v>0.51332666666666671</v>
      </c>
      <c r="T11" s="195">
        <f t="shared" si="0"/>
        <v>0.16666</v>
      </c>
      <c r="U11" s="196">
        <f t="shared" si="5"/>
        <v>1</v>
      </c>
      <c r="Y11" s="257" t="s">
        <v>237</v>
      </c>
      <c r="Z11" s="261">
        <v>1.5</v>
      </c>
      <c r="AA11" s="261">
        <v>7.5</v>
      </c>
      <c r="AB11" s="281">
        <f t="shared" si="6"/>
        <v>1.9405833333333329</v>
      </c>
      <c r="AC11" s="281">
        <f t="shared" si="7"/>
        <v>0.25004999999999999</v>
      </c>
      <c r="AD11" s="281">
        <f t="shared" si="8"/>
        <v>4.0594166666666673</v>
      </c>
      <c r="AE11" s="281">
        <f t="shared" si="9"/>
        <v>1.2499500000000001</v>
      </c>
      <c r="AF11" s="281">
        <f t="shared" si="1"/>
        <v>7.5</v>
      </c>
      <c r="AG11" s="283">
        <v>0.25874444444444439</v>
      </c>
      <c r="AH11" s="283">
        <v>3.3340000000000002E-2</v>
      </c>
      <c r="AI11" s="283">
        <v>0.5412555555555556</v>
      </c>
      <c r="AJ11" s="283">
        <v>0.16666</v>
      </c>
      <c r="AK11" s="282">
        <v>1</v>
      </c>
    </row>
    <row r="12" spans="1:37" s="197" customFormat="1" ht="14" x14ac:dyDescent="0.15">
      <c r="B12" s="198">
        <v>0.3</v>
      </c>
      <c r="C12" s="201">
        <f t="shared" ref="C12:F15" si="10">$B12*C$9</f>
        <v>0.12998999999999999</v>
      </c>
      <c r="D12" s="201">
        <f t="shared" si="10"/>
        <v>9.9900000000000006E-3</v>
      </c>
      <c r="E12" s="201">
        <f t="shared" si="10"/>
        <v>0.11001000000000001</v>
      </c>
      <c r="F12" s="201">
        <f t="shared" si="10"/>
        <v>5.0009999999999992E-2</v>
      </c>
      <c r="G12" s="201">
        <f>SUM(C12:F12)</f>
        <v>0.3</v>
      </c>
      <c r="I12" s="192" t="s">
        <v>411</v>
      </c>
      <c r="J12" s="192">
        <v>2.7</v>
      </c>
      <c r="K12" s="200">
        <f>K$7-J12</f>
        <v>6.3</v>
      </c>
      <c r="L12" s="201">
        <f>L11-C9*($K11-$K12)</f>
        <v>1.6300899999999996</v>
      </c>
      <c r="M12" s="201">
        <f>M11-D9*($K11-$K12)</f>
        <v>0.21009</v>
      </c>
      <c r="N12" s="201">
        <f>N11-E9*($K11-$K12)</f>
        <v>3.40991</v>
      </c>
      <c r="O12" s="201">
        <f>O11-F9*($K11-$K12)</f>
        <v>1.0499100000000001</v>
      </c>
      <c r="P12" s="200">
        <f>P11-G9*($K11-$K12)</f>
        <v>6.3</v>
      </c>
      <c r="Q12" s="195">
        <f t="shared" ref="Q12:T15" si="11">L12/$K12</f>
        <v>0.25874444444444439</v>
      </c>
      <c r="R12" s="195">
        <f t="shared" si="11"/>
        <v>3.334761904761905E-2</v>
      </c>
      <c r="S12" s="195">
        <f t="shared" si="11"/>
        <v>0.5412555555555556</v>
      </c>
      <c r="T12" s="195">
        <f t="shared" si="11"/>
        <v>0.16665238095238097</v>
      </c>
      <c r="U12" s="196">
        <f>SUM(Q12:T12)</f>
        <v>1</v>
      </c>
      <c r="Y12" s="257" t="s">
        <v>411</v>
      </c>
      <c r="Z12" s="261">
        <v>2.7</v>
      </c>
      <c r="AA12" s="261">
        <v>6.3</v>
      </c>
      <c r="AB12" s="281">
        <f>AG12*AA12</f>
        <v>1.6300899999999996</v>
      </c>
      <c r="AC12" s="281">
        <f t="shared" si="7"/>
        <v>0.21009</v>
      </c>
      <c r="AD12" s="281">
        <f t="shared" si="8"/>
        <v>3.40991</v>
      </c>
      <c r="AE12" s="281">
        <f t="shared" si="9"/>
        <v>1.0499100000000001</v>
      </c>
      <c r="AF12" s="281">
        <f t="shared" si="1"/>
        <v>6.3000000000000007</v>
      </c>
      <c r="AG12" s="283">
        <v>0.25874444444444439</v>
      </c>
      <c r="AH12" s="283">
        <v>3.334761904761905E-2</v>
      </c>
      <c r="AI12" s="283">
        <v>0.5412555555555556</v>
      </c>
      <c r="AJ12" s="283">
        <v>0.16665238095238097</v>
      </c>
      <c r="AK12" s="282">
        <v>1</v>
      </c>
    </row>
    <row r="13" spans="1:37" s="197" customFormat="1" ht="14" x14ac:dyDescent="0.15">
      <c r="B13" s="198">
        <v>0.4</v>
      </c>
      <c r="C13" s="201">
        <f t="shared" si="10"/>
        <v>0.17332000000000003</v>
      </c>
      <c r="D13" s="201">
        <f t="shared" si="10"/>
        <v>1.3320000000000002E-2</v>
      </c>
      <c r="E13" s="201">
        <f t="shared" si="10"/>
        <v>0.14668</v>
      </c>
      <c r="F13" s="201">
        <f t="shared" si="10"/>
        <v>6.6680000000000003E-2</v>
      </c>
      <c r="G13" s="201">
        <f>SUM(C13:F13)</f>
        <v>0.40000000000000008</v>
      </c>
      <c r="I13" s="192" t="s">
        <v>412</v>
      </c>
      <c r="J13" s="257">
        <f>9-K13</f>
        <v>4</v>
      </c>
      <c r="K13" s="261">
        <v>5</v>
      </c>
      <c r="L13" s="258">
        <f>L11-C9*($K11-$K13)</f>
        <v>1.0667999999999997</v>
      </c>
      <c r="M13" s="258">
        <f>M11-D9*($K11-$K13)</f>
        <v>0.1668</v>
      </c>
      <c r="N13" s="258">
        <f>N11-E9*($K11-$K13)</f>
        <v>2.9332000000000003</v>
      </c>
      <c r="O13" s="258">
        <f>O11-F9*($K11-$K13)</f>
        <v>0.83320000000000016</v>
      </c>
      <c r="P13" s="261">
        <f>P11-G9*($K11-$K13)</f>
        <v>5</v>
      </c>
      <c r="Q13" s="195">
        <f t="shared" si="11"/>
        <v>0.21335999999999994</v>
      </c>
      <c r="R13" s="195">
        <f t="shared" si="11"/>
        <v>3.3360000000000001E-2</v>
      </c>
      <c r="S13" s="195">
        <f t="shared" si="11"/>
        <v>0.58664000000000005</v>
      </c>
      <c r="T13" s="195">
        <f t="shared" si="11"/>
        <v>0.16664000000000004</v>
      </c>
      <c r="U13" s="196">
        <f>SUM(Q13:T13)</f>
        <v>1</v>
      </c>
      <c r="Y13" s="257" t="s">
        <v>412</v>
      </c>
      <c r="Z13" s="261">
        <v>4</v>
      </c>
      <c r="AA13" s="261">
        <v>5</v>
      </c>
      <c r="AB13" s="281">
        <f t="shared" si="6"/>
        <v>1.293722222222222</v>
      </c>
      <c r="AC13" s="281">
        <f t="shared" si="7"/>
        <v>0.1668</v>
      </c>
      <c r="AD13" s="281">
        <f t="shared" si="8"/>
        <v>2.7062777777777782</v>
      </c>
      <c r="AE13" s="281">
        <f t="shared" si="9"/>
        <v>0.83320000000000016</v>
      </c>
      <c r="AF13" s="281">
        <f t="shared" si="1"/>
        <v>5</v>
      </c>
      <c r="AG13" s="283">
        <v>0.25874444444444439</v>
      </c>
      <c r="AH13" s="283">
        <v>3.3360000000000001E-2</v>
      </c>
      <c r="AI13" s="283">
        <v>0.5412555555555556</v>
      </c>
      <c r="AJ13" s="283">
        <v>0.16664000000000004</v>
      </c>
      <c r="AK13" s="282">
        <v>1</v>
      </c>
    </row>
    <row r="14" spans="1:37" s="197" customFormat="1" ht="14" x14ac:dyDescent="0.15">
      <c r="B14" s="198">
        <v>1</v>
      </c>
      <c r="C14" s="201">
        <f t="shared" si="10"/>
        <v>0.43330000000000002</v>
      </c>
      <c r="D14" s="201">
        <f t="shared" si="10"/>
        <v>3.3300000000000003E-2</v>
      </c>
      <c r="E14" s="201">
        <f t="shared" si="10"/>
        <v>0.36670000000000003</v>
      </c>
      <c r="F14" s="201">
        <f t="shared" si="10"/>
        <v>0.16669999999999999</v>
      </c>
      <c r="G14" s="201">
        <f>SUM(C14:F14)</f>
        <v>1</v>
      </c>
      <c r="I14" s="192" t="s">
        <v>413</v>
      </c>
      <c r="J14" s="257">
        <f>9-K14</f>
        <v>4.4000000000000004</v>
      </c>
      <c r="K14" s="257">
        <v>4.5999999999999996</v>
      </c>
      <c r="L14" s="258">
        <f>L11-C9*($K11-$K14)</f>
        <v>0.89347999999999961</v>
      </c>
      <c r="M14" s="258">
        <f>M11-D9*($K11-$K14)</f>
        <v>0.15347999999999998</v>
      </c>
      <c r="N14" s="258">
        <f>N11-E9*($K11-$K14)</f>
        <v>2.7865200000000003</v>
      </c>
      <c r="O14" s="258">
        <f>O11-F9*($K11-$K14)</f>
        <v>0.76652000000000009</v>
      </c>
      <c r="P14" s="261">
        <f>P11-G9*($K11-$K14)</f>
        <v>4.5999999999999996</v>
      </c>
      <c r="Q14" s="195">
        <f t="shared" si="11"/>
        <v>0.19423478260869559</v>
      </c>
      <c r="R14" s="195">
        <f t="shared" si="11"/>
        <v>3.3365217391304346E-2</v>
      </c>
      <c r="S14" s="195">
        <f t="shared" si="11"/>
        <v>0.60576521739130451</v>
      </c>
      <c r="T14" s="195">
        <f t="shared" si="11"/>
        <v>0.16663478260869569</v>
      </c>
      <c r="U14" s="196">
        <f>SUM(Q14:T14)</f>
        <v>1</v>
      </c>
      <c r="Y14" s="257" t="s">
        <v>413</v>
      </c>
      <c r="Z14" s="261">
        <v>4.4000000000000004</v>
      </c>
      <c r="AA14" s="261">
        <v>4.5999999999999996</v>
      </c>
      <c r="AB14" s="281">
        <f t="shared" si="6"/>
        <v>1.1902244444444441</v>
      </c>
      <c r="AC14" s="281">
        <f t="shared" si="7"/>
        <v>0.15347999999999998</v>
      </c>
      <c r="AD14" s="281">
        <f t="shared" si="8"/>
        <v>2.4897755555555556</v>
      </c>
      <c r="AE14" s="281">
        <f t="shared" si="9"/>
        <v>0.76652000000000009</v>
      </c>
      <c r="AF14" s="281">
        <f t="shared" si="1"/>
        <v>4.5999999999999996</v>
      </c>
      <c r="AG14" s="283">
        <v>0.25874444444444439</v>
      </c>
      <c r="AH14" s="283">
        <v>3.3365217391304346E-2</v>
      </c>
      <c r="AI14" s="283">
        <v>0.5412555555555556</v>
      </c>
      <c r="AJ14" s="283">
        <v>0.16663478260869569</v>
      </c>
      <c r="AK14" s="282">
        <v>1</v>
      </c>
    </row>
    <row r="15" spans="1:37" s="197" customFormat="1" ht="14" x14ac:dyDescent="0.15">
      <c r="B15" s="198">
        <v>1.5</v>
      </c>
      <c r="C15" s="201">
        <f t="shared" si="10"/>
        <v>0.64995000000000003</v>
      </c>
      <c r="D15" s="201">
        <f t="shared" si="10"/>
        <v>4.9950000000000008E-2</v>
      </c>
      <c r="E15" s="201">
        <f t="shared" si="10"/>
        <v>0.55005000000000004</v>
      </c>
      <c r="F15" s="201">
        <f t="shared" si="10"/>
        <v>0.25004999999999999</v>
      </c>
      <c r="G15" s="201">
        <f>SUM(C15:F15)</f>
        <v>1.5</v>
      </c>
      <c r="I15" s="192" t="s">
        <v>414</v>
      </c>
      <c r="J15" s="257">
        <f>9-K15</f>
        <v>5.2</v>
      </c>
      <c r="K15" s="257">
        <v>3.8</v>
      </c>
      <c r="L15" s="258">
        <f>L11-C9*($K11-$K15)</f>
        <v>0.54683999999999955</v>
      </c>
      <c r="M15" s="258">
        <f>M11-D9*($K11-$K15)</f>
        <v>0.12683999999999998</v>
      </c>
      <c r="N15" s="258">
        <f>N11-E9*($K11-$K15)</f>
        <v>2.49316</v>
      </c>
      <c r="O15" s="258">
        <f>O11-F9*($K11-$K15)</f>
        <v>0.63316000000000017</v>
      </c>
      <c r="P15" s="261">
        <f>P11-G9*($K11-$K15)</f>
        <v>3.8</v>
      </c>
      <c r="Q15" s="195">
        <f t="shared" si="11"/>
        <v>0.14390526315789462</v>
      </c>
      <c r="R15" s="195">
        <f t="shared" si="11"/>
        <v>3.337894736842105E-2</v>
      </c>
      <c r="S15" s="195">
        <f t="shared" si="11"/>
        <v>0.65609473684210529</v>
      </c>
      <c r="T15" s="195">
        <f t="shared" si="11"/>
        <v>0.166621052631579</v>
      </c>
      <c r="U15" s="196">
        <f>SUM(Q15:T15)</f>
        <v>1</v>
      </c>
      <c r="Y15" s="257" t="s">
        <v>414</v>
      </c>
      <c r="Z15" s="261">
        <v>5.2</v>
      </c>
      <c r="AA15" s="261">
        <v>3.8</v>
      </c>
      <c r="AB15" s="281">
        <f t="shared" si="6"/>
        <v>0.9832288888888886</v>
      </c>
      <c r="AC15" s="281">
        <f t="shared" si="7"/>
        <v>0.12683999999999998</v>
      </c>
      <c r="AD15" s="281">
        <f t="shared" si="8"/>
        <v>2.0567711111111113</v>
      </c>
      <c r="AE15" s="281">
        <f t="shared" si="9"/>
        <v>0.63316000000000017</v>
      </c>
      <c r="AF15" s="281">
        <f t="shared" si="1"/>
        <v>3.8</v>
      </c>
      <c r="AG15" s="283">
        <v>0.25874444444444439</v>
      </c>
      <c r="AH15" s="283">
        <v>3.337894736842105E-2</v>
      </c>
      <c r="AI15" s="283">
        <v>0.5412555555555556</v>
      </c>
      <c r="AJ15" s="283">
        <v>0.166621052631579</v>
      </c>
      <c r="AK15" s="282">
        <v>1</v>
      </c>
    </row>
    <row r="16" spans="1:37" s="197" customFormat="1" ht="14" x14ac:dyDescent="0.15">
      <c r="B16" s="198" t="s">
        <v>235</v>
      </c>
      <c r="C16" s="360" t="s">
        <v>236</v>
      </c>
      <c r="D16" s="361"/>
      <c r="E16" s="361"/>
      <c r="F16" s="361"/>
      <c r="G16" s="362"/>
      <c r="I16" s="192" t="s">
        <v>415</v>
      </c>
      <c r="J16" s="192">
        <v>8</v>
      </c>
      <c r="K16" s="200">
        <f>K$7-J16</f>
        <v>1</v>
      </c>
      <c r="L16" s="201">
        <f>$K16*Q16</f>
        <v>0.25874444444444439</v>
      </c>
      <c r="M16" s="201">
        <f>$K16*R16</f>
        <v>3.334761904761905E-2</v>
      </c>
      <c r="N16" s="201">
        <f>$K16*S16</f>
        <v>0.5412555555555556</v>
      </c>
      <c r="O16" s="201">
        <f>$K16*T16</f>
        <v>0.16665238095238097</v>
      </c>
      <c r="P16" s="200">
        <f>$K16*U16</f>
        <v>1</v>
      </c>
      <c r="Q16" s="195">
        <f>Q12</f>
        <v>0.25874444444444439</v>
      </c>
      <c r="R16" s="195">
        <f>R12</f>
        <v>3.334761904761905E-2</v>
      </c>
      <c r="S16" s="195">
        <f>S12</f>
        <v>0.5412555555555556</v>
      </c>
      <c r="T16" s="195">
        <f>T12</f>
        <v>0.16665238095238097</v>
      </c>
      <c r="U16" s="219">
        <f>U12</f>
        <v>1</v>
      </c>
      <c r="Y16" s="257" t="s">
        <v>415</v>
      </c>
      <c r="Z16" s="261">
        <v>8</v>
      </c>
      <c r="AA16" s="261">
        <v>1</v>
      </c>
      <c r="AB16" s="281">
        <f t="shared" si="6"/>
        <v>0.25874444444444439</v>
      </c>
      <c r="AC16" s="281">
        <f t="shared" si="7"/>
        <v>3.334761904761905E-2</v>
      </c>
      <c r="AD16" s="281">
        <f t="shared" si="8"/>
        <v>0.5412555555555556</v>
      </c>
      <c r="AE16" s="281">
        <f t="shared" si="9"/>
        <v>0.16665238095238097</v>
      </c>
      <c r="AF16" s="281">
        <f t="shared" si="1"/>
        <v>1</v>
      </c>
      <c r="AG16" s="283">
        <v>0.25874444444444439</v>
      </c>
      <c r="AH16" s="283">
        <v>3.334761904761905E-2</v>
      </c>
      <c r="AI16" s="283">
        <v>0.5412555555555556</v>
      </c>
      <c r="AJ16" s="283">
        <v>0.16665238095238097</v>
      </c>
      <c r="AK16" s="282">
        <v>1</v>
      </c>
    </row>
    <row r="17" spans="2:39" s="197" customFormat="1" ht="14" x14ac:dyDescent="0.15"/>
    <row r="18" spans="2:39" s="197" customFormat="1" ht="14" x14ac:dyDescent="0.15">
      <c r="I18" s="204" t="s">
        <v>416</v>
      </c>
    </row>
    <row r="19" spans="2:39" s="197" customFormat="1" ht="14" x14ac:dyDescent="0.15">
      <c r="I19" s="204" t="s">
        <v>417</v>
      </c>
      <c r="J19" s="205"/>
      <c r="K19" s="205"/>
      <c r="L19" s="206"/>
      <c r="M19" s="206"/>
      <c r="N19" s="206"/>
      <c r="O19" s="206"/>
      <c r="P19" s="206"/>
      <c r="Q19" s="208"/>
      <c r="R19" s="208"/>
      <c r="S19" s="208"/>
      <c r="T19" s="208"/>
      <c r="U19" s="208"/>
    </row>
    <row r="20" spans="2:39" s="197" customFormat="1" ht="14" x14ac:dyDescent="0.15">
      <c r="I20" s="204" t="s">
        <v>418</v>
      </c>
      <c r="J20" s="205"/>
      <c r="K20" s="205"/>
      <c r="L20" s="206"/>
      <c r="M20" s="206"/>
      <c r="N20" s="206"/>
      <c r="O20" s="206"/>
      <c r="P20" s="206"/>
      <c r="Q20" s="208"/>
      <c r="R20" s="208"/>
      <c r="S20" s="208"/>
      <c r="T20" s="208"/>
      <c r="U20" s="208"/>
    </row>
    <row r="21" spans="2:39" s="197" customFormat="1" ht="14" x14ac:dyDescent="0.15">
      <c r="J21" s="205"/>
      <c r="K21" s="205"/>
      <c r="L21" s="206"/>
      <c r="M21" s="206"/>
      <c r="N21" s="206"/>
      <c r="O21" s="206"/>
      <c r="P21" s="206"/>
      <c r="Q21" s="259"/>
      <c r="R21" s="259"/>
      <c r="S21" s="259"/>
      <c r="T21" s="259"/>
      <c r="U21" s="260"/>
    </row>
    <row r="22" spans="2:39" s="197" customFormat="1" ht="17" customHeight="1" x14ac:dyDescent="0.15">
      <c r="I22" s="367" t="s">
        <v>425</v>
      </c>
      <c r="J22" s="368"/>
      <c r="K22" s="368"/>
      <c r="L22" s="368"/>
      <c r="M22" s="368"/>
      <c r="N22" s="368"/>
      <c r="O22" s="368"/>
      <c r="P22" s="368"/>
      <c r="Q22" s="368"/>
      <c r="R22" s="368"/>
      <c r="S22" s="368"/>
      <c r="T22" s="368"/>
      <c r="U22" s="368"/>
      <c r="V22" s="368"/>
      <c r="W22" s="369"/>
      <c r="Y22" s="367" t="s">
        <v>435</v>
      </c>
      <c r="Z22" s="368"/>
      <c r="AA22" s="368"/>
      <c r="AB22" s="368"/>
      <c r="AC22" s="368"/>
      <c r="AD22" s="368"/>
      <c r="AE22" s="368"/>
      <c r="AF22" s="368"/>
      <c r="AG22" s="368"/>
      <c r="AH22" s="368"/>
      <c r="AI22" s="368"/>
      <c r="AJ22" s="368"/>
      <c r="AK22" s="368"/>
      <c r="AL22" s="368"/>
      <c r="AM22" s="369"/>
    </row>
    <row r="23" spans="2:39" s="197" customFormat="1" ht="15" customHeight="1" x14ac:dyDescent="0.15">
      <c r="B23" s="285"/>
      <c r="C23" s="266"/>
      <c r="D23" s="266"/>
      <c r="E23" s="266"/>
      <c r="F23" s="266"/>
      <c r="G23" s="266"/>
      <c r="I23" s="373" t="s">
        <v>13</v>
      </c>
      <c r="J23" s="373" t="s">
        <v>214</v>
      </c>
      <c r="K23" s="373" t="s">
        <v>215</v>
      </c>
      <c r="L23" s="356" t="s">
        <v>216</v>
      </c>
      <c r="M23" s="357"/>
      <c r="N23" s="357"/>
      <c r="O23" s="357"/>
      <c r="P23" s="357"/>
      <c r="Q23" s="358"/>
      <c r="R23" s="377" t="s">
        <v>217</v>
      </c>
      <c r="S23" s="378"/>
      <c r="T23" s="378"/>
      <c r="U23" s="378"/>
      <c r="V23" s="378"/>
      <c r="W23" s="379"/>
      <c r="Y23" s="371" t="s">
        <v>13</v>
      </c>
      <c r="Z23" s="373" t="s">
        <v>426</v>
      </c>
      <c r="AA23" s="373" t="s">
        <v>422</v>
      </c>
      <c r="AB23" s="374" t="s">
        <v>216</v>
      </c>
      <c r="AC23" s="375"/>
      <c r="AD23" s="375"/>
      <c r="AE23" s="375"/>
      <c r="AF23" s="375"/>
      <c r="AG23" s="376"/>
      <c r="AH23" s="377" t="s">
        <v>217</v>
      </c>
      <c r="AI23" s="378"/>
      <c r="AJ23" s="378"/>
      <c r="AK23" s="378"/>
      <c r="AL23" s="378"/>
      <c r="AM23" s="379"/>
    </row>
    <row r="24" spans="2:39" s="197" customFormat="1" ht="44" customHeight="1" x14ac:dyDescent="0.15">
      <c r="B24" s="265"/>
      <c r="C24" s="266"/>
      <c r="D24" s="266"/>
      <c r="E24" s="266"/>
      <c r="F24" s="266"/>
      <c r="G24" s="266"/>
      <c r="I24" s="380"/>
      <c r="J24" s="380"/>
      <c r="K24" s="380"/>
      <c r="L24" s="190" t="s">
        <v>219</v>
      </c>
      <c r="M24" s="190" t="s">
        <v>220</v>
      </c>
      <c r="N24" s="190" t="s">
        <v>221</v>
      </c>
      <c r="O24" s="190" t="s">
        <v>419</v>
      </c>
      <c r="P24" s="190" t="s">
        <v>420</v>
      </c>
      <c r="Q24" s="190" t="s">
        <v>223</v>
      </c>
      <c r="R24" s="191" t="s">
        <v>224</v>
      </c>
      <c r="S24" s="191" t="s">
        <v>225</v>
      </c>
      <c r="T24" s="191" t="s">
        <v>226</v>
      </c>
      <c r="U24" s="191" t="s">
        <v>227</v>
      </c>
      <c r="V24" s="191" t="s">
        <v>420</v>
      </c>
      <c r="W24" s="191" t="s">
        <v>228</v>
      </c>
      <c r="Y24" s="372"/>
      <c r="Z24" s="372"/>
      <c r="AA24" s="372"/>
      <c r="AB24" s="190" t="s">
        <v>427</v>
      </c>
      <c r="AC24" s="190" t="s">
        <v>428</v>
      </c>
      <c r="AD24" s="190" t="s">
        <v>429</v>
      </c>
      <c r="AE24" s="190" t="s">
        <v>419</v>
      </c>
      <c r="AF24" s="190" t="s">
        <v>420</v>
      </c>
      <c r="AG24" s="284" t="s">
        <v>223</v>
      </c>
      <c r="AH24" s="191" t="s">
        <v>430</v>
      </c>
      <c r="AI24" s="191" t="s">
        <v>431</v>
      </c>
      <c r="AJ24" s="191" t="s">
        <v>432</v>
      </c>
      <c r="AK24" s="191" t="s">
        <v>433</v>
      </c>
      <c r="AL24" s="191" t="s">
        <v>420</v>
      </c>
      <c r="AM24" s="268" t="s">
        <v>228</v>
      </c>
    </row>
    <row r="25" spans="2:39" s="197" customFormat="1" ht="14" customHeight="1" x14ac:dyDescent="0.15">
      <c r="I25" s="257" t="s">
        <v>410</v>
      </c>
      <c r="J25" s="257">
        <v>0</v>
      </c>
      <c r="K25" s="261">
        <v>9</v>
      </c>
      <c r="L25" s="258">
        <f t="shared" ref="L25:L34" si="12">L7-(P25*0.824)</f>
        <v>2.0153954399999998</v>
      </c>
      <c r="M25" s="258">
        <v>0.3</v>
      </c>
      <c r="N25" s="258">
        <f t="shared" ref="N25:N34" si="13">N7-(P25*0.164)</f>
        <v>4.2438408400000007</v>
      </c>
      <c r="O25" s="258">
        <v>1.5</v>
      </c>
      <c r="P25" s="201">
        <f>TribalWater!G$8/1000000</f>
        <v>0.95218999999999998</v>
      </c>
      <c r="Q25" s="261">
        <f>SUM(L25:P25)</f>
        <v>9.0114262800000002</v>
      </c>
      <c r="R25" s="262">
        <f>L25/K25</f>
        <v>0.22393282666666664</v>
      </c>
      <c r="S25" s="262">
        <f>M25/K25</f>
        <v>3.3333333333333333E-2</v>
      </c>
      <c r="T25" s="262">
        <f>N25/K25</f>
        <v>0.47153787111111117</v>
      </c>
      <c r="U25" s="262">
        <f>O25/K25</f>
        <v>0.16666666666666666</v>
      </c>
      <c r="V25" s="263">
        <f>P25/K25</f>
        <v>0.10579888888888889</v>
      </c>
      <c r="W25" s="264">
        <f>SUM(R25:V25)</f>
        <v>1.0012695866666665</v>
      </c>
      <c r="Y25" s="257" t="s">
        <v>410</v>
      </c>
      <c r="Z25" s="261">
        <v>0</v>
      </c>
      <c r="AA25" s="261">
        <v>9</v>
      </c>
      <c r="AB25" s="258">
        <f>AH25*AA25</f>
        <v>1.2078363428571426</v>
      </c>
      <c r="AC25" s="258">
        <f>AI25*AA25</f>
        <v>0.30012857142857147</v>
      </c>
      <c r="AD25" s="258">
        <f>AJ25*AA25</f>
        <v>4.6482154857142852</v>
      </c>
      <c r="AE25" s="258">
        <f>AK25*AA25</f>
        <v>1.4998714285714287</v>
      </c>
      <c r="AF25" s="258">
        <f>AL25*AA25</f>
        <v>1.3602714285714286</v>
      </c>
      <c r="AG25" s="261">
        <f>SUM(AB25:AF25)</f>
        <v>9.0163232571428562</v>
      </c>
      <c r="AH25" s="283">
        <v>0.13420403809523807</v>
      </c>
      <c r="AI25" s="283">
        <v>3.334761904761905E-2</v>
      </c>
      <c r="AJ25" s="283">
        <v>0.51646838730158728</v>
      </c>
      <c r="AK25" s="283">
        <v>0.16665238095238097</v>
      </c>
      <c r="AL25" s="283">
        <v>0.15114126984126985</v>
      </c>
      <c r="AM25" s="282">
        <v>1.0018136952380954</v>
      </c>
    </row>
    <row r="26" spans="2:39" s="197" customFormat="1" ht="14" x14ac:dyDescent="0.15">
      <c r="C26" s="267"/>
      <c r="D26" s="267"/>
      <c r="E26" s="267"/>
      <c r="F26" s="267"/>
      <c r="G26" s="267"/>
      <c r="I26" s="257" t="s">
        <v>230</v>
      </c>
      <c r="J26" s="257">
        <v>0.3</v>
      </c>
      <c r="K26" s="261">
        <v>8.6999999999999993</v>
      </c>
      <c r="L26" s="258">
        <f t="shared" si="12"/>
        <v>1.88540544</v>
      </c>
      <c r="M26" s="258">
        <v>0.29000999999999999</v>
      </c>
      <c r="N26" s="258">
        <f t="shared" si="13"/>
        <v>4.1338308400000008</v>
      </c>
      <c r="O26" s="258">
        <v>1.4499900000000001</v>
      </c>
      <c r="P26" s="201">
        <f>TribalWater!G$8/1000000</f>
        <v>0.95218999999999998</v>
      </c>
      <c r="Q26" s="261">
        <f t="shared" ref="Q26:Q34" si="14">SUM(L26:P26)</f>
        <v>8.7114262800000013</v>
      </c>
      <c r="R26" s="262">
        <f t="shared" ref="R26:R34" si="15">L26/K26</f>
        <v>0.21671326896551726</v>
      </c>
      <c r="S26" s="262">
        <f t="shared" ref="S26:S34" si="16">M26/K26</f>
        <v>3.3334482758620693E-2</v>
      </c>
      <c r="T26" s="262">
        <f t="shared" ref="T26:T34" si="17">N26/K26</f>
        <v>0.47515297011494267</v>
      </c>
      <c r="U26" s="262">
        <f t="shared" ref="U26:U33" si="18">O26/K26</f>
        <v>0.16666551724137935</v>
      </c>
      <c r="V26" s="263">
        <f t="shared" ref="V26:V34" si="19">P26/K26</f>
        <v>0.10944712643678162</v>
      </c>
      <c r="W26" s="264">
        <f t="shared" ref="W26:W34" si="20">SUM(R26:V26)</f>
        <v>1.0013133655172415</v>
      </c>
      <c r="Y26" s="257" t="s">
        <v>230</v>
      </c>
      <c r="Z26" s="261">
        <v>0.3</v>
      </c>
      <c r="AA26" s="261">
        <v>8.6999999999999993</v>
      </c>
      <c r="AB26" s="258">
        <f>AH26*AA26</f>
        <v>1.1675751314285712</v>
      </c>
      <c r="AC26" s="258">
        <f t="shared" ref="AC26:AC34" si="21">AI26*AA26</f>
        <v>0.29012428571428572</v>
      </c>
      <c r="AD26" s="258">
        <f t="shared" ref="AD26:AD34" si="22">AJ26*AA26</f>
        <v>4.4932749695238092</v>
      </c>
      <c r="AE26" s="258">
        <f t="shared" ref="AE26:AE34" si="23">AK26*AA26</f>
        <v>1.4498757142857144</v>
      </c>
      <c r="AF26" s="258">
        <f t="shared" ref="AF26:AF34" si="24">AL26*AA26</f>
        <v>1.3149290476190476</v>
      </c>
      <c r="AG26" s="261">
        <f t="shared" ref="AG26:AG34" si="25">SUM(AB26:AF26)</f>
        <v>8.7157791485714284</v>
      </c>
      <c r="AH26" s="283">
        <v>0.13420403809523807</v>
      </c>
      <c r="AI26" s="283">
        <v>3.334761904761905E-2</v>
      </c>
      <c r="AJ26" s="283">
        <v>0.51646838730158728</v>
      </c>
      <c r="AK26" s="283">
        <v>0.16665238095238097</v>
      </c>
      <c r="AL26" s="283">
        <v>0.15114126984126985</v>
      </c>
      <c r="AM26" s="282">
        <v>1.0018136952380954</v>
      </c>
    </row>
    <row r="27" spans="2:39" s="197" customFormat="1" ht="14" x14ac:dyDescent="0.15">
      <c r="C27" s="267"/>
      <c r="D27" s="267"/>
      <c r="E27" s="267"/>
      <c r="F27" s="267"/>
      <c r="G27" s="267"/>
      <c r="I27" s="257" t="s">
        <v>232</v>
      </c>
      <c r="J27" s="257">
        <v>0.4</v>
      </c>
      <c r="K27" s="261">
        <v>8.6</v>
      </c>
      <c r="L27" s="258">
        <f t="shared" si="12"/>
        <v>1.8420754399999999</v>
      </c>
      <c r="M27" s="258">
        <v>0.28667999999999999</v>
      </c>
      <c r="N27" s="258">
        <f t="shared" si="13"/>
        <v>4.0971608400000008</v>
      </c>
      <c r="O27" s="258">
        <v>1.4333199999999999</v>
      </c>
      <c r="P27" s="201">
        <f>TribalWater!G$8/1000000</f>
        <v>0.95218999999999998</v>
      </c>
      <c r="Q27" s="261">
        <f t="shared" si="14"/>
        <v>8.6114262800000017</v>
      </c>
      <c r="R27" s="262">
        <f t="shared" si="15"/>
        <v>0.21419481860465117</v>
      </c>
      <c r="S27" s="262">
        <f t="shared" si="16"/>
        <v>3.3334883720930235E-2</v>
      </c>
      <c r="T27" s="262">
        <f t="shared" si="17"/>
        <v>0.47641405116279079</v>
      </c>
      <c r="U27" s="262">
        <f t="shared" si="18"/>
        <v>0.16666511627906977</v>
      </c>
      <c r="V27" s="263">
        <f t="shared" si="19"/>
        <v>0.11071976744186046</v>
      </c>
      <c r="W27" s="264">
        <f t="shared" si="20"/>
        <v>1.0013286372093024</v>
      </c>
      <c r="Y27" s="257" t="s">
        <v>232</v>
      </c>
      <c r="Z27" s="261">
        <v>0.4</v>
      </c>
      <c r="AA27" s="261">
        <v>8.6</v>
      </c>
      <c r="AB27" s="258">
        <f>AH27*AA27</f>
        <v>1.1541547276190474</v>
      </c>
      <c r="AC27" s="258">
        <f t="shared" si="21"/>
        <v>0.28678952380952383</v>
      </c>
      <c r="AD27" s="258">
        <f t="shared" si="22"/>
        <v>4.4416281307936503</v>
      </c>
      <c r="AE27" s="258">
        <f t="shared" si="23"/>
        <v>1.4332104761904763</v>
      </c>
      <c r="AF27" s="258">
        <f t="shared" si="24"/>
        <v>1.2998149206349208</v>
      </c>
      <c r="AG27" s="261">
        <f t="shared" si="25"/>
        <v>8.6155977790476186</v>
      </c>
      <c r="AH27" s="283">
        <v>0.13420403809523807</v>
      </c>
      <c r="AI27" s="283">
        <v>3.334761904761905E-2</v>
      </c>
      <c r="AJ27" s="283">
        <v>0.51646838730158728</v>
      </c>
      <c r="AK27" s="283">
        <v>0.16665238095238097</v>
      </c>
      <c r="AL27" s="283">
        <v>0.15114126984126985</v>
      </c>
      <c r="AM27" s="282">
        <v>1.0018136952380954</v>
      </c>
    </row>
    <row r="28" spans="2:39" s="197" customFormat="1" ht="14" x14ac:dyDescent="0.15">
      <c r="I28" s="257" t="s">
        <v>234</v>
      </c>
      <c r="J28" s="257">
        <v>1</v>
      </c>
      <c r="K28" s="261">
        <v>8</v>
      </c>
      <c r="L28" s="258">
        <f t="shared" si="12"/>
        <v>1.5820954399999998</v>
      </c>
      <c r="M28" s="258">
        <v>0.26669999999999999</v>
      </c>
      <c r="N28" s="258">
        <f t="shared" si="13"/>
        <v>3.8771408400000005</v>
      </c>
      <c r="O28" s="258">
        <v>1.3332999999999999</v>
      </c>
      <c r="P28" s="201">
        <f>TribalWater!G$8/1000000</f>
        <v>0.95218999999999998</v>
      </c>
      <c r="Q28" s="261">
        <f t="shared" si="14"/>
        <v>8.0114262800000002</v>
      </c>
      <c r="R28" s="262">
        <f t="shared" si="15"/>
        <v>0.19776192999999997</v>
      </c>
      <c r="S28" s="262">
        <f t="shared" si="16"/>
        <v>3.3337499999999999E-2</v>
      </c>
      <c r="T28" s="262">
        <f t="shared" si="17"/>
        <v>0.48464260500000006</v>
      </c>
      <c r="U28" s="262">
        <f t="shared" si="18"/>
        <v>0.16666249999999999</v>
      </c>
      <c r="V28" s="263">
        <f t="shared" si="19"/>
        <v>0.11902375</v>
      </c>
      <c r="W28" s="264">
        <f t="shared" si="20"/>
        <v>1.001428285</v>
      </c>
      <c r="Y28" s="257" t="s">
        <v>234</v>
      </c>
      <c r="Z28" s="261">
        <v>1</v>
      </c>
      <c r="AA28" s="261">
        <v>8</v>
      </c>
      <c r="AB28" s="258">
        <f>AH28*AA28</f>
        <v>1.0736323047619045</v>
      </c>
      <c r="AC28" s="258">
        <f t="shared" si="21"/>
        <v>0.2667809523809524</v>
      </c>
      <c r="AD28" s="258">
        <f t="shared" si="22"/>
        <v>4.1317470984126983</v>
      </c>
      <c r="AE28" s="258">
        <f t="shared" si="23"/>
        <v>1.3332190476190477</v>
      </c>
      <c r="AF28" s="258">
        <f t="shared" si="24"/>
        <v>1.2091301587301588</v>
      </c>
      <c r="AG28" s="261">
        <f t="shared" si="25"/>
        <v>8.014509561904763</v>
      </c>
      <c r="AH28" s="283">
        <v>0.13420403809523807</v>
      </c>
      <c r="AI28" s="283">
        <v>3.334761904761905E-2</v>
      </c>
      <c r="AJ28" s="283">
        <v>0.51646838730158728</v>
      </c>
      <c r="AK28" s="283">
        <v>0.16665238095238097</v>
      </c>
      <c r="AL28" s="283">
        <v>0.15114126984126985</v>
      </c>
      <c r="AM28" s="282">
        <v>1.0018136952380954</v>
      </c>
    </row>
    <row r="29" spans="2:39" s="197" customFormat="1" ht="14" x14ac:dyDescent="0.15">
      <c r="C29" s="267"/>
      <c r="D29" s="267"/>
      <c r="E29" s="267"/>
      <c r="F29" s="267"/>
      <c r="G29" s="267"/>
      <c r="I29" s="257" t="s">
        <v>237</v>
      </c>
      <c r="J29" s="257">
        <v>1.5</v>
      </c>
      <c r="K29" s="261">
        <v>7.5</v>
      </c>
      <c r="L29" s="258">
        <f t="shared" si="12"/>
        <v>1.3654454399999998</v>
      </c>
      <c r="M29" s="258">
        <v>0.25004999999999999</v>
      </c>
      <c r="N29" s="258">
        <f t="shared" si="13"/>
        <v>3.6937908400000001</v>
      </c>
      <c r="O29" s="258">
        <v>1.2499500000000001</v>
      </c>
      <c r="P29" s="201">
        <f>TribalWater!G$8/1000000</f>
        <v>0.95218999999999998</v>
      </c>
      <c r="Q29" s="261">
        <f t="shared" si="14"/>
        <v>7.5114262800000002</v>
      </c>
      <c r="R29" s="262">
        <f t="shared" si="15"/>
        <v>0.18205939199999996</v>
      </c>
      <c r="S29" s="262">
        <f t="shared" si="16"/>
        <v>3.3340000000000002E-2</v>
      </c>
      <c r="T29" s="262">
        <f t="shared" si="17"/>
        <v>0.49250544533333335</v>
      </c>
      <c r="U29" s="262">
        <f t="shared" si="18"/>
        <v>0.16666</v>
      </c>
      <c r="V29" s="263">
        <f t="shared" si="19"/>
        <v>0.12695866666666666</v>
      </c>
      <c r="W29" s="264">
        <f t="shared" si="20"/>
        <v>1.0015235040000001</v>
      </c>
      <c r="Y29" s="257" t="s">
        <v>237</v>
      </c>
      <c r="Z29" s="261">
        <v>1.5</v>
      </c>
      <c r="AA29" s="261">
        <v>7.5</v>
      </c>
      <c r="AB29" s="258">
        <f t="shared" ref="AB29:AB34" si="26">AH29*AA29</f>
        <v>1.0065302857142855</v>
      </c>
      <c r="AC29" s="258">
        <f t="shared" si="21"/>
        <v>0.25010714285714286</v>
      </c>
      <c r="AD29" s="258">
        <f t="shared" si="22"/>
        <v>3.8735129047619048</v>
      </c>
      <c r="AE29" s="258">
        <f t="shared" si="23"/>
        <v>1.2498928571428574</v>
      </c>
      <c r="AF29" s="258">
        <f t="shared" si="24"/>
        <v>1.133559523809524</v>
      </c>
      <c r="AG29" s="261">
        <f t="shared" si="25"/>
        <v>7.5136027142857138</v>
      </c>
      <c r="AH29" s="283">
        <v>0.13420403809523807</v>
      </c>
      <c r="AI29" s="283">
        <v>3.334761904761905E-2</v>
      </c>
      <c r="AJ29" s="283">
        <v>0.51646838730158728</v>
      </c>
      <c r="AK29" s="283">
        <v>0.16665238095238097</v>
      </c>
      <c r="AL29" s="283">
        <v>0.15114126984126985</v>
      </c>
      <c r="AM29" s="282">
        <v>1.0018136952380954</v>
      </c>
    </row>
    <row r="30" spans="2:39" s="197" customFormat="1" ht="14" x14ac:dyDescent="0.15">
      <c r="C30" s="267"/>
      <c r="D30" s="267"/>
      <c r="E30" s="267"/>
      <c r="F30" s="267"/>
      <c r="G30" s="267"/>
      <c r="I30" s="257" t="s">
        <v>411</v>
      </c>
      <c r="J30" s="257">
        <v>2.7</v>
      </c>
      <c r="K30" s="261">
        <v>6.3</v>
      </c>
      <c r="L30" s="258">
        <f t="shared" si="12"/>
        <v>0.8454854399999997</v>
      </c>
      <c r="M30" s="258">
        <v>0.21009</v>
      </c>
      <c r="N30" s="258">
        <f t="shared" si="13"/>
        <v>3.2537508399999999</v>
      </c>
      <c r="O30" s="258">
        <v>1.0499100000000001</v>
      </c>
      <c r="P30" s="201">
        <f>TribalWater!G$8/1000000</f>
        <v>0.95218999999999998</v>
      </c>
      <c r="Q30" s="261">
        <f t="shared" si="14"/>
        <v>6.3114262799999992</v>
      </c>
      <c r="R30" s="262">
        <f t="shared" si="15"/>
        <v>0.13420403809523807</v>
      </c>
      <c r="S30" s="262">
        <f t="shared" si="16"/>
        <v>3.334761904761905E-2</v>
      </c>
      <c r="T30" s="262">
        <f t="shared" si="17"/>
        <v>0.51646838730158728</v>
      </c>
      <c r="U30" s="262">
        <f t="shared" si="18"/>
        <v>0.16665238095238097</v>
      </c>
      <c r="V30" s="263">
        <f t="shared" si="19"/>
        <v>0.15114126984126985</v>
      </c>
      <c r="W30" s="264">
        <f t="shared" si="20"/>
        <v>1.0018136952380954</v>
      </c>
      <c r="Y30" s="257" t="s">
        <v>411</v>
      </c>
      <c r="Z30" s="261">
        <v>2.7</v>
      </c>
      <c r="AA30" s="261">
        <v>6.3</v>
      </c>
      <c r="AB30" s="258">
        <f t="shared" si="26"/>
        <v>0.84548543999999981</v>
      </c>
      <c r="AC30" s="258">
        <f t="shared" si="21"/>
        <v>0.21009</v>
      </c>
      <c r="AD30" s="258">
        <f t="shared" si="22"/>
        <v>3.2537508399999999</v>
      </c>
      <c r="AE30" s="258">
        <f t="shared" si="23"/>
        <v>1.0499100000000001</v>
      </c>
      <c r="AF30" s="258">
        <f t="shared" si="24"/>
        <v>0.95219000000000009</v>
      </c>
      <c r="AG30" s="261">
        <f t="shared" si="25"/>
        <v>6.3114262799999992</v>
      </c>
      <c r="AH30" s="283">
        <v>0.13420403809523807</v>
      </c>
      <c r="AI30" s="283">
        <v>3.334761904761905E-2</v>
      </c>
      <c r="AJ30" s="283">
        <v>0.51646838730158728</v>
      </c>
      <c r="AK30" s="283">
        <v>0.16665238095238097</v>
      </c>
      <c r="AL30" s="283">
        <v>0.15114126984126985</v>
      </c>
      <c r="AM30" s="282">
        <v>1.0018136952380954</v>
      </c>
    </row>
    <row r="31" spans="2:39" s="197" customFormat="1" ht="14" x14ac:dyDescent="0.15">
      <c r="C31" s="267"/>
      <c r="D31" s="267"/>
      <c r="E31" s="267"/>
      <c r="F31" s="267"/>
      <c r="G31" s="267"/>
      <c r="I31" s="257" t="s">
        <v>412</v>
      </c>
      <c r="J31" s="257">
        <v>4</v>
      </c>
      <c r="K31" s="261">
        <v>5</v>
      </c>
      <c r="L31" s="258">
        <f t="shared" si="12"/>
        <v>0.28219543999999985</v>
      </c>
      <c r="M31" s="258">
        <v>0.1668</v>
      </c>
      <c r="N31" s="258">
        <f t="shared" si="13"/>
        <v>2.7770408400000002</v>
      </c>
      <c r="O31" s="258">
        <v>0.83320000000000016</v>
      </c>
      <c r="P31" s="201">
        <f>TribalWater!G$8/1000000</f>
        <v>0.95218999999999998</v>
      </c>
      <c r="Q31" s="261">
        <f t="shared" si="14"/>
        <v>5.0114262800000002</v>
      </c>
      <c r="R31" s="262">
        <f t="shared" si="15"/>
        <v>5.6439087999999971E-2</v>
      </c>
      <c r="S31" s="262">
        <f t="shared" si="16"/>
        <v>3.3360000000000001E-2</v>
      </c>
      <c r="T31" s="262">
        <f t="shared" si="17"/>
        <v>0.55540816800000004</v>
      </c>
      <c r="U31" s="262">
        <f t="shared" si="18"/>
        <v>0.16664000000000004</v>
      </c>
      <c r="V31" s="263">
        <f t="shared" si="19"/>
        <v>0.190438</v>
      </c>
      <c r="W31" s="264">
        <f t="shared" si="20"/>
        <v>1.002285256</v>
      </c>
      <c r="Y31" s="257" t="s">
        <v>412</v>
      </c>
      <c r="Z31" s="261">
        <v>4</v>
      </c>
      <c r="AA31" s="261">
        <v>5</v>
      </c>
      <c r="AB31" s="258">
        <f>AH31*AA31</f>
        <v>0.67102019047619033</v>
      </c>
      <c r="AC31" s="258">
        <f t="shared" si="21"/>
        <v>0.16673809523809524</v>
      </c>
      <c r="AD31" s="258">
        <f t="shared" si="22"/>
        <v>2.5823419365079365</v>
      </c>
      <c r="AE31" s="258">
        <f t="shared" si="23"/>
        <v>0.83326190476190487</v>
      </c>
      <c r="AF31" s="258">
        <f t="shared" si="24"/>
        <v>0.75570634920634927</v>
      </c>
      <c r="AG31" s="261">
        <f t="shared" si="25"/>
        <v>5.0090684761904765</v>
      </c>
      <c r="AH31" s="283">
        <v>0.13420403809523807</v>
      </c>
      <c r="AI31" s="283">
        <v>3.334761904761905E-2</v>
      </c>
      <c r="AJ31" s="283">
        <v>0.51646838730158728</v>
      </c>
      <c r="AK31" s="283">
        <v>0.16665238095238097</v>
      </c>
      <c r="AL31" s="283">
        <v>0.15114126984126985</v>
      </c>
      <c r="AM31" s="282">
        <v>1.0018136952380954</v>
      </c>
    </row>
    <row r="32" spans="2:39" s="197" customFormat="1" ht="14" x14ac:dyDescent="0.15">
      <c r="C32" s="267"/>
      <c r="D32" s="267"/>
      <c r="E32" s="267"/>
      <c r="F32" s="267"/>
      <c r="G32" s="267"/>
      <c r="I32" s="257" t="s">
        <v>413</v>
      </c>
      <c r="J32" s="257">
        <v>4.4000000000000004</v>
      </c>
      <c r="K32" s="261">
        <v>4.5999999999999996</v>
      </c>
      <c r="L32" s="258">
        <f t="shared" si="12"/>
        <v>0.10887543999999971</v>
      </c>
      <c r="M32" s="258">
        <v>0.15347999999999998</v>
      </c>
      <c r="N32" s="258">
        <f t="shared" si="13"/>
        <v>2.6303608400000003</v>
      </c>
      <c r="O32" s="258">
        <v>0.76652000000000009</v>
      </c>
      <c r="P32" s="201">
        <f>TribalWater!G$8/1000000</f>
        <v>0.95218999999999998</v>
      </c>
      <c r="Q32" s="261">
        <f t="shared" si="14"/>
        <v>4.6114262799999999</v>
      </c>
      <c r="R32" s="262">
        <f t="shared" si="15"/>
        <v>2.3668573913043417E-2</v>
      </c>
      <c r="S32" s="262">
        <f t="shared" si="16"/>
        <v>3.3365217391304346E-2</v>
      </c>
      <c r="T32" s="262">
        <f t="shared" si="17"/>
        <v>0.57181757391304355</v>
      </c>
      <c r="U32" s="262">
        <f t="shared" si="18"/>
        <v>0.16663478260869569</v>
      </c>
      <c r="V32" s="263">
        <f t="shared" si="19"/>
        <v>0.20699782608695652</v>
      </c>
      <c r="W32" s="264">
        <f t="shared" si="20"/>
        <v>1.0024839739130436</v>
      </c>
      <c r="Y32" s="257" t="s">
        <v>413</v>
      </c>
      <c r="Z32" s="261">
        <v>4.4000000000000004</v>
      </c>
      <c r="AA32" s="261">
        <v>4.5999999999999996</v>
      </c>
      <c r="AB32" s="258">
        <f t="shared" si="26"/>
        <v>0.6173385752380951</v>
      </c>
      <c r="AC32" s="258">
        <f t="shared" si="21"/>
        <v>0.15339904761904763</v>
      </c>
      <c r="AD32" s="258">
        <f t="shared" si="22"/>
        <v>2.3757545815873011</v>
      </c>
      <c r="AE32" s="258">
        <f t="shared" si="23"/>
        <v>0.76660095238095238</v>
      </c>
      <c r="AF32" s="258">
        <f t="shared" si="24"/>
        <v>0.69524984126984124</v>
      </c>
      <c r="AG32" s="261">
        <f t="shared" si="25"/>
        <v>4.6083429980952371</v>
      </c>
      <c r="AH32" s="283">
        <v>0.13420403809523807</v>
      </c>
      <c r="AI32" s="283">
        <v>3.334761904761905E-2</v>
      </c>
      <c r="AJ32" s="283">
        <v>0.51646838730158728</v>
      </c>
      <c r="AK32" s="283">
        <v>0.16665238095238097</v>
      </c>
      <c r="AL32" s="283">
        <v>0.15114126984126985</v>
      </c>
      <c r="AM32" s="282">
        <v>1.0018136952380954</v>
      </c>
    </row>
    <row r="33" spans="1:39" x14ac:dyDescent="0.2">
      <c r="I33" s="257" t="s">
        <v>414</v>
      </c>
      <c r="J33" s="257">
        <v>5.2</v>
      </c>
      <c r="K33" s="261">
        <v>3.8</v>
      </c>
      <c r="L33" s="258">
        <f t="shared" si="12"/>
        <v>-0.23776456000000035</v>
      </c>
      <c r="M33" s="258">
        <v>0.12683999999999998</v>
      </c>
      <c r="N33" s="258">
        <f t="shared" si="13"/>
        <v>2.33700084</v>
      </c>
      <c r="O33" s="258">
        <v>0.63316000000000017</v>
      </c>
      <c r="P33" s="201">
        <f>TribalWater!G$8/1000000</f>
        <v>0.95218999999999998</v>
      </c>
      <c r="Q33" s="261">
        <f t="shared" si="14"/>
        <v>3.8114262799999996</v>
      </c>
      <c r="R33" s="262">
        <f t="shared" si="15"/>
        <v>-6.2569621052631669E-2</v>
      </c>
      <c r="S33" s="262">
        <f t="shared" si="16"/>
        <v>3.337894736842105E-2</v>
      </c>
      <c r="T33" s="262">
        <f t="shared" si="17"/>
        <v>0.61500022105263163</v>
      </c>
      <c r="U33" s="262">
        <f t="shared" si="18"/>
        <v>0.166621052631579</v>
      </c>
      <c r="V33" s="263">
        <f t="shared" si="19"/>
        <v>0.2505763157894737</v>
      </c>
      <c r="W33" s="264">
        <f t="shared" si="20"/>
        <v>1.0030069157894737</v>
      </c>
      <c r="Y33" s="257" t="s">
        <v>414</v>
      </c>
      <c r="Z33" s="261">
        <v>5.2</v>
      </c>
      <c r="AA33" s="261">
        <v>3.8</v>
      </c>
      <c r="AB33" s="258">
        <f t="shared" si="26"/>
        <v>0.50997534476190465</v>
      </c>
      <c r="AC33" s="258">
        <f t="shared" si="21"/>
        <v>0.12672095238095238</v>
      </c>
      <c r="AD33" s="258">
        <f t="shared" si="22"/>
        <v>1.9625798717460317</v>
      </c>
      <c r="AE33" s="258">
        <f t="shared" si="23"/>
        <v>0.63327904761904763</v>
      </c>
      <c r="AF33" s="258">
        <f t="shared" si="24"/>
        <v>0.5743368253968254</v>
      </c>
      <c r="AG33" s="261">
        <f t="shared" si="25"/>
        <v>3.8068920419047618</v>
      </c>
      <c r="AH33" s="283">
        <v>0.13420403809523807</v>
      </c>
      <c r="AI33" s="283">
        <v>3.334761904761905E-2</v>
      </c>
      <c r="AJ33" s="283">
        <v>0.51646838730158728</v>
      </c>
      <c r="AK33" s="283">
        <v>0.16665238095238097</v>
      </c>
      <c r="AL33" s="283">
        <v>0.15114126984126985</v>
      </c>
      <c r="AM33" s="282">
        <v>1.0018136952380954</v>
      </c>
    </row>
    <row r="34" spans="1:39" x14ac:dyDescent="0.2">
      <c r="I34" s="257" t="s">
        <v>415</v>
      </c>
      <c r="J34" s="257">
        <v>8</v>
      </c>
      <c r="K34" s="261">
        <v>1</v>
      </c>
      <c r="L34" s="258">
        <f t="shared" si="12"/>
        <v>-0.52586011555555556</v>
      </c>
      <c r="M34" s="258">
        <v>3.334761904761905E-2</v>
      </c>
      <c r="N34" s="258">
        <f t="shared" si="13"/>
        <v>0.38509639555555564</v>
      </c>
      <c r="O34" s="258">
        <v>0.16665238095238097</v>
      </c>
      <c r="P34" s="201">
        <f>TribalWater!G$8/1000000</f>
        <v>0.95218999999999998</v>
      </c>
      <c r="Q34" s="261">
        <f t="shared" si="14"/>
        <v>1.01142628</v>
      </c>
      <c r="R34" s="262">
        <f t="shared" si="15"/>
        <v>-0.52586011555555556</v>
      </c>
      <c r="S34" s="262">
        <f t="shared" si="16"/>
        <v>3.334761904761905E-2</v>
      </c>
      <c r="T34" s="262">
        <f t="shared" si="17"/>
        <v>0.38509639555555564</v>
      </c>
      <c r="U34" s="262">
        <f>O34/K34</f>
        <v>0.16665238095238097</v>
      </c>
      <c r="V34" s="263">
        <f t="shared" si="19"/>
        <v>0.95218999999999998</v>
      </c>
      <c r="W34" s="264">
        <f t="shared" si="20"/>
        <v>1.01142628</v>
      </c>
      <c r="Y34" s="257" t="s">
        <v>415</v>
      </c>
      <c r="Z34" s="261">
        <v>8</v>
      </c>
      <c r="AA34" s="261">
        <v>1</v>
      </c>
      <c r="AB34" s="258">
        <f t="shared" si="26"/>
        <v>0.13420403809523807</v>
      </c>
      <c r="AC34" s="258">
        <f t="shared" si="21"/>
        <v>3.334761904761905E-2</v>
      </c>
      <c r="AD34" s="258">
        <f t="shared" si="22"/>
        <v>0.51646838730158728</v>
      </c>
      <c r="AE34" s="258">
        <f t="shared" si="23"/>
        <v>0.16665238095238097</v>
      </c>
      <c r="AF34" s="258">
        <f t="shared" si="24"/>
        <v>0.15114126984126985</v>
      </c>
      <c r="AG34" s="261">
        <f t="shared" si="25"/>
        <v>1.0018136952380954</v>
      </c>
      <c r="AH34" s="283">
        <v>0.13420403809523807</v>
      </c>
      <c r="AI34" s="283">
        <v>3.334761904761905E-2</v>
      </c>
      <c r="AJ34" s="283">
        <v>0.51646838730158728</v>
      </c>
      <c r="AK34" s="283">
        <v>0.16665238095238097</v>
      </c>
      <c r="AL34" s="283">
        <v>0.15114126984126985</v>
      </c>
      <c r="AM34" s="282">
        <v>1.0018136952380954</v>
      </c>
    </row>
    <row r="37" spans="1:39" ht="14" customHeight="1" x14ac:dyDescent="0.2">
      <c r="A37" s="364" t="s">
        <v>437</v>
      </c>
      <c r="B37" s="365"/>
      <c r="C37" s="365"/>
      <c r="D37" s="365"/>
      <c r="E37" s="365"/>
      <c r="F37" s="365"/>
      <c r="G37" s="366"/>
      <c r="I37" s="367" t="s">
        <v>434</v>
      </c>
      <c r="J37" s="368"/>
      <c r="K37" s="368"/>
      <c r="L37" s="368"/>
      <c r="M37" s="368"/>
      <c r="N37" s="368"/>
      <c r="O37" s="368"/>
      <c r="P37" s="368"/>
      <c r="Q37" s="368"/>
      <c r="R37" s="368"/>
      <c r="S37" s="368"/>
      <c r="T37" s="368"/>
      <c r="U37" s="368"/>
      <c r="V37" s="368"/>
      <c r="W37" s="369"/>
      <c r="Y37" s="279"/>
      <c r="Z37" s="279"/>
      <c r="AA37" s="279"/>
      <c r="AB37" s="279"/>
      <c r="AC37" s="279"/>
      <c r="AD37" s="279"/>
      <c r="AE37" s="279"/>
      <c r="AF37" s="279"/>
      <c r="AG37" s="279"/>
      <c r="AH37" s="279"/>
      <c r="AI37" s="279"/>
      <c r="AJ37" s="279"/>
      <c r="AK37" s="279"/>
      <c r="AL37" s="279"/>
      <c r="AM37" s="279"/>
    </row>
    <row r="38" spans="1:39" ht="68" customHeight="1" x14ac:dyDescent="0.2">
      <c r="A38" s="189" t="s">
        <v>218</v>
      </c>
      <c r="B38" s="189" t="s">
        <v>204</v>
      </c>
      <c r="C38" s="189" t="s">
        <v>205</v>
      </c>
      <c r="D38" s="189" t="s">
        <v>203</v>
      </c>
      <c r="E38" s="189" t="s">
        <v>18</v>
      </c>
      <c r="F38" s="189" t="s">
        <v>436</v>
      </c>
      <c r="G38" s="189" t="s">
        <v>25</v>
      </c>
      <c r="I38" s="373" t="s">
        <v>13</v>
      </c>
      <c r="J38" s="373" t="s">
        <v>214</v>
      </c>
      <c r="K38" s="373" t="s">
        <v>215</v>
      </c>
      <c r="L38" s="356" t="s">
        <v>216</v>
      </c>
      <c r="M38" s="357"/>
      <c r="N38" s="357"/>
      <c r="O38" s="357"/>
      <c r="P38" s="357"/>
      <c r="Q38" s="358"/>
      <c r="R38" s="377" t="s">
        <v>217</v>
      </c>
      <c r="S38" s="378"/>
      <c r="T38" s="378"/>
      <c r="U38" s="378"/>
      <c r="V38" s="378"/>
      <c r="W38" s="379"/>
      <c r="Y38" s="279"/>
      <c r="Z38" s="272"/>
      <c r="AA38" s="272"/>
      <c r="AB38" s="279"/>
      <c r="AC38" s="279"/>
      <c r="AD38" s="279"/>
      <c r="AE38" s="279"/>
      <c r="AF38" s="279"/>
      <c r="AG38" s="279"/>
      <c r="AH38" s="279"/>
      <c r="AI38" s="279"/>
      <c r="AJ38" s="279"/>
      <c r="AK38" s="279"/>
      <c r="AL38" s="279"/>
      <c r="AM38" s="279"/>
    </row>
    <row r="39" spans="1:39" ht="44" customHeight="1" x14ac:dyDescent="0.2">
      <c r="A39" s="363" t="s">
        <v>229</v>
      </c>
      <c r="B39" s="363"/>
      <c r="C39" s="363"/>
      <c r="D39" s="363"/>
      <c r="E39" s="363"/>
      <c r="F39" s="363"/>
      <c r="G39" s="363"/>
      <c r="I39" s="380"/>
      <c r="J39" s="380"/>
      <c r="K39" s="380"/>
      <c r="L39" s="190" t="s">
        <v>219</v>
      </c>
      <c r="M39" s="190" t="s">
        <v>220</v>
      </c>
      <c r="N39" s="190" t="s">
        <v>221</v>
      </c>
      <c r="O39" s="190" t="s">
        <v>419</v>
      </c>
      <c r="P39" s="190" t="s">
        <v>420</v>
      </c>
      <c r="Q39" s="190" t="s">
        <v>223</v>
      </c>
      <c r="R39" s="191" t="s">
        <v>224</v>
      </c>
      <c r="S39" s="191" t="s">
        <v>225</v>
      </c>
      <c r="T39" s="191" t="s">
        <v>226</v>
      </c>
      <c r="U39" s="191" t="s">
        <v>227</v>
      </c>
      <c r="V39" s="191" t="s">
        <v>420</v>
      </c>
      <c r="W39" s="191" t="s">
        <v>228</v>
      </c>
      <c r="Y39" s="279"/>
      <c r="Z39" s="279"/>
      <c r="AA39" s="279"/>
      <c r="AB39" s="270"/>
      <c r="AC39" s="270"/>
      <c r="AD39" s="270"/>
      <c r="AE39" s="270"/>
      <c r="AF39" s="270"/>
      <c r="AG39" s="278"/>
      <c r="AH39" s="270"/>
      <c r="AI39" s="270"/>
      <c r="AJ39" s="270"/>
      <c r="AK39" s="270"/>
      <c r="AL39" s="270"/>
      <c r="AM39" s="278"/>
    </row>
    <row r="40" spans="1:39" ht="15" customHeight="1" x14ac:dyDescent="0.2">
      <c r="A40" s="198">
        <v>0</v>
      </c>
      <c r="B40" s="199">
        <v>0</v>
      </c>
      <c r="C40" s="199">
        <v>0</v>
      </c>
      <c r="D40" s="199">
        <v>0</v>
      </c>
      <c r="E40" s="199">
        <v>0</v>
      </c>
      <c r="F40" s="199">
        <v>0</v>
      </c>
      <c r="G40" s="199">
        <f>SUM(B40:F40)</f>
        <v>0</v>
      </c>
      <c r="I40" s="257" t="s">
        <v>410</v>
      </c>
      <c r="J40" s="261">
        <v>0</v>
      </c>
      <c r="K40" s="261">
        <v>9</v>
      </c>
      <c r="L40" s="258">
        <v>2.0153954399999998</v>
      </c>
      <c r="M40" s="258">
        <v>0.3</v>
      </c>
      <c r="N40" s="258">
        <v>4.2438408400000007</v>
      </c>
      <c r="O40" s="258">
        <v>1.5</v>
      </c>
      <c r="P40" s="201">
        <v>0.95218999999999998</v>
      </c>
      <c r="Q40" s="261">
        <v>9.0114262800000002</v>
      </c>
      <c r="R40" s="262">
        <v>0.22393282666666664</v>
      </c>
      <c r="S40" s="262">
        <v>3.3333333333333333E-2</v>
      </c>
      <c r="T40" s="262">
        <v>0.47153787111111117</v>
      </c>
      <c r="U40" s="262">
        <v>0.16666666666666666</v>
      </c>
      <c r="V40" s="263">
        <v>0.10579888888888889</v>
      </c>
      <c r="W40" s="264">
        <v>1.0012695866666665</v>
      </c>
      <c r="Y40" s="273"/>
      <c r="Z40" s="274"/>
      <c r="AA40" s="274"/>
      <c r="AB40" s="275"/>
      <c r="AC40" s="275"/>
      <c r="AD40" s="275"/>
      <c r="AE40" s="275"/>
      <c r="AF40" s="275"/>
      <c r="AG40" s="274"/>
      <c r="AH40" s="276"/>
      <c r="AI40" s="276"/>
      <c r="AJ40" s="276"/>
      <c r="AK40" s="276"/>
      <c r="AL40" s="276"/>
      <c r="AM40" s="277"/>
    </row>
    <row r="41" spans="1:39" x14ac:dyDescent="0.2">
      <c r="A41" s="198" t="s">
        <v>231</v>
      </c>
      <c r="B41" s="202">
        <f>80%-(F41/3)</f>
        <v>0.79</v>
      </c>
      <c r="C41" s="202">
        <f>3.33%-F41/3</f>
        <v>2.3300000000000001E-2</v>
      </c>
      <c r="D41" s="202">
        <v>0</v>
      </c>
      <c r="E41" s="202">
        <f>16.67%-F41/3</f>
        <v>0.15670000000000001</v>
      </c>
      <c r="F41" s="202">
        <v>0.03</v>
      </c>
      <c r="G41" s="199">
        <f t="shared" ref="G41:G42" si="27">SUM(B41:F41)</f>
        <v>1</v>
      </c>
      <c r="I41" s="257" t="s">
        <v>230</v>
      </c>
      <c r="J41" s="261">
        <v>0.3</v>
      </c>
      <c r="K41" s="261">
        <v>8.6999999999999993</v>
      </c>
      <c r="L41" s="258">
        <f>$L$40-B46</f>
        <v>1.8876554399999999</v>
      </c>
      <c r="M41" s="258">
        <f>$M$40-C46</f>
        <v>0.29225999999999996</v>
      </c>
      <c r="N41" s="258">
        <f>$N$40-D46</f>
        <v>4.1360808400000009</v>
      </c>
      <c r="O41" s="258">
        <f>$O$40-E46</f>
        <v>1.45224</v>
      </c>
      <c r="P41" s="258">
        <f>$P$40-F46</f>
        <v>0.94318999999999997</v>
      </c>
      <c r="Q41" s="261">
        <v>8.7114262800000013</v>
      </c>
      <c r="R41" s="262">
        <f>L40/$K40</f>
        <v>0.22393282666666664</v>
      </c>
      <c r="S41" s="262">
        <f>M40/$K40</f>
        <v>3.3333333333333333E-2</v>
      </c>
      <c r="T41" s="262">
        <f>N40/$K40</f>
        <v>0.47153787111111117</v>
      </c>
      <c r="U41" s="262">
        <f t="shared" ref="U41:V49" si="28">O40/$K40</f>
        <v>0.16666666666666666</v>
      </c>
      <c r="V41" s="262">
        <f t="shared" si="28"/>
        <v>0.10579888888888889</v>
      </c>
      <c r="W41" s="264">
        <v>1.0013133655172415</v>
      </c>
      <c r="Y41" s="273"/>
      <c r="Z41" s="274"/>
      <c r="AA41" s="274"/>
      <c r="AB41" s="275"/>
      <c r="AC41" s="275"/>
      <c r="AD41" s="275"/>
      <c r="AE41" s="275"/>
      <c r="AF41" s="275"/>
      <c r="AG41" s="274"/>
      <c r="AH41" s="276"/>
      <c r="AI41" s="276"/>
      <c r="AJ41" s="276"/>
      <c r="AK41" s="276"/>
      <c r="AL41" s="276"/>
      <c r="AM41" s="277"/>
    </row>
    <row r="42" spans="1:39" x14ac:dyDescent="0.2">
      <c r="A42" s="198" t="s">
        <v>233</v>
      </c>
      <c r="B42" s="202">
        <f>43.33%-F42/4</f>
        <v>0.42579999999999996</v>
      </c>
      <c r="C42" s="202">
        <f>3.33%-F42/4</f>
        <v>2.5800000000000003E-2</v>
      </c>
      <c r="D42" s="202">
        <f>36.67%-F42/4</f>
        <v>0.35920000000000002</v>
      </c>
      <c r="E42" s="202">
        <f>16.67%-F42/4</f>
        <v>0.15920000000000001</v>
      </c>
      <c r="F42" s="202">
        <v>0.03</v>
      </c>
      <c r="G42" s="199">
        <f t="shared" si="27"/>
        <v>1</v>
      </c>
      <c r="I42" s="257" t="s">
        <v>232</v>
      </c>
      <c r="J42" s="261">
        <v>0.4</v>
      </c>
      <c r="K42" s="261">
        <v>8.6</v>
      </c>
      <c r="L42" s="258">
        <f>$L$40-B47</f>
        <v>1.8450754399999998</v>
      </c>
      <c r="M42" s="258">
        <f>$M$40-C47</f>
        <v>0.28967999999999999</v>
      </c>
      <c r="N42" s="258">
        <f>$N$40-D47</f>
        <v>4.1001608400000009</v>
      </c>
      <c r="O42" s="258">
        <f t="shared" ref="O42:O44" si="29">$O$40-E47</f>
        <v>1.43632</v>
      </c>
      <c r="P42" s="258">
        <f t="shared" ref="P42:P44" si="30">$P$40-F47</f>
        <v>0.94018999999999997</v>
      </c>
      <c r="Q42" s="261">
        <v>8.6114262800000017</v>
      </c>
      <c r="R42" s="262">
        <f>L41/K41</f>
        <v>0.21697188965517242</v>
      </c>
      <c r="S42" s="262">
        <f>M41/$K41</f>
        <v>3.359310344827586E-2</v>
      </c>
      <c r="T42" s="262">
        <f t="shared" ref="T42:T49" si="31">N41/$K41</f>
        <v>0.47541159080459783</v>
      </c>
      <c r="U42" s="262">
        <f t="shared" si="28"/>
        <v>0.1669241379310345</v>
      </c>
      <c r="V42" s="262">
        <f t="shared" si="28"/>
        <v>0.10841264367816092</v>
      </c>
      <c r="W42" s="264">
        <v>1.0013286372093024</v>
      </c>
      <c r="Y42" s="273"/>
      <c r="Z42" s="274"/>
      <c r="AA42" s="274"/>
      <c r="AB42" s="275"/>
      <c r="AC42" s="275"/>
      <c r="AD42" s="275"/>
      <c r="AE42" s="275"/>
      <c r="AF42" s="275"/>
      <c r="AG42" s="274"/>
      <c r="AH42" s="276"/>
      <c r="AI42" s="276"/>
      <c r="AJ42" s="276"/>
      <c r="AK42" s="276"/>
      <c r="AL42" s="276"/>
      <c r="AM42" s="277"/>
    </row>
    <row r="43" spans="1:39" x14ac:dyDescent="0.2">
      <c r="A43" s="198" t="s">
        <v>235</v>
      </c>
      <c r="B43" s="381" t="s">
        <v>236</v>
      </c>
      <c r="C43" s="381"/>
      <c r="D43" s="381"/>
      <c r="E43" s="381"/>
      <c r="F43" s="381"/>
      <c r="G43" s="381"/>
      <c r="I43" s="257" t="s">
        <v>234</v>
      </c>
      <c r="J43" s="261">
        <v>1</v>
      </c>
      <c r="K43" s="261">
        <v>8</v>
      </c>
      <c r="L43" s="258">
        <f t="shared" ref="L43:L44" si="32">$L$40-B48</f>
        <v>1.5895954399999999</v>
      </c>
      <c r="M43" s="258">
        <f>$M$40-C48</f>
        <v>0.2742</v>
      </c>
      <c r="N43" s="258">
        <f t="shared" ref="N43:N44" si="33">$N$40-D48</f>
        <v>3.8846408400000008</v>
      </c>
      <c r="O43" s="258">
        <f t="shared" si="29"/>
        <v>1.3408</v>
      </c>
      <c r="P43" s="258">
        <f t="shared" si="30"/>
        <v>0.92218999999999995</v>
      </c>
      <c r="Q43" s="261">
        <v>8.0114262800000002</v>
      </c>
      <c r="R43" s="262">
        <f>L42/K42</f>
        <v>0.21454365581395346</v>
      </c>
      <c r="S43" s="262">
        <f>M42/$K42</f>
        <v>3.3683720930232558E-2</v>
      </c>
      <c r="T43" s="262">
        <f>N42/$K42</f>
        <v>0.47676288837209313</v>
      </c>
      <c r="U43" s="262">
        <f t="shared" si="28"/>
        <v>0.16701395348837211</v>
      </c>
      <c r="V43" s="262">
        <f t="shared" si="28"/>
        <v>0.10932441860465117</v>
      </c>
      <c r="W43" s="264">
        <v>1.001428285</v>
      </c>
      <c r="Y43" s="273"/>
      <c r="Z43" s="274"/>
      <c r="AA43" s="274"/>
      <c r="AB43" s="275"/>
      <c r="AC43" s="275"/>
      <c r="AD43" s="275"/>
      <c r="AE43" s="275"/>
      <c r="AF43" s="275"/>
      <c r="AG43" s="274"/>
      <c r="AH43" s="276"/>
      <c r="AI43" s="276"/>
      <c r="AJ43" s="276"/>
      <c r="AK43" s="276"/>
      <c r="AL43" s="276"/>
      <c r="AM43" s="277"/>
    </row>
    <row r="44" spans="1:39" x14ac:dyDescent="0.2">
      <c r="A44" s="359" t="s">
        <v>238</v>
      </c>
      <c r="B44" s="359"/>
      <c r="C44" s="359"/>
      <c r="D44" s="359"/>
      <c r="E44" s="359"/>
      <c r="F44" s="359"/>
      <c r="G44" s="359"/>
      <c r="I44" s="257" t="s">
        <v>237</v>
      </c>
      <c r="J44" s="261">
        <v>1.5</v>
      </c>
      <c r="K44" s="261">
        <v>7.5</v>
      </c>
      <c r="L44" s="258">
        <f t="shared" si="32"/>
        <v>1.3766954399999998</v>
      </c>
      <c r="M44" s="258">
        <f t="shared" ref="M44" si="34">$M$40-C49</f>
        <v>0.26129999999999998</v>
      </c>
      <c r="N44" s="258">
        <f t="shared" si="33"/>
        <v>3.7050408400000006</v>
      </c>
      <c r="O44" s="258">
        <f t="shared" si="29"/>
        <v>1.2612000000000001</v>
      </c>
      <c r="P44" s="258">
        <f t="shared" si="30"/>
        <v>0.90718999999999994</v>
      </c>
      <c r="Q44" s="261">
        <v>7.5114262800000002</v>
      </c>
      <c r="R44" s="262">
        <f t="shared" ref="R44:R49" si="35">L43/K43</f>
        <v>0.19869942999999998</v>
      </c>
      <c r="S44" s="262">
        <f t="shared" ref="S44:S49" si="36">M43/$K43</f>
        <v>3.4275E-2</v>
      </c>
      <c r="T44" s="262">
        <f>N43/$K43</f>
        <v>0.4855801050000001</v>
      </c>
      <c r="U44" s="262">
        <f t="shared" si="28"/>
        <v>0.1676</v>
      </c>
      <c r="V44" s="262">
        <f t="shared" si="28"/>
        <v>0.11527374999999999</v>
      </c>
      <c r="W44" s="264">
        <v>1.0015235040000001</v>
      </c>
      <c r="Y44" s="273"/>
      <c r="Z44" s="274"/>
      <c r="AA44" s="274"/>
      <c r="AB44" s="275"/>
      <c r="AC44" s="275"/>
      <c r="AD44" s="275"/>
      <c r="AE44" s="275"/>
      <c r="AF44" s="275"/>
      <c r="AG44" s="274"/>
      <c r="AH44" s="276"/>
      <c r="AI44" s="276"/>
      <c r="AJ44" s="276"/>
      <c r="AK44" s="276"/>
      <c r="AL44" s="276"/>
      <c r="AM44" s="277"/>
    </row>
    <row r="45" spans="1:39" x14ac:dyDescent="0.2">
      <c r="A45" s="198">
        <v>0</v>
      </c>
      <c r="B45" s="203">
        <v>0</v>
      </c>
      <c r="C45" s="203">
        <v>0</v>
      </c>
      <c r="D45" s="203">
        <v>0</v>
      </c>
      <c r="E45" s="203">
        <v>0</v>
      </c>
      <c r="F45" s="203">
        <v>0</v>
      </c>
      <c r="G45" s="203">
        <f>SUM(B45:E45)</f>
        <v>0</v>
      </c>
      <c r="I45" s="257" t="s">
        <v>411</v>
      </c>
      <c r="J45" s="261">
        <v>2.7</v>
      </c>
      <c r="K45" s="261">
        <v>6.3</v>
      </c>
      <c r="L45" s="258">
        <f>L44-B42*($K$44-$K45)</f>
        <v>0.8657354399999998</v>
      </c>
      <c r="M45" s="258">
        <f>$M$44-$C$42*($K$44-$K45)</f>
        <v>0.23033999999999996</v>
      </c>
      <c r="N45" s="258">
        <f>$N$44-$D$42*($K$44-$K45)</f>
        <v>3.2740008400000002</v>
      </c>
      <c r="O45" s="258">
        <f>$O$44-$E$42*($K$44-$K45)</f>
        <v>1.07016</v>
      </c>
      <c r="P45" s="258">
        <f>$P$44-$F$42*($K$44-$K45)</f>
        <v>0.87118999999999991</v>
      </c>
      <c r="Q45" s="261">
        <v>6.3114262799999992</v>
      </c>
      <c r="R45" s="262">
        <f t="shared" si="35"/>
        <v>0.18355939199999996</v>
      </c>
      <c r="S45" s="262">
        <f t="shared" si="36"/>
        <v>3.4839999999999996E-2</v>
      </c>
      <c r="T45" s="262">
        <f>N44/$K44</f>
        <v>0.4940054453333334</v>
      </c>
      <c r="U45" s="262">
        <f t="shared" si="28"/>
        <v>0.16816</v>
      </c>
      <c r="V45" s="262">
        <f t="shared" si="28"/>
        <v>0.12095866666666666</v>
      </c>
      <c r="W45" s="264">
        <v>1.0018136952380954</v>
      </c>
      <c r="Y45" s="273"/>
      <c r="Z45" s="274"/>
      <c r="AA45" s="274"/>
      <c r="AB45" s="275"/>
      <c r="AC45" s="275"/>
      <c r="AD45" s="275"/>
      <c r="AE45" s="275"/>
      <c r="AF45" s="275"/>
      <c r="AG45" s="274"/>
      <c r="AH45" s="276"/>
      <c r="AI45" s="276"/>
      <c r="AJ45" s="276"/>
      <c r="AK45" s="276"/>
      <c r="AL45" s="276"/>
      <c r="AM45" s="277"/>
    </row>
    <row r="46" spans="1:39" x14ac:dyDescent="0.2">
      <c r="A46" s="198">
        <v>0.3</v>
      </c>
      <c r="B46" s="201">
        <f>$A46*B$42</f>
        <v>0.12773999999999999</v>
      </c>
      <c r="C46" s="201">
        <f t="shared" ref="C46:F46" si="37">$A$46*C42</f>
        <v>7.7400000000000004E-3</v>
      </c>
      <c r="D46" s="201">
        <f t="shared" si="37"/>
        <v>0.10776000000000001</v>
      </c>
      <c r="E46" s="201">
        <f t="shared" si="37"/>
        <v>4.7760000000000004E-2</v>
      </c>
      <c r="F46" s="201">
        <f t="shared" si="37"/>
        <v>8.9999999999999993E-3</v>
      </c>
      <c r="G46" s="201">
        <f>SUM(B46:E46)</f>
        <v>0.29100000000000004</v>
      </c>
      <c r="I46" s="257" t="s">
        <v>412</v>
      </c>
      <c r="J46" s="261">
        <v>4</v>
      </c>
      <c r="K46" s="261">
        <v>5</v>
      </c>
      <c r="L46" s="258">
        <f>$L$44-$B$42*($K$44-$K46)</f>
        <v>0.31219543999999999</v>
      </c>
      <c r="M46" s="258">
        <f>$M$44-$C$42*($K$44-$K46)</f>
        <v>0.19679999999999997</v>
      </c>
      <c r="N46" s="258">
        <f t="shared" ref="N46:N49" si="38">$N$44-$D$42*($K$44-$K46)</f>
        <v>2.8070408400000004</v>
      </c>
      <c r="O46" s="258">
        <f t="shared" ref="O46:O49" si="39">$O$44-$E$42*($K$44-$K46)</f>
        <v>0.86320000000000008</v>
      </c>
      <c r="P46" s="258">
        <f t="shared" ref="P46:P49" si="40">$P$44-$F$42*($K$44-$K46)</f>
        <v>0.83218999999999999</v>
      </c>
      <c r="Q46" s="261">
        <v>5.0114262800000002</v>
      </c>
      <c r="R46" s="262">
        <f t="shared" si="35"/>
        <v>0.13741832380952379</v>
      </c>
      <c r="S46" s="262">
        <f t="shared" si="36"/>
        <v>3.6561904761904754E-2</v>
      </c>
      <c r="T46" s="262">
        <f t="shared" si="31"/>
        <v>0.51968267301587312</v>
      </c>
      <c r="U46" s="262">
        <f t="shared" si="28"/>
        <v>0.16986666666666667</v>
      </c>
      <c r="V46" s="262">
        <f t="shared" si="28"/>
        <v>0.13828412698412698</v>
      </c>
      <c r="W46" s="264">
        <v>1.002285256</v>
      </c>
      <c r="Y46" s="273"/>
      <c r="Z46" s="274"/>
      <c r="AA46" s="274"/>
      <c r="AB46" s="275"/>
      <c r="AC46" s="275"/>
      <c r="AD46" s="275"/>
      <c r="AE46" s="275"/>
      <c r="AF46" s="275"/>
      <c r="AG46" s="274"/>
      <c r="AH46" s="276"/>
      <c r="AI46" s="276"/>
      <c r="AJ46" s="276"/>
      <c r="AK46" s="276"/>
      <c r="AL46" s="276"/>
      <c r="AM46" s="277"/>
    </row>
    <row r="47" spans="1:39" x14ac:dyDescent="0.2">
      <c r="A47" s="198">
        <v>0.4</v>
      </c>
      <c r="B47" s="201">
        <f t="shared" ref="B47:F49" si="41">$A47*B$42</f>
        <v>0.17032</v>
      </c>
      <c r="C47" s="201">
        <f t="shared" si="41"/>
        <v>1.0320000000000003E-2</v>
      </c>
      <c r="D47" s="201">
        <f t="shared" si="41"/>
        <v>0.14368</v>
      </c>
      <c r="E47" s="201">
        <f t="shared" si="41"/>
        <v>6.368E-2</v>
      </c>
      <c r="F47" s="201">
        <f t="shared" si="41"/>
        <v>1.2E-2</v>
      </c>
      <c r="G47" s="201">
        <f>SUM(B47:E47)</f>
        <v>0.38800000000000001</v>
      </c>
      <c r="I47" s="257" t="s">
        <v>413</v>
      </c>
      <c r="J47" s="261">
        <v>4.4000000000000004</v>
      </c>
      <c r="K47" s="261">
        <v>4.5999999999999996</v>
      </c>
      <c r="L47" s="258">
        <f t="shared" ref="L47:L49" si="42">$L$44-$B$42*($K$44-$K47)</f>
        <v>0.14187543999999974</v>
      </c>
      <c r="M47" s="258">
        <f t="shared" ref="M47:M49" si="43">$M$44-$C$42*($K$44-$K47)</f>
        <v>0.18647999999999995</v>
      </c>
      <c r="N47" s="258">
        <f t="shared" si="38"/>
        <v>2.6633608400000002</v>
      </c>
      <c r="O47" s="258">
        <f t="shared" si="39"/>
        <v>0.79952000000000001</v>
      </c>
      <c r="P47" s="258">
        <f t="shared" si="40"/>
        <v>0.82018999999999997</v>
      </c>
      <c r="Q47" s="261">
        <v>4.6114262799999999</v>
      </c>
      <c r="R47" s="262">
        <f t="shared" si="35"/>
        <v>6.2439087999999997E-2</v>
      </c>
      <c r="S47" s="262">
        <f t="shared" si="36"/>
        <v>3.9359999999999992E-2</v>
      </c>
      <c r="T47" s="262">
        <f t="shared" si="31"/>
        <v>0.56140816800000004</v>
      </c>
      <c r="U47" s="262">
        <f t="shared" si="28"/>
        <v>0.17264000000000002</v>
      </c>
      <c r="V47" s="262">
        <f t="shared" si="28"/>
        <v>0.166438</v>
      </c>
      <c r="W47" s="264">
        <v>1.0024839739130436</v>
      </c>
      <c r="Y47" s="273"/>
      <c r="Z47" s="274"/>
      <c r="AA47" s="274"/>
      <c r="AB47" s="275"/>
      <c r="AC47" s="275"/>
      <c r="AD47" s="275"/>
      <c r="AE47" s="275"/>
      <c r="AF47" s="275"/>
      <c r="AG47" s="274"/>
      <c r="AH47" s="276"/>
      <c r="AI47" s="276"/>
      <c r="AJ47" s="276"/>
      <c r="AK47" s="276"/>
      <c r="AL47" s="276"/>
      <c r="AM47" s="277"/>
    </row>
    <row r="48" spans="1:39" x14ac:dyDescent="0.2">
      <c r="A48" s="198">
        <v>1</v>
      </c>
      <c r="B48" s="201">
        <f t="shared" si="41"/>
        <v>0.42579999999999996</v>
      </c>
      <c r="C48" s="201">
        <f t="shared" si="41"/>
        <v>2.5800000000000003E-2</v>
      </c>
      <c r="D48" s="201">
        <f t="shared" si="41"/>
        <v>0.35920000000000002</v>
      </c>
      <c r="E48" s="201">
        <f t="shared" si="41"/>
        <v>0.15920000000000001</v>
      </c>
      <c r="F48" s="201">
        <f t="shared" si="41"/>
        <v>0.03</v>
      </c>
      <c r="G48" s="201">
        <f>SUM(B48:E48)</f>
        <v>0.97</v>
      </c>
      <c r="I48" s="257" t="s">
        <v>414</v>
      </c>
      <c r="J48" s="261">
        <v>5.2</v>
      </c>
      <c r="K48" s="261">
        <v>3.8</v>
      </c>
      <c r="L48" s="258">
        <f t="shared" si="42"/>
        <v>-0.19876456000000009</v>
      </c>
      <c r="M48" s="258">
        <f t="shared" si="43"/>
        <v>0.16583999999999996</v>
      </c>
      <c r="N48" s="258">
        <f t="shared" si="38"/>
        <v>2.3760008400000006</v>
      </c>
      <c r="O48" s="258">
        <f t="shared" si="39"/>
        <v>0.67216000000000009</v>
      </c>
      <c r="P48" s="258">
        <f t="shared" si="40"/>
        <v>0.79618999999999995</v>
      </c>
      <c r="Q48" s="261">
        <v>3.8114262799999996</v>
      </c>
      <c r="R48" s="262">
        <f t="shared" si="35"/>
        <v>3.0842486956521687E-2</v>
      </c>
      <c r="S48" s="262">
        <f t="shared" si="36"/>
        <v>4.0539130434782598E-2</v>
      </c>
      <c r="T48" s="262">
        <f t="shared" si="31"/>
        <v>0.57899148695652181</v>
      </c>
      <c r="U48" s="262">
        <f t="shared" si="28"/>
        <v>0.17380869565217394</v>
      </c>
      <c r="V48" s="262">
        <f t="shared" si="28"/>
        <v>0.17830217391304348</v>
      </c>
      <c r="W48" s="264">
        <v>1.0030069157894737</v>
      </c>
      <c r="Y48" s="273"/>
      <c r="Z48" s="274"/>
      <c r="AA48" s="274"/>
      <c r="AB48" s="275"/>
      <c r="AC48" s="275"/>
      <c r="AD48" s="275"/>
      <c r="AE48" s="275"/>
      <c r="AF48" s="275"/>
      <c r="AG48" s="274"/>
      <c r="AH48" s="276"/>
      <c r="AI48" s="276"/>
      <c r="AJ48" s="276"/>
      <c r="AK48" s="276"/>
      <c r="AL48" s="276"/>
      <c r="AM48" s="277"/>
    </row>
    <row r="49" spans="1:39" x14ac:dyDescent="0.2">
      <c r="A49" s="198">
        <v>1.5</v>
      </c>
      <c r="B49" s="201">
        <f t="shared" si="41"/>
        <v>0.63869999999999993</v>
      </c>
      <c r="C49" s="201">
        <f t="shared" si="41"/>
        <v>3.8700000000000005E-2</v>
      </c>
      <c r="D49" s="201">
        <f t="shared" si="41"/>
        <v>0.53880000000000006</v>
      </c>
      <c r="E49" s="201">
        <f t="shared" si="41"/>
        <v>0.23880000000000001</v>
      </c>
      <c r="F49" s="201">
        <f t="shared" si="41"/>
        <v>4.4999999999999998E-2</v>
      </c>
      <c r="G49" s="201">
        <f>SUM(B49:E49)</f>
        <v>1.4550000000000001</v>
      </c>
      <c r="I49" s="257" t="s">
        <v>415</v>
      </c>
      <c r="J49" s="261">
        <v>8</v>
      </c>
      <c r="K49" s="261">
        <v>1</v>
      </c>
      <c r="L49" s="258">
        <f t="shared" si="42"/>
        <v>-1.3910045599999998</v>
      </c>
      <c r="M49" s="258">
        <f t="shared" si="43"/>
        <v>9.3599999999999961E-2</v>
      </c>
      <c r="N49" s="258">
        <f t="shared" si="38"/>
        <v>1.3702408400000006</v>
      </c>
      <c r="O49" s="258">
        <f t="shared" si="39"/>
        <v>0.22639999999999993</v>
      </c>
      <c r="P49" s="258">
        <f t="shared" si="40"/>
        <v>0.71218999999999988</v>
      </c>
      <c r="Q49" s="261">
        <v>1.01142628</v>
      </c>
      <c r="R49" s="262">
        <f t="shared" si="35"/>
        <v>-5.2306463157894764E-2</v>
      </c>
      <c r="S49" s="262">
        <f t="shared" si="36"/>
        <v>4.3642105263157885E-2</v>
      </c>
      <c r="T49" s="262">
        <f t="shared" si="31"/>
        <v>0.62526337894736861</v>
      </c>
      <c r="U49" s="262">
        <f t="shared" si="28"/>
        <v>0.17688421052631581</v>
      </c>
      <c r="V49" s="262">
        <f t="shared" si="28"/>
        <v>0.20952368421052631</v>
      </c>
      <c r="W49" s="264">
        <v>1.01142628</v>
      </c>
      <c r="Y49" s="273"/>
      <c r="Z49" s="274"/>
      <c r="AA49" s="274"/>
      <c r="AB49" s="275"/>
      <c r="AC49" s="275"/>
      <c r="AD49" s="275"/>
      <c r="AE49" s="275"/>
      <c r="AF49" s="275"/>
      <c r="AG49" s="274"/>
      <c r="AH49" s="276"/>
      <c r="AI49" s="276"/>
      <c r="AJ49" s="276"/>
      <c r="AK49" s="276"/>
      <c r="AL49" s="276"/>
      <c r="AM49" s="277"/>
    </row>
    <row r="50" spans="1:39" x14ac:dyDescent="0.2">
      <c r="A50" s="198" t="s">
        <v>235</v>
      </c>
      <c r="B50" s="381" t="s">
        <v>236</v>
      </c>
      <c r="C50" s="381"/>
      <c r="D50" s="381"/>
      <c r="E50" s="381"/>
      <c r="F50" s="381"/>
      <c r="G50" s="381"/>
    </row>
    <row r="51" spans="1:39" x14ac:dyDescent="0.2">
      <c r="B51" s="271"/>
      <c r="C51" s="197"/>
      <c r="D51" s="197"/>
      <c r="E51" s="197"/>
      <c r="F51" s="197"/>
      <c r="G51" s="197"/>
    </row>
  </sheetData>
  <mergeCells count="38">
    <mergeCell ref="J5:J6"/>
    <mergeCell ref="K5:K6"/>
    <mergeCell ref="L5:P5"/>
    <mergeCell ref="B43:G43"/>
    <mergeCell ref="B50:G50"/>
    <mergeCell ref="A44:G44"/>
    <mergeCell ref="I22:W22"/>
    <mergeCell ref="I23:I24"/>
    <mergeCell ref="J23:J24"/>
    <mergeCell ref="K23:K24"/>
    <mergeCell ref="L23:Q23"/>
    <mergeCell ref="R23:W23"/>
    <mergeCell ref="I38:I39"/>
    <mergeCell ref="J38:J39"/>
    <mergeCell ref="K38:K39"/>
    <mergeCell ref="L38:Q38"/>
    <mergeCell ref="R38:W38"/>
    <mergeCell ref="I37:W37"/>
    <mergeCell ref="I4:U4"/>
    <mergeCell ref="Y4:AK4"/>
    <mergeCell ref="Y22:AM22"/>
    <mergeCell ref="Y23:Y24"/>
    <mergeCell ref="Z23:Z24"/>
    <mergeCell ref="AA23:AA24"/>
    <mergeCell ref="AB23:AG23"/>
    <mergeCell ref="AH23:AM23"/>
    <mergeCell ref="Z5:Z6"/>
    <mergeCell ref="AA5:AA6"/>
    <mergeCell ref="AB5:AF5"/>
    <mergeCell ref="AG5:AK5"/>
    <mergeCell ref="Y5:Y6"/>
    <mergeCell ref="Q5:U5"/>
    <mergeCell ref="I5:I6"/>
    <mergeCell ref="B6:G6"/>
    <mergeCell ref="B10:G10"/>
    <mergeCell ref="C16:G16"/>
    <mergeCell ref="A39:G39"/>
    <mergeCell ref="A37:G37"/>
  </mergeCells>
  <pageMargins left="0.7" right="0.7" top="0.75" bottom="0.75" header="0.3" footer="0.3"/>
  <ignoredErrors>
    <ignoredError sqref="M4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G10" sqref="G10"/>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313</v>
      </c>
    </row>
    <row r="3" spans="1:8" x14ac:dyDescent="0.2">
      <c r="A3" s="1" t="s">
        <v>319</v>
      </c>
    </row>
    <row r="4" spans="1:8" ht="29" customHeight="1" x14ac:dyDescent="0.2">
      <c r="A4" s="231" t="s">
        <v>314</v>
      </c>
      <c r="B4" s="231" t="s">
        <v>315</v>
      </c>
      <c r="C4" s="232" t="s">
        <v>316</v>
      </c>
      <c r="D4" s="232" t="s">
        <v>317</v>
      </c>
      <c r="F4" s="232" t="s">
        <v>315</v>
      </c>
      <c r="G4" s="232" t="s">
        <v>324</v>
      </c>
      <c r="H4" s="232" t="s">
        <v>325</v>
      </c>
    </row>
    <row r="5" spans="1:8" x14ac:dyDescent="0.2">
      <c r="A5" s="23" t="s">
        <v>318</v>
      </c>
      <c r="B5" s="23" t="s">
        <v>205</v>
      </c>
      <c r="C5" s="24">
        <v>12534</v>
      </c>
      <c r="D5" s="24"/>
      <c r="F5" s="22" t="s">
        <v>205</v>
      </c>
      <c r="G5" s="31">
        <f>SUMIFS($C$5:$C$13,$B$5:$B$13,F5)</f>
        <v>12534</v>
      </c>
      <c r="H5" s="235">
        <f>G5/G$8</f>
        <v>1.3163339249519528E-2</v>
      </c>
    </row>
    <row r="6" spans="1:8" x14ac:dyDescent="0.2">
      <c r="A6" s="23" t="s">
        <v>318</v>
      </c>
      <c r="B6" s="23" t="s">
        <v>204</v>
      </c>
      <c r="C6" s="24">
        <v>103535</v>
      </c>
      <c r="D6" s="24"/>
      <c r="F6" s="22" t="s">
        <v>204</v>
      </c>
      <c r="G6" s="31">
        <f t="shared" ref="G6:G7" si="0">SUMIFS($C$5:$C$13,$B$5:$B$13,F6)</f>
        <v>783134</v>
      </c>
      <c r="H6" s="235">
        <f t="shared" ref="H6:H8" si="1">G6/G$8</f>
        <v>0.82245560234827086</v>
      </c>
    </row>
    <row r="7" spans="1:8" x14ac:dyDescent="0.2">
      <c r="A7" s="23" t="s">
        <v>318</v>
      </c>
      <c r="B7" s="23" t="s">
        <v>203</v>
      </c>
      <c r="C7" s="24">
        <v>16720</v>
      </c>
      <c r="D7" s="24"/>
      <c r="F7" s="22" t="s">
        <v>203</v>
      </c>
      <c r="G7" s="31">
        <f t="shared" si="0"/>
        <v>156522</v>
      </c>
      <c r="H7" s="235">
        <f t="shared" si="1"/>
        <v>0.16438105840220965</v>
      </c>
    </row>
    <row r="8" spans="1:8" x14ac:dyDescent="0.2">
      <c r="A8" s="23" t="s">
        <v>320</v>
      </c>
      <c r="B8" s="23" t="s">
        <v>203</v>
      </c>
      <c r="C8" s="24">
        <v>11340</v>
      </c>
      <c r="D8" s="24"/>
      <c r="F8" s="238" t="s">
        <v>25</v>
      </c>
      <c r="G8" s="236">
        <f>SUM(G5:G7)</f>
        <v>952190</v>
      </c>
      <c r="H8" s="237">
        <f t="shared" si="1"/>
        <v>1</v>
      </c>
    </row>
    <row r="9" spans="1:8" x14ac:dyDescent="0.2">
      <c r="A9" s="23" t="s">
        <v>321</v>
      </c>
      <c r="B9" s="23" t="s">
        <v>204</v>
      </c>
      <c r="C9" s="24">
        <v>662402</v>
      </c>
      <c r="D9" s="24"/>
    </row>
    <row r="10" spans="1:8" x14ac:dyDescent="0.2">
      <c r="A10" s="23" t="s">
        <v>321</v>
      </c>
      <c r="B10" s="23" t="s">
        <v>203</v>
      </c>
      <c r="C10" s="24">
        <v>56846</v>
      </c>
      <c r="D10" s="24"/>
      <c r="G10" s="269"/>
    </row>
    <row r="11" spans="1:8" x14ac:dyDescent="0.2">
      <c r="A11" s="23" t="s">
        <v>322</v>
      </c>
      <c r="B11" s="23" t="s">
        <v>204</v>
      </c>
      <c r="C11" s="24">
        <v>6350</v>
      </c>
      <c r="D11" s="24"/>
    </row>
    <row r="12" spans="1:8" x14ac:dyDescent="0.2">
      <c r="A12" s="23" t="s">
        <v>322</v>
      </c>
      <c r="B12" s="23" t="s">
        <v>203</v>
      </c>
      <c r="C12" s="24">
        <v>71616</v>
      </c>
      <c r="D12" s="24"/>
    </row>
    <row r="13" spans="1:8" x14ac:dyDescent="0.2">
      <c r="A13" s="23" t="s">
        <v>323</v>
      </c>
      <c r="B13" s="23" t="s">
        <v>204</v>
      </c>
      <c r="C13" s="24">
        <v>10847</v>
      </c>
      <c r="D13" s="24">
        <v>22928</v>
      </c>
    </row>
    <row r="14" spans="1:8" s="1" customFormat="1" x14ac:dyDescent="0.2">
      <c r="A14" s="233" t="s">
        <v>25</v>
      </c>
      <c r="B14" s="233"/>
      <c r="C14" s="234">
        <f>SUM(C5:C13)</f>
        <v>952190</v>
      </c>
      <c r="D14" s="234">
        <f>SUM(D5:D13)</f>
        <v>22928</v>
      </c>
    </row>
    <row r="17" spans="1:3" x14ac:dyDescent="0.2">
      <c r="A17" s="1" t="s">
        <v>326</v>
      </c>
    </row>
    <row r="18" spans="1:3" x14ac:dyDescent="0.2">
      <c r="A18" s="231" t="s">
        <v>327</v>
      </c>
      <c r="B18" s="239" t="s">
        <v>328</v>
      </c>
      <c r="C18" s="239" t="s">
        <v>329</v>
      </c>
    </row>
    <row r="19" spans="1:3" x14ac:dyDescent="0.2">
      <c r="A19" s="23" t="s">
        <v>330</v>
      </c>
      <c r="B19" s="24">
        <v>769208</v>
      </c>
      <c r="C19" s="24">
        <v>441381</v>
      </c>
    </row>
    <row r="20" spans="1:3" x14ac:dyDescent="0.2">
      <c r="A20" s="23" t="s">
        <v>331</v>
      </c>
      <c r="B20" s="24">
        <v>15340</v>
      </c>
      <c r="C20" s="24">
        <v>9017</v>
      </c>
    </row>
    <row r="21" spans="1:3" x14ac:dyDescent="0.2">
      <c r="A21" s="23" t="s">
        <v>332</v>
      </c>
      <c r="B21" s="24">
        <v>2844</v>
      </c>
      <c r="C21" s="24">
        <v>1698</v>
      </c>
    </row>
    <row r="22" spans="1:3" x14ac:dyDescent="0.2">
      <c r="A22" s="23" t="s">
        <v>333</v>
      </c>
      <c r="B22" s="24">
        <v>13000</v>
      </c>
      <c r="C22" s="24">
        <v>13000</v>
      </c>
    </row>
    <row r="23" spans="1:3" x14ac:dyDescent="0.2">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83" t="e">
        <f>#REF!</f>
        <v>#REF!</v>
      </c>
      <c r="B1" s="383"/>
      <c r="C1" s="383"/>
      <c r="D1" s="383"/>
      <c r="E1" s="383"/>
      <c r="F1" s="383"/>
      <c r="G1" s="383"/>
    </row>
    <row r="2" spans="1:14" x14ac:dyDescent="0.2">
      <c r="A2" s="1" t="s">
        <v>182</v>
      </c>
      <c r="B2" s="1"/>
    </row>
    <row r="3" spans="1:14" ht="32.25" customHeight="1" x14ac:dyDescent="0.2">
      <c r="A3" s="344" t="s">
        <v>178</v>
      </c>
      <c r="B3" s="344"/>
      <c r="C3" s="344"/>
      <c r="D3" s="344"/>
      <c r="E3" s="344"/>
      <c r="F3" s="344"/>
      <c r="G3" s="344"/>
      <c r="H3" s="84"/>
      <c r="I3" s="84"/>
      <c r="J3" s="84"/>
      <c r="K3" s="84"/>
      <c r="N3" s="137" t="s">
        <v>157</v>
      </c>
    </row>
    <row r="4" spans="1:14" x14ac:dyDescent="0.2">
      <c r="A4" s="127" t="s">
        <v>110</v>
      </c>
      <c r="B4" s="127" t="s">
        <v>19</v>
      </c>
      <c r="C4" s="345" t="s">
        <v>20</v>
      </c>
      <c r="D4" s="346"/>
      <c r="E4" s="346"/>
      <c r="F4" s="346"/>
      <c r="G4" s="347"/>
      <c r="N4" s="139" t="s">
        <v>129</v>
      </c>
    </row>
    <row r="5" spans="1:14" x14ac:dyDescent="0.2">
      <c r="A5" s="90" t="s">
        <v>16</v>
      </c>
      <c r="B5" s="114"/>
      <c r="C5" s="348"/>
      <c r="D5" s="343"/>
      <c r="E5" s="343"/>
      <c r="F5" s="343"/>
      <c r="G5" s="343"/>
      <c r="N5" s="142"/>
    </row>
    <row r="6" spans="1:14" x14ac:dyDescent="0.2">
      <c r="A6" s="90" t="s">
        <v>17</v>
      </c>
      <c r="B6" s="114"/>
      <c r="C6" s="348"/>
      <c r="D6" s="343"/>
      <c r="E6" s="343"/>
      <c r="F6" s="343"/>
      <c r="G6" s="343"/>
      <c r="N6" s="142"/>
    </row>
    <row r="7" spans="1:14" x14ac:dyDescent="0.2">
      <c r="A7" s="90" t="s">
        <v>18</v>
      </c>
      <c r="B7" s="114"/>
      <c r="C7" s="348"/>
      <c r="D7" s="343"/>
      <c r="E7" s="343"/>
      <c r="F7" s="343"/>
      <c r="G7" s="343"/>
      <c r="N7" s="142"/>
    </row>
    <row r="8" spans="1:14" x14ac:dyDescent="0.2">
      <c r="A8" s="114" t="s">
        <v>39</v>
      </c>
      <c r="B8" s="90"/>
      <c r="C8" s="343"/>
      <c r="D8" s="343"/>
      <c r="E8" s="343"/>
      <c r="F8" s="343"/>
      <c r="G8" s="343"/>
      <c r="N8" s="142"/>
    </row>
    <row r="9" spans="1:14" x14ac:dyDescent="0.2">
      <c r="A9" s="114" t="s">
        <v>163</v>
      </c>
      <c r="B9" s="90"/>
      <c r="C9" s="349"/>
      <c r="D9" s="349"/>
      <c r="E9" s="349"/>
      <c r="F9" s="349"/>
      <c r="G9" s="349"/>
      <c r="N9" s="142"/>
    </row>
    <row r="10" spans="1:14" x14ac:dyDescent="0.2">
      <c r="A10" s="115" t="s">
        <v>41</v>
      </c>
      <c r="B10" s="115"/>
      <c r="C10" s="382"/>
      <c r="D10" s="382"/>
      <c r="E10" s="382"/>
      <c r="F10" s="382"/>
      <c r="G10" s="382"/>
      <c r="N10" s="142"/>
    </row>
    <row r="11" spans="1:14" x14ac:dyDescent="0.2">
      <c r="A11" s="13"/>
      <c r="B11" s="2"/>
      <c r="C11"/>
      <c r="N11" s="142"/>
    </row>
    <row r="12" spans="1:14" x14ac:dyDescent="0.2">
      <c r="A12" s="15" t="s">
        <v>111</v>
      </c>
      <c r="B12" s="350" t="s">
        <v>113</v>
      </c>
      <c r="C12" s="351"/>
      <c r="D12" s="352"/>
      <c r="N12" s="141" t="s">
        <v>130</v>
      </c>
    </row>
    <row r="13" spans="1:14" x14ac:dyDescent="0.2">
      <c r="B13" s="353" t="s">
        <v>114</v>
      </c>
      <c r="C13" s="354"/>
      <c r="D13" s="355"/>
      <c r="N13" s="142"/>
    </row>
    <row r="14" spans="1:14" x14ac:dyDescent="0.2">
      <c r="B14" s="337" t="s">
        <v>115</v>
      </c>
      <c r="C14" s="338"/>
      <c r="D14" s="339"/>
      <c r="N14" s="142"/>
    </row>
    <row r="15" spans="1:14" x14ac:dyDescent="0.2">
      <c r="B15" s="340" t="s">
        <v>21</v>
      </c>
      <c r="C15" s="341"/>
      <c r="D15" s="342"/>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84" t="s">
        <v>60</v>
      </c>
      <c r="E3" s="384"/>
      <c r="F3" s="384" t="s">
        <v>61</v>
      </c>
      <c r="G3" s="384"/>
      <c r="H3" s="384"/>
      <c r="I3" s="384" t="s">
        <v>62</v>
      </c>
      <c r="J3" s="384"/>
      <c r="K3" s="384"/>
      <c r="L3" s="134"/>
      <c r="M3" s="384" t="s">
        <v>18</v>
      </c>
      <c r="N3" s="384"/>
      <c r="O3" s="384"/>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2025-05-20T16:11:13Z</dcterms:modified>
</cp:coreProperties>
</file>