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0BE4A06A-523F-436C-B8BE-892C085EBEE9}" xr6:coauthVersionLast="47" xr6:coauthVersionMax="47" xr10:uidLastSave="{00000000-0000-0000-0000-000000000000}"/>
  <bookViews>
    <workbookView xWindow="-28920" yWindow="-120" windowWidth="29040" windowHeight="157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47" l="1"/>
  <c r="C20" i="47"/>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B36" i="47" l="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<sst xmlns="http://schemas.openxmlformats.org/spreadsheetml/2006/main" count="582" uniqueCount="408">
  <si>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</si>
  <si>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</si>
  <si>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</si>
  <si>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</si>
  <si>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</si>
  <si>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</si>
  <si>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</si>
  <si>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</si>
  <si>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</si>
  <si>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</si>
  <si>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</si>
  <si>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</si>
  <si>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</si>
  <si>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</si>
  <si>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</si>
  <si>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</si>
  <si>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</si>
  <si>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</si>
  <si>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</si>
  <si>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</si>
  <si>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</si>
  <si>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</si>
  <si>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</si>
  <si>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</si>
  <si>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</si>
  <si>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</si>
  <si>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</si>
  <si>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</si>
  <si>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</si>
  <si>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</si>
  <si>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</si>
  <si>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</si>
  <si>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</si>
  <si>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</si>
  <si>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</si>
  <si>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</si>
  <si>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</si>
  <si>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</si>
  <si>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</si>
  <si>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</si>
  <si>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</si>
  <si>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</si>
  <si>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</si>
  <si>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</si>
  <si>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</si>
  <si>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</si>
  <si>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</si>
  <si>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</si>
  <si>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</si>
  <si>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</si>
  <si>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</si>
  <si>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</si>
  <si>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</si>
  <si>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</si>
  <si>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</si>
  <si>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</si>
  <si>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</si>
  <si>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</si>
  <si>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</si>
  <si>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</si>
  <si>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</si>
  <si>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</si>
  <si>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</si>
  <si>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</si>
  <si>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</si>
  <si>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</si>
  <si>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</si>
  <si>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</si>
  <si>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</si>
  <si>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</si>
  <si>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</si>
  <si>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</si>
  <si>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</si>
  <si>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</si>
  <si>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</si>
  <si>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</si>
  <si>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</si>
  <si>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</si>
  <si>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</si>
  <si>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</si>
  <si>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</si>
  <si>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</si>
  <si>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</si>
  <si>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</si>
  <si>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</si>
  <si>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</si>
  <si>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</si>
  <si>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</si>
  <si>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</si>
  <si>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</si>
  <si>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</si>
  <si>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</si>
  <si>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</si>
  <si>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</si>
  <si>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</si>
  <si>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</si>
  <si>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</si>
  <si>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</si>
  <si>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</si>
  <si>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</si>
  <si>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</si>
  <si>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</si>
  <si>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</si>
  <si>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</si>
  <si>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</si>
  <si>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</si>
  <si>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</si>
  <si>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</si>
  <si>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</si>
  <si>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</si>
  <si>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</si>
  <si>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</si>
  <si>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</si>
  <si>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</si>
  <si>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</si>
  <si>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</si>
  <si>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</si>
  <si>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</si>
  <si>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</si>
  <si>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</si>
  <si>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</si>
  <si>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</si>
  <si>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</si>
  <si>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</si>
  <si>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</si>
  <si>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</si>
  <si>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</si>
  <si>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</si>
  <si>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</si>
  <si>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</si>
  <si>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</si>
  <si>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</si>
  <si>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</si>
  <si>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</si>
  <si>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</si>
  <si>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</si>
  <si>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</si>
  <si>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</si>
  <si>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</si>
  <si>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</si>
  <si>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</si>
  <si>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</si>
  <si>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</si>
  <si>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</si>
  <si>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</si>
  <si>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</si>
  <si>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</si>
  <si>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</si>
  <si>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</si>
  <si>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</si>
  <si>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</si>
  <si>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</si>
  <si>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</si>
  <si>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</si>
  <si>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</si>
  <si>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</si>
  <si>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</si>
  <si>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</si>
  <si>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</si>
  <si>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</si>
  <si>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</si>
  <si>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</si>
  <si>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</si>
  <si>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</si>
  <si>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</si>
  <si>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</si>
  <si>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</si>
  <si>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</si>
  <si>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</si>
  <si>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</si>
  <si>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</si>
  <si>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</si>
  <si>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</si>
  <si>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</si>
  <si>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</si>
  <si>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</si>
  <si>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</si>
  <si>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</si>
  <si>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</si>
  <si>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</si>
  <si>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</si>
  <si>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</si>
  <si>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</si>
  <si>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</si>
  <si>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</si>
  <si>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</si>
  <si>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</si>
  <si>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</si>
  <si>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</si>
  <si>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</si>
  <si>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</si>
  <si>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</si>
  <si>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</si>
  <si>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</si>
  <si>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</si>
  <si>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</si>
  <si>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</si>
  <si>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</si>
  <si>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</si>
  <si>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</si>
  <si>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</si>
  <si>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</si>
  <si>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</si>
  <si>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</si>
  <si>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</si>
  <si>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</si>
  <si>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</si>
  <si>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</si>
  <si>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</si>
  <si>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</si>
  <si>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</si>
  <si>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</si>
  <si>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</si>
  <si>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</si>
  <si>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</si>
  <si>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</si>
  <si>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</si>
  <si>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</si>
  <si>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</si>
  <si>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</si>
  <si>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</si>
  <si>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</si>
  <si>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</si>
  <si>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</si>
  <si>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</si>
  <si>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</si>
  <si>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</si>
  <si>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</si>
  <si>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</si>
  <si>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</si>
  <si>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</si>
  <si>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</si>
  <si>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</si>
  <si>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</si>
  <si>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</si>
  <si>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</si>
  <si>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</si>
  <si>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</si>
  <si>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</si>
  <si>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</si>
  <si>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</si>
  <si>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</si>
  <si>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</si>
  <si>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</si>
  <si>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</si>
  <si>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</si>
  <si>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</si>
  <si>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</si>
  <si>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</si>
  <si>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</si>
  <si>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</si>
  <si>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</si>
  <si>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</si>
  <si>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</si>
  <si>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</si>
  <si>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</si>
  <si>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</si>
  <si>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</si>
  <si>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</si>
  <si>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</si>
  <si>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</si>
  <si>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</si>
  <si>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</si>
  <si>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</si>
  <si>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</si>
  <si>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</si>
  <si>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</si>
  <si>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</si>
  <si>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</si>
  <si>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</si>
  <si>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</si>
  <si>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</si>
  <si>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</si>
  <si>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</si>
  <si>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</si>
  <si>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</si>
  <si>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</si>
  <si>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</si>
  <si>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</si>
  <si>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</si>
  <si>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</si>
  <si>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</si>
  <si>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</si>
  <si>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</si>
  <si>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</si>
  <si>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</si>
  <si>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</si>
  <si>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</si>
  <si>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</si>
  <si>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</si>
  <si>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</si>
  <si>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</si>
  <si>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</si>
  <si>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</si>
  <si>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</si>
  <si>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</si>
  <si>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</si>
  <si>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</si>
  <si>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</si>
  <si>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</si>
  <si>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</si>
  <si>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</si>
  <si>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</si>
  <si>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</si>
  <si>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</si>
  <si>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</si>
  <si>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</si>
  <si>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</si>
  <si>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</si>
  <si>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</si>
  <si>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</si>
  <si>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</si>
  <si>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</si>
  <si>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</si>
  <si>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</si>
  <si>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</si>
  <si>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</si>
  <si>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</si>
  <si>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</si>
  <si>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</si>
  <si>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</si>
  <si>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</si>
  <si>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</si>
  <si>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</si>
  <si>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</si>
  <si>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</si>
  <si>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</si>
  <si>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</si>
  <si>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</si>
  <si>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</si>
  <si>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</si>
  <si>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</si>
  <si>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</si>
  <si>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</si>
  <si>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</si>
  <si>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</si>
  <si>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</si>
  <si>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</si>
  <si>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</si>
  <si>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</si>
  <si>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</si>
  <si>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</si>
  <si>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</si>
  <si>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</si>
  <si>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</si>
  <si>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</si>
  <si>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</si>
  <si>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</si>
  <si>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</si>
  <si>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</si>
  <si>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</si>
  <si>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</si>
  <si>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</si>
  <si>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</si>
  <si>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</si>
  <si>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</si>
  <si>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</si>
  <si>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</si>
  <si>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</si>
  <si>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</si>
  <si>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</si>
  <si>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</si>
  <si>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</si>
  <si>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</si>
  <si>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</si>
  <si>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</si>
  <si>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</si>
  <si>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</si>
  <si>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</si>
  <si>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</si>
  <si>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</si>
  <si>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</si>
  <si>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</si>
  <si>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</si>
  <si>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</si>
  <si>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</si>
  <si>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</si>
  <si>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</si>
  <si>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</si>
  <si>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</si>
  <si>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</si>
  <si>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</si>
  <si>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</si>
  <si>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</si>
  <si>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</si>
  <si>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</si>
  <si>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</si>
  <si>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</si>
  <si>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</si>
  <si>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</si>
  <si>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</si>
  <si>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</si>
  <si>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</si>
  <si>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</si>
  <si>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</si>
  <si>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</si>
  <si>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</si>
  <si>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</si>
  <si>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</si>
  <si>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</si>
  <si>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</si>
  <si>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</si>
  <si>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</si>
  <si>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</si>
  <si>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</si>
  <si>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</si>
  <si>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</si>
  <si>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David E. Rosenberg, Hadia Akbar, Erik Porse (2025). "Immersive Model for Lake Mead Based on the Principle of Division of Reservoir Inflow." Utah State University, Logan, UT. https://github.com/dzeke/ColoradoRiverCollaborate/tree/main/LakeMeadWaterBankDivideInflow.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</si>
</sst>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48">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4"/>
  <sheetViews>
    <sheetView tabSelected="1" zoomScale="160" zoomScaleNormal="16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79" t="s">
        <v>350</v>
      </c>
      <c r="B1" s="279"/>
      <c r="C1" s="279"/>
      <c r="D1" s="279"/>
      <c r="E1" s="279"/>
      <c r="F1" s="279"/>
      <c r="G1" s="279"/>
      <c r="H1" s="279"/>
      <c r="I1" s="279"/>
      <c r="J1" s="279"/>
      <c r="K1" s="279"/>
      <c r="L1" s="279"/>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53.5" customHeight="1" x14ac:dyDescent="0.35">
      <c r="A4" s="280" t="s">
        <v>351</v>
      </c>
      <c r="B4" s="281"/>
      <c r="C4" s="281"/>
      <c r="D4" s="281"/>
      <c r="E4" s="281"/>
      <c r="F4" s="281"/>
      <c r="G4" s="281"/>
      <c r="H4" s="281"/>
      <c r="I4" s="281"/>
      <c r="J4" s="281"/>
      <c r="K4" s="281"/>
      <c r="L4" s="282"/>
      <c r="N4" s="283"/>
      <c r="O4" s="283"/>
      <c r="P4" s="283"/>
      <c r="Q4" s="283"/>
      <c r="R4" s="283"/>
    </row>
    <row r="5" spans="1:18" s="54" customFormat="1" ht="35" customHeight="1" x14ac:dyDescent="0.35">
      <c r="A5" s="284" t="s">
        <v>334</v>
      </c>
      <c r="B5" s="285"/>
      <c r="C5" s="285"/>
      <c r="D5" s="285"/>
      <c r="E5" s="285"/>
      <c r="F5" s="285"/>
      <c r="G5" s="285"/>
      <c r="H5" s="285"/>
      <c r="I5" s="285"/>
      <c r="J5" s="285"/>
      <c r="K5" s="285"/>
      <c r="L5" s="286"/>
      <c r="N5" s="113"/>
      <c r="O5" s="113"/>
      <c r="P5" s="113"/>
      <c r="Q5" s="113"/>
      <c r="R5" s="113"/>
    </row>
    <row r="6" spans="1:18" s="54" customFormat="1" ht="14" customHeight="1" x14ac:dyDescent="0.35">
      <c r="A6" s="284" t="s">
        <v>352</v>
      </c>
      <c r="B6" s="285"/>
      <c r="C6" s="285"/>
      <c r="D6" s="285"/>
      <c r="E6" s="285"/>
      <c r="F6" s="285"/>
      <c r="G6" s="285"/>
      <c r="H6" s="285"/>
      <c r="I6" s="285"/>
      <c r="J6" s="285"/>
      <c r="K6" s="285"/>
      <c r="L6" s="286"/>
      <c r="N6" s="113"/>
      <c r="O6" s="113"/>
      <c r="P6" s="113"/>
      <c r="Q6" s="113"/>
      <c r="R6" s="113"/>
    </row>
    <row r="7" spans="1:18" s="54" customFormat="1" ht="14" customHeight="1" x14ac:dyDescent="0.35">
      <c r="A7" s="232"/>
      <c r="B7" s="285" t="s">
        <v>353</v>
      </c>
      <c r="C7" s="285"/>
      <c r="D7" s="285"/>
      <c r="E7" s="285"/>
      <c r="F7" s="285"/>
      <c r="G7" s="285"/>
      <c r="H7" s="285"/>
      <c r="I7" s="285"/>
      <c r="J7" s="285"/>
      <c r="K7" s="285"/>
      <c r="L7" s="286"/>
      <c r="N7" s="113"/>
      <c r="O7" s="113"/>
      <c r="P7" s="113"/>
      <c r="Q7" s="113"/>
      <c r="R7" s="113"/>
    </row>
    <row r="8" spans="1:18" s="54" customFormat="1" ht="14" customHeight="1" x14ac:dyDescent="0.35">
      <c r="A8" s="233"/>
      <c r="B8" s="300" t="s">
        <v>354</v>
      </c>
      <c r="C8" s="300"/>
      <c r="D8" s="300"/>
      <c r="E8" s="300"/>
      <c r="F8" s="300"/>
      <c r="G8" s="300"/>
      <c r="H8" s="300"/>
      <c r="I8" s="300"/>
      <c r="J8" s="300"/>
      <c r="K8" s="300"/>
      <c r="L8" s="301"/>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302" t="s">
        <v>389</v>
      </c>
      <c r="B10" s="303"/>
      <c r="C10" s="303"/>
      <c r="D10" s="303"/>
      <c r="E10" s="303"/>
      <c r="F10" s="303"/>
      <c r="G10" s="303"/>
      <c r="H10" s="303"/>
      <c r="I10" s="303"/>
      <c r="J10" s="303"/>
      <c r="K10" s="303"/>
      <c r="L10" s="304"/>
    </row>
    <row r="11" spans="1:18" s="58" customFormat="1" ht="14.5" customHeight="1" x14ac:dyDescent="0.35">
      <c r="A11" s="253" t="s">
        <v>390</v>
      </c>
      <c r="B11" s="257" t="s">
        <v>393</v>
      </c>
      <c r="C11" s="257"/>
      <c r="D11" s="257"/>
      <c r="E11" s="257"/>
      <c r="F11" s="257"/>
      <c r="G11" s="257"/>
      <c r="H11" s="257"/>
      <c r="I11" s="257"/>
      <c r="J11" s="257"/>
      <c r="K11" s="257"/>
      <c r="L11" s="258"/>
    </row>
    <row r="12" spans="1:18" s="59" customFormat="1" ht="161.5" customHeight="1" x14ac:dyDescent="0.35">
      <c r="A12" s="245"/>
      <c r="B12" s="251"/>
      <c r="C12" s="251"/>
      <c r="D12" s="251"/>
      <c r="E12" s="251"/>
      <c r="F12" s="251"/>
      <c r="G12" s="251"/>
      <c r="H12" s="251"/>
      <c r="I12" s="251"/>
      <c r="J12" s="251"/>
      <c r="K12" s="251"/>
      <c r="L12" s="252"/>
    </row>
    <row r="13" spans="1:18" s="58" customFormat="1" ht="14.5" customHeight="1" x14ac:dyDescent="0.35">
      <c r="A13" s="253" t="s">
        <v>391</v>
      </c>
      <c r="B13" s="257" t="s">
        <v>394</v>
      </c>
      <c r="C13" s="257"/>
      <c r="D13" s="257"/>
      <c r="E13" s="257"/>
      <c r="F13" s="257"/>
      <c r="G13" s="257"/>
      <c r="H13" s="257"/>
      <c r="I13" s="257"/>
      <c r="J13" s="257"/>
      <c r="K13" s="257"/>
      <c r="L13" s="258"/>
    </row>
    <row r="14" spans="1:18" s="59" customFormat="1" ht="90.5" customHeight="1" x14ac:dyDescent="0.35">
      <c r="A14" s="245"/>
      <c r="B14" s="259"/>
      <c r="C14" s="259"/>
      <c r="D14" s="259"/>
      <c r="E14" s="259"/>
      <c r="F14" s="259"/>
      <c r="G14" s="259"/>
      <c r="H14" s="259"/>
      <c r="I14" s="259"/>
      <c r="J14" s="259"/>
      <c r="K14" s="259"/>
      <c r="L14" s="260"/>
    </row>
    <row r="15" spans="1:18" s="58" customFormat="1" ht="29" customHeight="1" x14ac:dyDescent="0.35">
      <c r="A15" s="253" t="s">
        <v>392</v>
      </c>
      <c r="B15" s="257" t="s">
        <v>395</v>
      </c>
      <c r="C15" s="257"/>
      <c r="D15" s="257"/>
      <c r="E15" s="257"/>
      <c r="F15" s="257"/>
      <c r="G15" s="257"/>
      <c r="H15" s="257"/>
      <c r="I15" s="257"/>
      <c r="J15" s="257"/>
      <c r="K15" s="257"/>
      <c r="L15" s="258"/>
    </row>
    <row r="16" spans="1:18" s="59" customFormat="1" ht="94.5" customHeight="1" x14ac:dyDescent="0.35">
      <c r="A16" s="245"/>
      <c r="B16" s="251"/>
      <c r="C16" s="251"/>
      <c r="D16" s="251"/>
      <c r="E16" s="251"/>
      <c r="F16" s="251"/>
      <c r="G16" s="251"/>
      <c r="H16" s="251"/>
      <c r="I16" s="251"/>
      <c r="J16" s="251"/>
      <c r="K16" s="251"/>
      <c r="L16" s="252"/>
    </row>
    <row r="17" spans="1:14" s="59" customFormat="1" ht="14.5" customHeight="1" x14ac:dyDescent="0.35">
      <c r="A17" s="255" t="s">
        <v>399</v>
      </c>
      <c r="B17" s="256"/>
      <c r="C17" s="256"/>
      <c r="D17" s="256"/>
      <c r="E17" s="250" t="s">
        <v>400</v>
      </c>
      <c r="F17" s="248"/>
      <c r="G17" s="248"/>
      <c r="H17" s="248"/>
      <c r="I17" s="248"/>
      <c r="J17" s="248"/>
      <c r="K17" s="248"/>
      <c r="L17" s="249"/>
    </row>
    <row r="18" spans="1:14" s="59" customFormat="1" ht="14.5" customHeight="1" x14ac:dyDescent="0.35">
      <c r="A18" s="113"/>
      <c r="B18" s="113"/>
      <c r="C18" s="113"/>
      <c r="D18" s="113"/>
      <c r="E18" s="113"/>
      <c r="F18" s="113"/>
      <c r="G18" s="113"/>
      <c r="H18" s="113"/>
      <c r="I18" s="113"/>
      <c r="J18" s="113"/>
      <c r="K18" s="113"/>
      <c r="L18" s="113"/>
    </row>
    <row r="19" spans="1:14" s="59" customFormat="1" ht="14.5" customHeight="1" x14ac:dyDescent="0.35">
      <c r="A19" s="287" t="s">
        <v>205</v>
      </c>
      <c r="B19" s="288"/>
      <c r="C19" s="288"/>
      <c r="D19" s="288"/>
      <c r="E19" s="288"/>
      <c r="F19" s="288"/>
      <c r="G19" s="288"/>
      <c r="H19" s="288"/>
      <c r="I19" s="288"/>
      <c r="J19" s="288"/>
      <c r="K19" s="288"/>
      <c r="L19" s="289"/>
    </row>
    <row r="20" spans="1:14" s="59" customFormat="1" ht="14.5" customHeight="1" x14ac:dyDescent="0.35">
      <c r="A20" s="290" t="s">
        <v>335</v>
      </c>
      <c r="B20" s="291"/>
      <c r="C20" s="291"/>
      <c r="D20" s="291"/>
      <c r="E20" s="291"/>
      <c r="F20" s="291"/>
      <c r="G20" s="291"/>
      <c r="H20" s="291"/>
      <c r="I20" s="291"/>
      <c r="J20" s="291"/>
      <c r="K20" s="291"/>
      <c r="L20" s="292"/>
    </row>
    <row r="21" spans="1:14" s="59" customFormat="1" ht="14.5" customHeight="1" x14ac:dyDescent="0.35">
      <c r="A21" s="293" t="s">
        <v>336</v>
      </c>
      <c r="B21" s="271"/>
      <c r="C21" s="271"/>
      <c r="D21" s="271"/>
      <c r="E21" s="271"/>
      <c r="F21" s="271"/>
      <c r="G21" s="271"/>
      <c r="H21" s="271"/>
      <c r="I21" s="271"/>
      <c r="J21" s="271"/>
      <c r="K21" s="271"/>
      <c r="L21" s="272"/>
    </row>
    <row r="22" spans="1:14" s="59" customFormat="1" ht="14.5" customHeight="1" x14ac:dyDescent="0.35">
      <c r="A22" s="293" t="s">
        <v>206</v>
      </c>
      <c r="B22" s="271"/>
      <c r="C22" s="271"/>
      <c r="D22" s="271"/>
      <c r="E22" s="271"/>
      <c r="F22" s="271"/>
      <c r="G22" s="271"/>
      <c r="H22" s="271"/>
      <c r="I22" s="271"/>
      <c r="J22" s="271"/>
      <c r="K22" s="271"/>
      <c r="L22" s="272"/>
    </row>
    <row r="23" spans="1:14" s="59" customFormat="1" ht="14.5" customHeight="1" x14ac:dyDescent="0.35">
      <c r="A23" s="294" t="s">
        <v>337</v>
      </c>
      <c r="B23" s="295"/>
      <c r="C23" s="295"/>
      <c r="D23" s="295"/>
      <c r="E23" s="295"/>
      <c r="F23" s="295"/>
      <c r="G23" s="295"/>
      <c r="H23" s="295"/>
      <c r="I23" s="295"/>
      <c r="J23" s="295"/>
      <c r="K23" s="295"/>
      <c r="L23" s="296"/>
    </row>
    <row r="24" spans="1:14" s="59" customFormat="1" ht="14.5" customHeight="1" x14ac:dyDescent="0.35">
      <c r="A24" s="113"/>
      <c r="B24" s="113"/>
      <c r="C24" s="113"/>
      <c r="D24" s="113"/>
      <c r="E24" s="113"/>
      <c r="F24" s="113"/>
      <c r="G24" s="113"/>
      <c r="H24" s="113"/>
      <c r="I24" s="113"/>
      <c r="J24" s="113"/>
      <c r="K24" s="113"/>
      <c r="L24" s="113"/>
    </row>
    <row r="25" spans="1:14" s="59" customFormat="1" ht="16.5" customHeight="1" x14ac:dyDescent="0.35">
      <c r="A25" s="297" t="s">
        <v>333</v>
      </c>
      <c r="B25" s="298"/>
      <c r="C25" s="298"/>
      <c r="D25" s="298"/>
      <c r="E25" s="298"/>
      <c r="F25" s="298"/>
      <c r="G25" s="298"/>
      <c r="H25" s="298"/>
      <c r="I25" s="298"/>
      <c r="J25" s="298"/>
      <c r="K25" s="298"/>
      <c r="L25" s="299"/>
      <c r="N25" s="1"/>
    </row>
    <row r="26" spans="1:14" s="59" customFormat="1" ht="16.5" customHeight="1" x14ac:dyDescent="0.35">
      <c r="A26" s="276" t="s">
        <v>215</v>
      </c>
      <c r="B26" s="277"/>
      <c r="C26" s="277"/>
      <c r="D26" s="277"/>
      <c r="E26" s="277"/>
      <c r="F26" s="277"/>
      <c r="G26" s="277"/>
      <c r="H26" s="277"/>
      <c r="I26" s="277"/>
      <c r="J26" s="277"/>
      <c r="K26" s="277"/>
      <c r="L26" s="278"/>
      <c r="N26" s="1"/>
    </row>
    <row r="27" spans="1:14" s="59" customFormat="1" ht="15" customHeight="1" x14ac:dyDescent="0.35">
      <c r="A27" s="227">
        <v>1</v>
      </c>
      <c r="B27" s="264" t="s">
        <v>214</v>
      </c>
      <c r="C27" s="264"/>
      <c r="D27" s="264"/>
      <c r="E27" s="264"/>
      <c r="F27" s="264"/>
      <c r="G27" s="264"/>
      <c r="H27" s="264"/>
      <c r="I27" s="264"/>
      <c r="J27" s="264"/>
      <c r="K27" s="264"/>
      <c r="L27" s="265"/>
    </row>
    <row r="28" spans="1:14" s="59" customFormat="1" ht="30" customHeight="1" x14ac:dyDescent="0.35">
      <c r="A28" s="227">
        <v>2</v>
      </c>
      <c r="B28" s="264" t="s">
        <v>329</v>
      </c>
      <c r="C28" s="264"/>
      <c r="D28" s="264"/>
      <c r="E28" s="264"/>
      <c r="F28" s="264"/>
      <c r="G28" s="264"/>
      <c r="H28" s="264"/>
      <c r="I28" s="264"/>
      <c r="J28" s="264"/>
      <c r="K28" s="264"/>
      <c r="L28" s="265"/>
      <c r="N28" s="106"/>
    </row>
    <row r="29" spans="1:14" s="59" customFormat="1" ht="15" customHeight="1" x14ac:dyDescent="0.35">
      <c r="A29" s="227">
        <v>3</v>
      </c>
      <c r="B29" s="264" t="s">
        <v>207</v>
      </c>
      <c r="C29" s="264"/>
      <c r="D29" s="264"/>
      <c r="E29" s="264"/>
      <c r="F29" s="264"/>
      <c r="G29" s="264"/>
      <c r="H29" s="264"/>
      <c r="I29" s="264"/>
      <c r="J29" s="264"/>
      <c r="K29" s="264"/>
      <c r="L29" s="265"/>
      <c r="N29" s="106"/>
    </row>
    <row r="30" spans="1:14" s="59" customFormat="1" ht="15" customHeight="1" x14ac:dyDescent="0.35">
      <c r="A30" s="227">
        <v>4</v>
      </c>
      <c r="B30" s="264" t="s">
        <v>338</v>
      </c>
      <c r="C30" s="264"/>
      <c r="D30" s="264"/>
      <c r="E30" s="264"/>
      <c r="F30" s="264"/>
      <c r="G30" s="264"/>
      <c r="H30" s="264"/>
      <c r="I30" s="264"/>
      <c r="J30" s="264"/>
      <c r="K30" s="264"/>
      <c r="L30" s="265"/>
      <c r="N30" s="106"/>
    </row>
    <row r="31" spans="1:14" s="59" customFormat="1" ht="15" customHeight="1" x14ac:dyDescent="0.35">
      <c r="A31" s="227">
        <v>5</v>
      </c>
      <c r="B31" s="264" t="s">
        <v>208</v>
      </c>
      <c r="C31" s="264"/>
      <c r="D31" s="264"/>
      <c r="E31" s="264"/>
      <c r="F31" s="264"/>
      <c r="G31" s="264"/>
      <c r="H31" s="264"/>
      <c r="I31" s="264"/>
      <c r="J31" s="264"/>
      <c r="K31" s="264"/>
      <c r="L31" s="265"/>
      <c r="N31" s="106"/>
    </row>
    <row r="32" spans="1:14" s="59" customFormat="1" ht="15" customHeight="1" x14ac:dyDescent="0.35">
      <c r="A32" s="227"/>
      <c r="B32" s="264" t="s">
        <v>209</v>
      </c>
      <c r="C32" s="264"/>
      <c r="D32" s="264"/>
      <c r="E32" s="264"/>
      <c r="F32" s="264"/>
      <c r="G32" s="264"/>
      <c r="H32" s="264"/>
      <c r="I32" s="264"/>
      <c r="J32" s="264"/>
      <c r="K32" s="264"/>
      <c r="L32" s="265"/>
      <c r="N32" s="106"/>
    </row>
    <row r="33" spans="1:14" s="59" customFormat="1" ht="15" customHeight="1" x14ac:dyDescent="0.35">
      <c r="A33" s="227"/>
      <c r="B33" s="264" t="s">
        <v>210</v>
      </c>
      <c r="C33" s="264"/>
      <c r="D33" s="264"/>
      <c r="E33" s="264"/>
      <c r="F33" s="264"/>
      <c r="G33" s="264"/>
      <c r="H33" s="264"/>
      <c r="I33" s="264"/>
      <c r="J33" s="264"/>
      <c r="K33" s="264"/>
      <c r="L33" s="265"/>
      <c r="N33" s="106"/>
    </row>
    <row r="34" spans="1:14" s="59" customFormat="1" ht="15" customHeight="1" x14ac:dyDescent="0.35">
      <c r="A34" s="273" t="s">
        <v>216</v>
      </c>
      <c r="B34" s="274"/>
      <c r="C34" s="274"/>
      <c r="D34" s="274"/>
      <c r="E34" s="274"/>
      <c r="F34" s="274"/>
      <c r="G34" s="274"/>
      <c r="H34" s="274"/>
      <c r="I34" s="274"/>
      <c r="J34" s="274"/>
      <c r="K34" s="274"/>
      <c r="L34" s="275"/>
      <c r="N34" s="106"/>
    </row>
    <row r="35" spans="1:14" s="59" customFormat="1" ht="15" customHeight="1" x14ac:dyDescent="0.35">
      <c r="A35" s="227">
        <v>1</v>
      </c>
      <c r="B35" s="264" t="s">
        <v>211</v>
      </c>
      <c r="C35" s="264"/>
      <c r="D35" s="264"/>
      <c r="E35" s="264"/>
      <c r="F35" s="264"/>
      <c r="G35" s="264"/>
      <c r="H35" s="264"/>
      <c r="I35" s="264"/>
      <c r="J35" s="264"/>
      <c r="K35" s="264"/>
      <c r="L35" s="265"/>
      <c r="N35" s="106"/>
    </row>
    <row r="36" spans="1:14" s="59" customFormat="1" ht="30.75" customHeight="1" x14ac:dyDescent="0.35">
      <c r="A36" s="227"/>
      <c r="B36" s="262" t="s">
        <v>339</v>
      </c>
      <c r="C36" s="262"/>
      <c r="D36" s="262"/>
      <c r="E36" s="262"/>
      <c r="F36" s="262"/>
      <c r="G36" s="262"/>
      <c r="H36" s="262"/>
      <c r="I36" s="262"/>
      <c r="J36" s="262"/>
      <c r="K36" s="262"/>
      <c r="L36" s="263"/>
      <c r="N36" s="106"/>
    </row>
    <row r="37" spans="1:14" s="59" customFormat="1" ht="29.5" customHeight="1" x14ac:dyDescent="0.35">
      <c r="A37" s="227">
        <v>2</v>
      </c>
      <c r="B37" s="264" t="s">
        <v>332</v>
      </c>
      <c r="C37" s="264"/>
      <c r="D37" s="264"/>
      <c r="E37" s="264"/>
      <c r="F37" s="264"/>
      <c r="G37" s="264"/>
      <c r="H37" s="264"/>
      <c r="I37" s="264"/>
      <c r="J37" s="264"/>
      <c r="K37" s="264"/>
      <c r="L37" s="265"/>
      <c r="N37" s="106"/>
    </row>
    <row r="38" spans="1:14" s="59" customFormat="1" ht="26.5" customHeight="1" x14ac:dyDescent="0.35">
      <c r="A38" s="227">
        <v>3</v>
      </c>
      <c r="B38" s="264" t="s">
        <v>321</v>
      </c>
      <c r="C38" s="264"/>
      <c r="D38" s="264"/>
      <c r="E38" s="264"/>
      <c r="F38" s="264"/>
      <c r="G38" s="264"/>
      <c r="H38" s="264"/>
      <c r="I38" s="264"/>
      <c r="J38" s="264"/>
      <c r="K38" s="264"/>
      <c r="L38" s="265"/>
      <c r="N38" s="106"/>
    </row>
    <row r="39" spans="1:14" s="59" customFormat="1" ht="26.5" customHeight="1" x14ac:dyDescent="0.35">
      <c r="A39" s="227">
        <v>4</v>
      </c>
      <c r="B39" s="264" t="s">
        <v>340</v>
      </c>
      <c r="C39" s="264"/>
      <c r="D39" s="264"/>
      <c r="E39" s="264"/>
      <c r="F39" s="264"/>
      <c r="G39" s="264"/>
      <c r="H39" s="264"/>
      <c r="I39" s="264"/>
      <c r="J39" s="264"/>
      <c r="K39" s="264"/>
      <c r="L39" s="265"/>
      <c r="N39" s="106"/>
    </row>
    <row r="40" spans="1:14" s="59" customFormat="1" ht="15" customHeight="1" x14ac:dyDescent="0.35">
      <c r="A40" s="227">
        <v>5</v>
      </c>
      <c r="B40" s="262" t="s">
        <v>322</v>
      </c>
      <c r="C40" s="262"/>
      <c r="D40" s="262"/>
      <c r="E40" s="262"/>
      <c r="F40" s="262"/>
      <c r="G40" s="262"/>
      <c r="H40" s="262"/>
      <c r="I40" s="262"/>
      <c r="J40" s="262"/>
      <c r="K40" s="262"/>
      <c r="L40" s="263"/>
      <c r="N40" s="106"/>
    </row>
    <row r="41" spans="1:14" s="59" customFormat="1" ht="28.5" customHeight="1" x14ac:dyDescent="0.35">
      <c r="A41" s="227">
        <v>6</v>
      </c>
      <c r="B41" s="262" t="s">
        <v>327</v>
      </c>
      <c r="C41" s="262"/>
      <c r="D41" s="262"/>
      <c r="E41" s="262"/>
      <c r="F41" s="262"/>
      <c r="G41" s="262"/>
      <c r="H41" s="262"/>
      <c r="I41" s="262"/>
      <c r="J41" s="262"/>
      <c r="K41" s="262"/>
      <c r="L41" s="263"/>
      <c r="N41" s="106"/>
    </row>
    <row r="42" spans="1:14" s="59" customFormat="1" ht="16.5" customHeight="1" x14ac:dyDescent="0.35">
      <c r="A42" s="227">
        <v>7</v>
      </c>
      <c r="B42" s="264" t="s">
        <v>323</v>
      </c>
      <c r="C42" s="264"/>
      <c r="D42" s="264"/>
      <c r="E42" s="264"/>
      <c r="F42" s="264"/>
      <c r="G42" s="264"/>
      <c r="H42" s="264"/>
      <c r="I42" s="264"/>
      <c r="J42" s="264"/>
      <c r="K42" s="264"/>
      <c r="L42" s="265"/>
    </row>
    <row r="43" spans="1:14" s="59" customFormat="1" ht="17.5" customHeight="1" x14ac:dyDescent="0.35">
      <c r="A43" s="227"/>
      <c r="B43" s="228"/>
      <c r="C43" s="228"/>
      <c r="D43" s="228"/>
      <c r="E43" s="228"/>
      <c r="F43" s="228"/>
      <c r="G43" s="228"/>
      <c r="H43" s="228"/>
      <c r="I43" s="228"/>
      <c r="J43" s="228"/>
      <c r="K43" s="228"/>
      <c r="L43" s="229"/>
    </row>
    <row r="44" spans="1:14" s="59" customFormat="1" ht="16.5" customHeight="1" x14ac:dyDescent="0.35">
      <c r="A44" s="273" t="s">
        <v>326</v>
      </c>
      <c r="B44" s="274"/>
      <c r="C44" s="274"/>
      <c r="D44" s="274"/>
      <c r="E44" s="274"/>
      <c r="F44" s="274"/>
      <c r="G44" s="274"/>
      <c r="H44" s="274"/>
      <c r="I44" s="274"/>
      <c r="J44" s="274"/>
      <c r="K44" s="274"/>
      <c r="L44" s="275"/>
    </row>
    <row r="45" spans="1:14" s="59" customFormat="1" ht="15" customHeight="1" x14ac:dyDescent="0.35">
      <c r="A45" s="230" t="s">
        <v>324</v>
      </c>
      <c r="B45" s="264" t="s">
        <v>212</v>
      </c>
      <c r="C45" s="264"/>
      <c r="D45" s="264"/>
      <c r="E45" s="264"/>
      <c r="F45" s="264"/>
      <c r="G45" s="264"/>
      <c r="H45" s="264"/>
      <c r="I45" s="264"/>
      <c r="J45" s="264"/>
      <c r="K45" s="264"/>
      <c r="L45" s="265"/>
    </row>
    <row r="46" spans="1:14" s="59" customFormat="1" ht="30.75" customHeight="1" x14ac:dyDescent="0.35">
      <c r="A46" s="231" t="s">
        <v>325</v>
      </c>
      <c r="B46" s="266" t="s">
        <v>328</v>
      </c>
      <c r="C46" s="266"/>
      <c r="D46" s="266"/>
      <c r="E46" s="266"/>
      <c r="F46" s="266"/>
      <c r="G46" s="266"/>
      <c r="H46" s="266"/>
      <c r="I46" s="266"/>
      <c r="J46" s="266"/>
      <c r="K46" s="266"/>
      <c r="L46" s="267"/>
    </row>
    <row r="47" spans="1:14" s="59" customFormat="1" ht="18" customHeight="1" x14ac:dyDescent="0.35">
      <c r="A47" s="160"/>
      <c r="B47" s="113"/>
      <c r="C47" s="113"/>
      <c r="D47" s="113"/>
      <c r="E47" s="113"/>
      <c r="F47" s="113"/>
      <c r="G47" s="113"/>
      <c r="H47" s="113"/>
      <c r="I47" s="113"/>
      <c r="J47" s="113"/>
      <c r="K47" s="113"/>
      <c r="L47" s="113"/>
    </row>
    <row r="48" spans="1:14" s="1" customFormat="1" ht="16.5" customHeight="1" x14ac:dyDescent="0.35">
      <c r="A48" s="268" t="s">
        <v>240</v>
      </c>
      <c r="B48" s="269"/>
      <c r="C48" s="269"/>
      <c r="D48" s="269"/>
      <c r="E48" s="269"/>
      <c r="F48" s="269"/>
      <c r="G48" s="269"/>
      <c r="H48" s="269"/>
      <c r="I48" s="269"/>
      <c r="J48" s="269"/>
      <c r="K48" s="269"/>
      <c r="L48" s="270"/>
    </row>
    <row r="49" spans="1:12" s="1" customFormat="1" ht="16.5" customHeight="1" x14ac:dyDescent="0.35">
      <c r="A49" s="234" t="s">
        <v>213</v>
      </c>
      <c r="B49" s="161"/>
      <c r="C49" s="161"/>
      <c r="D49" s="161"/>
      <c r="E49" s="161"/>
      <c r="F49" s="161"/>
      <c r="G49" s="161"/>
      <c r="H49" s="161"/>
      <c r="I49" s="161"/>
      <c r="J49" s="161"/>
      <c r="K49" s="161"/>
      <c r="L49" s="162"/>
    </row>
    <row r="50" spans="1:12" ht="14.25" customHeight="1" x14ac:dyDescent="0.35">
      <c r="B50" s="84"/>
      <c r="C50" s="84"/>
      <c r="D50" s="84"/>
      <c r="E50" s="84"/>
      <c r="F50" s="84"/>
      <c r="G50" s="84"/>
      <c r="H50" s="84"/>
      <c r="I50" s="84"/>
      <c r="J50" s="84"/>
      <c r="K50" s="84"/>
      <c r="L50" s="84"/>
    </row>
    <row r="51" spans="1:12" ht="16.5" customHeight="1" x14ac:dyDescent="0.35">
      <c r="A51" s="163" t="s">
        <v>166</v>
      </c>
      <c r="B51" s="164"/>
      <c r="C51" s="164"/>
      <c r="D51" s="165"/>
      <c r="E51" s="164"/>
      <c r="F51" s="164"/>
      <c r="G51" s="164"/>
      <c r="H51" s="164"/>
      <c r="I51" s="164"/>
      <c r="J51" s="164"/>
      <c r="K51" s="164"/>
      <c r="L51" s="166"/>
    </row>
    <row r="52" spans="1:12" ht="15" customHeight="1" x14ac:dyDescent="0.35">
      <c r="A52" s="167"/>
      <c r="B52" s="168" t="s">
        <v>62</v>
      </c>
      <c r="C52" s="169" t="s">
        <v>79</v>
      </c>
      <c r="D52" s="169"/>
      <c r="E52" s="169"/>
      <c r="F52" s="169"/>
      <c r="G52" s="169"/>
      <c r="H52" s="169"/>
      <c r="I52" s="169"/>
      <c r="J52" s="169"/>
      <c r="K52" s="169"/>
      <c r="L52" s="170"/>
    </row>
    <row r="53" spans="1:12" ht="14.25" customHeight="1" x14ac:dyDescent="0.35">
      <c r="A53" s="167"/>
      <c r="B53" s="168" t="s">
        <v>81</v>
      </c>
      <c r="C53" s="169" t="s">
        <v>91</v>
      </c>
      <c r="D53" s="169"/>
      <c r="E53" s="169"/>
      <c r="F53" s="169"/>
      <c r="G53" s="169"/>
      <c r="H53" s="169"/>
      <c r="I53" s="169"/>
      <c r="J53" s="169"/>
      <c r="K53" s="169"/>
      <c r="L53" s="170"/>
    </row>
    <row r="54" spans="1:12" s="58" customFormat="1" ht="33.75" customHeight="1" x14ac:dyDescent="0.35">
      <c r="A54" s="167"/>
      <c r="B54" s="168" t="s">
        <v>62</v>
      </c>
      <c r="C54" s="271" t="s">
        <v>312</v>
      </c>
      <c r="D54" s="271"/>
      <c r="E54" s="271"/>
      <c r="F54" s="271"/>
      <c r="G54" s="271"/>
      <c r="H54" s="271"/>
      <c r="I54" s="271"/>
      <c r="J54" s="271"/>
      <c r="K54" s="271"/>
      <c r="L54" s="272"/>
    </row>
    <row r="55" spans="1:12" s="58" customFormat="1" ht="33.75" customHeight="1" x14ac:dyDescent="0.35">
      <c r="A55" s="167"/>
      <c r="B55" s="168" t="s">
        <v>313</v>
      </c>
      <c r="C55" s="271" t="s">
        <v>314</v>
      </c>
      <c r="D55" s="271"/>
      <c r="E55" s="271"/>
      <c r="F55" s="271"/>
      <c r="G55" s="271"/>
      <c r="H55" s="271"/>
      <c r="I55" s="271"/>
      <c r="J55" s="271"/>
      <c r="K55" s="271"/>
      <c r="L55" s="272"/>
    </row>
    <row r="56" spans="1:12" s="58" customFormat="1" ht="33.75" customHeight="1" x14ac:dyDescent="0.35">
      <c r="A56" s="167"/>
      <c r="B56" s="168" t="s">
        <v>382</v>
      </c>
      <c r="C56" s="271" t="s">
        <v>383</v>
      </c>
      <c r="D56" s="271"/>
      <c r="E56" s="271"/>
      <c r="F56" s="271"/>
      <c r="G56" s="271"/>
      <c r="H56" s="271"/>
      <c r="I56" s="271"/>
      <c r="J56" s="271"/>
      <c r="K56" s="271"/>
      <c r="L56" s="272"/>
    </row>
    <row r="57" spans="1:12" ht="30.75" customHeight="1" x14ac:dyDescent="0.35">
      <c r="A57" s="167"/>
      <c r="B57" s="168" t="s">
        <v>138</v>
      </c>
      <c r="C57" s="271" t="s">
        <v>139</v>
      </c>
      <c r="D57" s="271"/>
      <c r="E57" s="271"/>
      <c r="F57" s="271"/>
      <c r="G57" s="271"/>
      <c r="H57" s="271"/>
      <c r="I57" s="271"/>
      <c r="J57" s="271"/>
      <c r="K57" s="271"/>
      <c r="L57" s="272"/>
    </row>
    <row r="58" spans="1:12" ht="30.75" customHeight="1" x14ac:dyDescent="0.35">
      <c r="A58" s="167"/>
      <c r="B58" s="168" t="s">
        <v>238</v>
      </c>
      <c r="C58" s="271" t="s">
        <v>239</v>
      </c>
      <c r="D58" s="271"/>
      <c r="E58" s="271"/>
      <c r="F58" s="271"/>
      <c r="G58" s="271"/>
      <c r="H58" s="271"/>
      <c r="I58" s="271"/>
      <c r="J58" s="271"/>
      <c r="K58" s="271"/>
      <c r="L58" s="272"/>
    </row>
    <row r="59" spans="1:12" x14ac:dyDescent="0.35">
      <c r="A59" s="167"/>
      <c r="B59" s="168" t="s">
        <v>203</v>
      </c>
      <c r="C59" s="169" t="s">
        <v>315</v>
      </c>
      <c r="D59" s="169"/>
      <c r="E59" s="169"/>
      <c r="F59" s="169"/>
      <c r="G59" s="169"/>
      <c r="H59" s="169"/>
      <c r="I59" s="169"/>
      <c r="J59" s="169"/>
      <c r="K59" s="169"/>
      <c r="L59" s="170"/>
    </row>
    <row r="60" spans="1:12" ht="14.5" customHeight="1" x14ac:dyDescent="0.35">
      <c r="A60" s="167"/>
      <c r="B60" s="168" t="s">
        <v>63</v>
      </c>
      <c r="C60" s="271" t="s">
        <v>316</v>
      </c>
      <c r="D60" s="271"/>
      <c r="E60" s="271"/>
      <c r="F60" s="271"/>
      <c r="G60" s="271"/>
      <c r="H60" s="271"/>
      <c r="I60" s="271"/>
      <c r="J60" s="271"/>
      <c r="K60" s="271"/>
      <c r="L60" s="272"/>
    </row>
    <row r="61" spans="1:12" x14ac:dyDescent="0.35">
      <c r="A61" s="167"/>
      <c r="B61" s="168" t="s">
        <v>75</v>
      </c>
      <c r="C61" s="169" t="s">
        <v>76</v>
      </c>
      <c r="D61" s="169"/>
      <c r="E61" s="169"/>
      <c r="F61" s="169"/>
      <c r="G61" s="169"/>
      <c r="H61" s="169"/>
      <c r="I61" s="169"/>
      <c r="J61" s="169"/>
      <c r="K61" s="169"/>
      <c r="L61" s="170"/>
    </row>
    <row r="62" spans="1:12" x14ac:dyDescent="0.35">
      <c r="A62" s="171"/>
      <c r="B62" s="172" t="s">
        <v>159</v>
      </c>
      <c r="C62" s="173" t="s">
        <v>160</v>
      </c>
      <c r="D62" s="173"/>
      <c r="E62" s="173"/>
      <c r="F62" s="173"/>
      <c r="G62" s="173"/>
      <c r="H62" s="173"/>
      <c r="I62" s="173"/>
      <c r="J62" s="173"/>
      <c r="K62" s="173"/>
      <c r="L62" s="174"/>
    </row>
    <row r="64" spans="1:12" x14ac:dyDescent="0.35">
      <c r="A64" s="1" t="s">
        <v>92</v>
      </c>
    </row>
    <row r="65" spans="1:12" x14ac:dyDescent="0.35">
      <c r="A65" s="1" t="s">
        <v>93</v>
      </c>
    </row>
    <row r="66" spans="1:12" x14ac:dyDescent="0.35">
      <c r="A66" t="s">
        <v>94</v>
      </c>
    </row>
    <row r="67" spans="1:12" x14ac:dyDescent="0.35">
      <c r="A67" s="45" t="s">
        <v>95</v>
      </c>
    </row>
    <row r="68" spans="1:12" x14ac:dyDescent="0.35">
      <c r="A68" s="45" t="s">
        <v>96</v>
      </c>
    </row>
    <row r="69" spans="1:12" x14ac:dyDescent="0.35">
      <c r="A69" s="45"/>
    </row>
    <row r="70" spans="1:12" x14ac:dyDescent="0.35">
      <c r="A70" s="247" t="s">
        <v>396</v>
      </c>
    </row>
    <row r="71" spans="1:12" x14ac:dyDescent="0.35">
      <c r="A71" s="246" t="s">
        <v>397</v>
      </c>
    </row>
    <row r="72" spans="1:12" x14ac:dyDescent="0.35">
      <c r="A72" s="45" t="s">
        <v>398</v>
      </c>
    </row>
    <row r="73" spans="1:12" x14ac:dyDescent="0.35">
      <c r="A73" s="45"/>
    </row>
    <row r="74" spans="1:12" x14ac:dyDescent="0.35">
      <c r="A74" s="1" t="s">
        <v>201</v>
      </c>
    </row>
    <row r="75" spans="1:12" x14ac:dyDescent="0.35">
      <c r="A75" s="45" t="s">
        <v>317</v>
      </c>
    </row>
    <row r="77" spans="1:12" x14ac:dyDescent="0.35">
      <c r="A77" s="1" t="s">
        <v>23</v>
      </c>
    </row>
    <row r="78" spans="1:12" ht="29.15" customHeight="1" x14ac:dyDescent="0.35">
      <c r="A78" s="261" t="s">
        <v>407</v>
      </c>
      <c r="B78" s="261"/>
      <c r="C78" s="261"/>
      <c r="D78" s="261"/>
      <c r="E78" s="261"/>
      <c r="F78" s="261"/>
      <c r="G78" s="261"/>
      <c r="H78" s="261"/>
      <c r="I78" s="261"/>
      <c r="J78" s="261"/>
      <c r="K78" s="261"/>
      <c r="L78" s="261"/>
    </row>
    <row r="83" ht="16" customHeight="1" x14ac:dyDescent="0.35"/>
    <row r="84" ht="29.25" customHeight="1" x14ac:dyDescent="0.35"/>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78:L78"/>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5" r:id="rId3" xr:uid="{A0F8DE06-D9FC-495F-9A01-AA199CB82365}"/>
    <hyperlink ref="A48:L48" r:id="rId4" display="LETS START (visual directions as pdf)" xr:uid="{0D075873-7EBB-4309-B00A-6A62EA192A0C}"/>
    <hyperlink ref="A49" r:id="rId5" xr:uid="{25154A32-BA44-496E-9945-086DE0980DBD}"/>
    <hyperlink ref="A72" r:id="rId6" xr:uid="{AA792CE4-4071-4CE8-87C6-993A0BA6C6A5}"/>
    <hyperlink ref="E17" r:id="rId7" xr:uid="{218FEB9D-6782-4420-9DCE-4D6F20EDE6D5}"/>
  </hyperlinks>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42" t="s">
        <v>156</v>
      </c>
      <c r="B3" s="342"/>
      <c r="C3" s="342"/>
      <c r="D3" s="128" t="s">
        <v>155</v>
      </c>
    </row>
    <row r="4" spans="1:4" ht="30" customHeight="1" x14ac:dyDescent="0.35">
      <c r="A4" s="343" t="s">
        <v>152</v>
      </c>
      <c r="B4" s="343"/>
      <c r="C4" s="343"/>
      <c r="D4" s="175" t="s">
        <v>222</v>
      </c>
    </row>
    <row r="5" spans="1:4" ht="43.5" x14ac:dyDescent="0.35">
      <c r="A5" s="347" t="s">
        <v>223</v>
      </c>
      <c r="B5" s="344"/>
      <c r="C5" s="344"/>
      <c r="D5" s="176" t="s">
        <v>241</v>
      </c>
    </row>
    <row r="6" spans="1:4" ht="57.5" customHeight="1" x14ac:dyDescent="0.35">
      <c r="A6" s="345" t="s">
        <v>224</v>
      </c>
      <c r="B6" s="345"/>
      <c r="C6" s="345"/>
      <c r="D6" s="177" t="s">
        <v>225</v>
      </c>
    </row>
    <row r="7" spans="1:4" ht="29" x14ac:dyDescent="0.35">
      <c r="A7" s="346" t="s">
        <v>21</v>
      </c>
      <c r="B7" s="346"/>
      <c r="C7" s="346"/>
      <c r="D7" s="178" t="s">
        <v>226</v>
      </c>
    </row>
    <row r="11" spans="1:4" x14ac:dyDescent="0.35">
      <c r="A11" s="343" t="s">
        <v>152</v>
      </c>
      <c r="B11" s="343"/>
      <c r="C11" s="343"/>
    </row>
    <row r="12" spans="1:4" x14ac:dyDescent="0.35">
      <c r="A12" s="344" t="s">
        <v>153</v>
      </c>
      <c r="B12" s="344"/>
      <c r="C12" s="344"/>
    </row>
    <row r="13" spans="1:4" x14ac:dyDescent="0.35">
      <c r="A13" s="345" t="s">
        <v>154</v>
      </c>
      <c r="B13" s="345"/>
      <c r="C13" s="345"/>
    </row>
    <row r="14" spans="1:4" x14ac:dyDescent="0.35">
      <c r="A14" s="346" t="s">
        <v>21</v>
      </c>
      <c r="B14" s="346"/>
      <c r="C14" s="34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5" sqref="F5"/>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40"/>
    </row>
    <row r="3" spans="1:11" ht="43.5" x14ac:dyDescent="0.35">
      <c r="A3" s="57">
        <v>45604</v>
      </c>
      <c r="B3" s="149" t="s">
        <v>287</v>
      </c>
      <c r="C3" s="56" t="s">
        <v>318</v>
      </c>
      <c r="D3" s="55">
        <v>4</v>
      </c>
      <c r="E3" s="55" t="s">
        <v>285</v>
      </c>
      <c r="F3" s="55" t="s">
        <v>285</v>
      </c>
      <c r="G3" s="57"/>
      <c r="I3" s="38"/>
      <c r="J3" s="38"/>
      <c r="K3" s="39"/>
    </row>
    <row r="4" spans="1:11" x14ac:dyDescent="0.35">
      <c r="A4" s="57">
        <v>45611</v>
      </c>
      <c r="B4" s="149" t="s">
        <v>319</v>
      </c>
      <c r="C4" s="56" t="s">
        <v>320</v>
      </c>
      <c r="D4" s="55">
        <v>0.3</v>
      </c>
      <c r="E4" s="55" t="s">
        <v>285</v>
      </c>
      <c r="F4" s="55" t="s">
        <v>285</v>
      </c>
      <c r="G4" s="57"/>
      <c r="I4" s="38"/>
      <c r="J4" s="38"/>
      <c r="K4" s="40"/>
    </row>
    <row r="5" spans="1:11" ht="40.5" customHeight="1" x14ac:dyDescent="0.35">
      <c r="A5" s="57">
        <v>45622</v>
      </c>
      <c r="B5" s="149" t="s">
        <v>346</v>
      </c>
      <c r="C5" s="56" t="s">
        <v>347</v>
      </c>
      <c r="D5" s="55">
        <v>4</v>
      </c>
      <c r="E5" s="55" t="s">
        <v>285</v>
      </c>
      <c r="F5" s="55" t="s">
        <v>285</v>
      </c>
      <c r="G5" s="57"/>
      <c r="I5" s="38"/>
      <c r="J5" s="38"/>
      <c r="K5" s="40"/>
    </row>
    <row r="6" spans="1:11" ht="38.5" customHeight="1" x14ac:dyDescent="0.35">
      <c r="A6" s="57">
        <v>45666</v>
      </c>
      <c r="B6" s="149" t="s">
        <v>355</v>
      </c>
      <c r="C6" s="56" t="s">
        <v>356</v>
      </c>
      <c r="D6" s="55">
        <v>3</v>
      </c>
      <c r="E6" s="55" t="s">
        <v>285</v>
      </c>
      <c r="F6" s="55" t="s">
        <v>285</v>
      </c>
      <c r="G6" s="57"/>
      <c r="I6" s="38"/>
      <c r="J6" s="38"/>
      <c r="K6" s="39"/>
    </row>
    <row r="7" spans="1:11" ht="58" x14ac:dyDescent="0.35">
      <c r="A7" s="57">
        <v>45670</v>
      </c>
      <c r="B7" s="149" t="s">
        <v>360</v>
      </c>
      <c r="C7" s="38" t="s">
        <v>357</v>
      </c>
      <c r="D7" s="55">
        <v>0.5</v>
      </c>
      <c r="E7" s="55" t="s">
        <v>285</v>
      </c>
      <c r="F7" s="55" t="s">
        <v>285</v>
      </c>
      <c r="G7" s="57"/>
      <c r="I7" s="38"/>
      <c r="J7" s="41"/>
      <c r="K7" s="40"/>
    </row>
    <row r="8" spans="1:11" ht="29" x14ac:dyDescent="0.35">
      <c r="A8" s="57">
        <v>45671</v>
      </c>
      <c r="B8" s="149" t="s">
        <v>387</v>
      </c>
      <c r="C8" s="56" t="s">
        <v>388</v>
      </c>
      <c r="D8" s="55">
        <v>0.5</v>
      </c>
      <c r="E8" s="55" t="s">
        <v>285</v>
      </c>
      <c r="F8" s="55" t="s">
        <v>285</v>
      </c>
      <c r="G8" s="57"/>
      <c r="I8" s="38"/>
      <c r="J8" s="41"/>
      <c r="K8" s="40"/>
    </row>
    <row r="9" spans="1:11" ht="29" x14ac:dyDescent="0.35">
      <c r="A9" s="57">
        <v>45681</v>
      </c>
      <c r="B9" s="149" t="s">
        <v>401</v>
      </c>
      <c r="C9" s="56" t="s">
        <v>402</v>
      </c>
      <c r="D9" s="55">
        <v>0.25</v>
      </c>
      <c r="E9" s="55" t="s">
        <v>285</v>
      </c>
      <c r="F9" s="55" t="s">
        <v>285</v>
      </c>
      <c r="G9" s="57"/>
      <c r="I9" s="38"/>
      <c r="J9" s="38"/>
      <c r="K9" s="40"/>
    </row>
    <row r="10" spans="1:11" ht="29" x14ac:dyDescent="0.35">
      <c r="A10" s="57">
        <v>45681</v>
      </c>
      <c r="B10" s="149" t="s">
        <v>405</v>
      </c>
      <c r="C10" s="56" t="s">
        <v>406</v>
      </c>
      <c r="D10" s="55">
        <v>1</v>
      </c>
      <c r="E10" s="55" t="s">
        <v>285</v>
      </c>
      <c r="F10" s="38" t="s">
        <v>403</v>
      </c>
      <c r="G10" s="57">
        <v>45678</v>
      </c>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activeCell="N65" sqref="N65"/>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305" t="str">
        <f>'ReadMe-Directions'!A1</f>
        <v>Immersive Model for Lake Mead based on the Principle of Divide Reservoir Inflow</v>
      </c>
      <c r="B1" s="305"/>
      <c r="C1" s="305"/>
      <c r="D1" s="305"/>
      <c r="E1" s="305"/>
      <c r="F1" s="305"/>
      <c r="G1" s="305"/>
    </row>
    <row r="2" spans="1:14" x14ac:dyDescent="0.35">
      <c r="A2" s="1" t="s">
        <v>218</v>
      </c>
      <c r="B2" s="1"/>
    </row>
    <row r="3" spans="1:14" ht="32.15" customHeight="1" x14ac:dyDescent="0.35">
      <c r="A3" s="313" t="s">
        <v>230</v>
      </c>
      <c r="B3" s="313"/>
      <c r="C3" s="313"/>
      <c r="D3" s="313"/>
      <c r="E3" s="313"/>
      <c r="F3" s="313"/>
      <c r="G3" s="313"/>
      <c r="H3" s="84"/>
      <c r="I3" s="84"/>
      <c r="J3" s="84"/>
      <c r="K3" s="84"/>
      <c r="N3" s="137" t="s">
        <v>196</v>
      </c>
    </row>
    <row r="4" spans="1:14" x14ac:dyDescent="0.35">
      <c r="A4" s="127" t="s">
        <v>308</v>
      </c>
      <c r="B4" s="127" t="s">
        <v>19</v>
      </c>
      <c r="C4" s="314" t="s">
        <v>309</v>
      </c>
      <c r="D4" s="315"/>
      <c r="E4" s="315"/>
      <c r="F4" s="315"/>
      <c r="G4" s="316"/>
      <c r="N4" s="141" t="s">
        <v>384</v>
      </c>
    </row>
    <row r="5" spans="1:14" x14ac:dyDescent="0.35">
      <c r="A5" s="90" t="s">
        <v>283</v>
      </c>
      <c r="B5" s="114"/>
      <c r="C5" s="317"/>
      <c r="D5" s="312"/>
      <c r="E5" s="312"/>
      <c r="F5" s="312"/>
      <c r="G5" s="312"/>
      <c r="N5" s="141"/>
    </row>
    <row r="6" spans="1:14" x14ac:dyDescent="0.35">
      <c r="A6" s="90" t="s">
        <v>242</v>
      </c>
      <c r="B6" s="114"/>
      <c r="C6" s="317"/>
      <c r="D6" s="312"/>
      <c r="E6" s="312"/>
      <c r="F6" s="312"/>
      <c r="G6" s="312"/>
      <c r="N6" s="142"/>
    </row>
    <row r="7" spans="1:14" x14ac:dyDescent="0.35">
      <c r="A7" s="90" t="s">
        <v>243</v>
      </c>
      <c r="B7" s="114"/>
      <c r="C7" s="317"/>
      <c r="D7" s="312"/>
      <c r="E7" s="312"/>
      <c r="F7" s="312"/>
      <c r="G7" s="312"/>
      <c r="N7" s="142"/>
    </row>
    <row r="8" spans="1:14" x14ac:dyDescent="0.35">
      <c r="A8" s="114" t="s">
        <v>244</v>
      </c>
      <c r="B8" s="90"/>
      <c r="C8" s="312"/>
      <c r="D8" s="312"/>
      <c r="E8" s="312"/>
      <c r="F8" s="312"/>
      <c r="G8" s="312"/>
      <c r="N8" s="142"/>
    </row>
    <row r="9" spans="1:14" x14ac:dyDescent="0.35">
      <c r="A9" s="114" t="s">
        <v>18</v>
      </c>
      <c r="B9" s="90"/>
      <c r="C9" s="318"/>
      <c r="D9" s="318"/>
      <c r="E9" s="318"/>
      <c r="F9" s="318"/>
      <c r="G9" s="318"/>
      <c r="N9" s="142"/>
    </row>
    <row r="10" spans="1:14" x14ac:dyDescent="0.35">
      <c r="A10" s="90" t="s">
        <v>331</v>
      </c>
      <c r="B10" s="90"/>
      <c r="C10" s="312"/>
      <c r="D10" s="312"/>
      <c r="E10" s="312"/>
      <c r="F10" s="312"/>
      <c r="G10" s="312"/>
      <c r="N10" s="142"/>
    </row>
    <row r="11" spans="1:14" x14ac:dyDescent="0.35">
      <c r="A11" s="13"/>
      <c r="B11" s="2"/>
      <c r="C11"/>
      <c r="N11" s="142"/>
    </row>
    <row r="12" spans="1:14" x14ac:dyDescent="0.35">
      <c r="A12" s="15" t="s">
        <v>150</v>
      </c>
      <c r="B12" s="319" t="s">
        <v>152</v>
      </c>
      <c r="C12" s="320"/>
      <c r="D12" s="321"/>
      <c r="N12" s="141" t="s">
        <v>169</v>
      </c>
    </row>
    <row r="13" spans="1:14" x14ac:dyDescent="0.35">
      <c r="B13" s="322" t="s">
        <v>229</v>
      </c>
      <c r="C13" s="323"/>
      <c r="D13" s="324"/>
    </row>
    <row r="14" spans="1:14" x14ac:dyDescent="0.35">
      <c r="B14" s="306" t="s">
        <v>224</v>
      </c>
      <c r="C14" s="307"/>
      <c r="D14" s="308"/>
      <c r="N14" s="142"/>
    </row>
    <row r="15" spans="1:14" x14ac:dyDescent="0.35">
      <c r="B15" s="309" t="s">
        <v>21</v>
      </c>
      <c r="C15" s="310"/>
      <c r="D15" s="311"/>
      <c r="N15" s="142"/>
    </row>
    <row r="16" spans="1:14" x14ac:dyDescent="0.35">
      <c r="N16" s="142"/>
    </row>
    <row r="17" spans="1:14" ht="29" x14ac:dyDescent="0.35">
      <c r="A17" s="1" t="s">
        <v>298</v>
      </c>
      <c r="B17" s="226" t="s">
        <v>245</v>
      </c>
      <c r="C17" s="226" t="s">
        <v>246</v>
      </c>
      <c r="N17" s="141" t="s">
        <v>170</v>
      </c>
    </row>
    <row r="18" spans="1:14" x14ac:dyDescent="0.35">
      <c r="A18" t="s">
        <v>299</v>
      </c>
      <c r="B18" s="225">
        <v>6</v>
      </c>
      <c r="D18" s="16"/>
      <c r="N18" s="141" t="s">
        <v>172</v>
      </c>
    </row>
    <row r="19" spans="1:14" x14ac:dyDescent="0.35">
      <c r="A19" t="s">
        <v>300</v>
      </c>
      <c r="B19" s="217">
        <v>1063.29</v>
      </c>
      <c r="C19" s="12">
        <f>VLOOKUP(B19,'Mead-Elevation-Area'!$A$5:$B$676,2)/1000000</f>
        <v>8.6522179999999995</v>
      </c>
      <c r="D19" s="129" t="s">
        <v>404</v>
      </c>
      <c r="F19" s="254" t="s">
        <v>248</v>
      </c>
      <c r="N19" s="141" t="s">
        <v>171</v>
      </c>
    </row>
    <row r="20" spans="1:14" x14ac:dyDescent="0.35">
      <c r="A20" s="125" t="str">
        <f>"     Set "&amp;A5</f>
        <v xml:space="preserve">     Set Reclamation - Protect Zone</v>
      </c>
      <c r="B20" s="184">
        <v>1020</v>
      </c>
      <c r="C20" s="12">
        <f>VLOOKUP(IF(B20="",895,B20),'Mead-Elevation-Area'!$A$5:$B$689,2)/1000000</f>
        <v>5.664593</v>
      </c>
      <c r="D20" s="10"/>
      <c r="N20" s="141" t="s">
        <v>173</v>
      </c>
    </row>
    <row r="21" spans="1:14" x14ac:dyDescent="0.35">
      <c r="A21" t="s">
        <v>301</v>
      </c>
      <c r="C21" s="12">
        <f>C19-C20</f>
        <v>2.9876249999999995</v>
      </c>
      <c r="D21" s="116"/>
      <c r="E21" s="28"/>
      <c r="F21" s="116"/>
      <c r="N21" s="141" t="s">
        <v>342</v>
      </c>
    </row>
    <row r="22" spans="1:14" x14ac:dyDescent="0.35">
      <c r="A22" t="s">
        <v>302</v>
      </c>
      <c r="C22" s="185">
        <v>3.5339999999999998</v>
      </c>
      <c r="D22" s="111" t="s">
        <v>250</v>
      </c>
      <c r="E22" s="28"/>
      <c r="F22" s="28"/>
      <c r="N22" s="141" t="s">
        <v>341</v>
      </c>
    </row>
    <row r="23" spans="1:14" x14ac:dyDescent="0.35">
      <c r="A23" t="s">
        <v>330</v>
      </c>
      <c r="C23" s="12">
        <f>C21-C22</f>
        <v>-0.54637500000000028</v>
      </c>
      <c r="D23" s="111"/>
      <c r="E23" s="28"/>
      <c r="N23" s="141" t="s">
        <v>343</v>
      </c>
    </row>
    <row r="24" spans="1:14" x14ac:dyDescent="0.35">
      <c r="A24" t="s">
        <v>359</v>
      </c>
      <c r="B24" s="94">
        <f>TribalWater!H7</f>
        <v>0.16438105840220965</v>
      </c>
      <c r="C24"/>
      <c r="D24" s="111"/>
      <c r="E24" s="28"/>
      <c r="N24" s="141" t="s">
        <v>385</v>
      </c>
    </row>
    <row r="25" spans="1:14" x14ac:dyDescent="0.35">
      <c r="A25" t="s">
        <v>358</v>
      </c>
      <c r="B25" s="235">
        <f>1-B24</f>
        <v>0.83561894159779038</v>
      </c>
      <c r="C25"/>
      <c r="D25" s="111"/>
      <c r="E25" s="28"/>
      <c r="N25" s="141" t="s">
        <v>386</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8</v>
      </c>
      <c r="D28" s="97"/>
      <c r="E28" s="97"/>
      <c r="F28" s="97"/>
      <c r="G28" s="97"/>
      <c r="H28" s="97"/>
      <c r="I28" s="97"/>
      <c r="J28" s="97"/>
      <c r="K28" s="97"/>
      <c r="L28" s="97"/>
      <c r="N28" s="141" t="s">
        <v>345</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8.6522179999999995</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8">
        <f>IF(C$28&lt;&gt;"",IF(COLUMN(C29)=COLUMN($C29),$B$19,B136),"")</f>
        <v>1063.29</v>
      </c>
      <c r="D34" s="218" t="str">
        <f t="shared" ref="D34:G34" si="3">IF(D$28&lt;&gt;"",IF(COLUMN(D29)=COLUMN($C29),$B$19,C136),"")</f>
        <v/>
      </c>
      <c r="E34" s="218" t="str">
        <f t="shared" si="3"/>
        <v/>
      </c>
      <c r="F34" s="218" t="str">
        <f t="shared" si="3"/>
        <v/>
      </c>
      <c r="G34" s="218"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5.664593</v>
      </c>
      <c r="C36" s="81">
        <f>IF(OR(C$28="",$A36=""),"",B36)</f>
        <v>5.664593</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35">
      <c r="A37" t="str">
        <f t="shared" si="5"/>
        <v xml:space="preserve">    California Balance</v>
      </c>
      <c r="B37" s="83">
        <v>1.6619999999999999</v>
      </c>
      <c r="C37" s="81">
        <f>IF(OR(C$28="",$A37=""),"",IF(C$22&lt;=C$21,B37,B37-(C$22-C$21)*B37/C$22))</f>
        <v>1.4050460526315787</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35">
      <c r="A38" t="str">
        <f t="shared" si="5"/>
        <v xml:space="preserve">    Arizona Balance</v>
      </c>
      <c r="B38" s="83">
        <v>0.71099999999999997</v>
      </c>
      <c r="C38" s="81">
        <f t="shared" ref="C38:C41" si="9">IF(OR(C$28="",$A38=""),"",IF(C$22&lt;=C$21,B38,B38-(C$22-C$21)*B38/C$22))</f>
        <v>0.60107565789473671</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35">
      <c r="A39" t="str">
        <f t="shared" si="5"/>
        <v xml:space="preserve">    Nevada Balance</v>
      </c>
      <c r="B39" s="83">
        <v>0.9556</v>
      </c>
      <c r="C39" s="81">
        <f t="shared" si="9"/>
        <v>0.80785921052631571</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0.17837828947368417</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v>
      </c>
      <c r="C41" s="81">
        <f t="shared" si="9"/>
        <v>0</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1063.29</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6"/>
      <c r="C45" s="12">
        <f>IF(C$28&lt;&gt;"",VLOOKUP(C33*1000000,'Mead-Elevation-Area'!$B$5:$D$676,3)*$B$18/1000000,"")</f>
        <v>0.46150799999999997</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344</v>
      </c>
    </row>
    <row r="46" spans="1:14" x14ac:dyDescent="0.35">
      <c r="A46" t="str">
        <f t="shared" ref="A46:A51" si="10">IF(A5="","","    "&amp;A5&amp;" Share")</f>
        <v xml:space="preserve">    Reclamation - Protect Zone Share</v>
      </c>
      <c r="C46" s="12">
        <f t="shared" ref="C46:G51" si="11">IF(OR(C$28="",$A46=""),"",C$45*C36/C$33)</f>
        <v>0.30214853419597149</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7.4944944019891158E-2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3.206128471609062E-2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4.3091088150064981E-2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9.5146709916949651E-3</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0</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4"/>
      <c r="C52" s="215">
        <f>IF(C28="","",SUM(C28))</f>
        <v>8</v>
      </c>
      <c r="D52" s="215" t="str">
        <f>IF(D28="","",SUM(D28))</f>
        <v/>
      </c>
      <c r="E52" s="215" t="str">
        <f>IF(E28="","",SUM(E28))</f>
        <v/>
      </c>
      <c r="F52" s="215" t="str">
        <f>IF(F28="","",SUM(F28))</f>
        <v/>
      </c>
      <c r="G52" s="21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348</v>
      </c>
    </row>
    <row r="53" spans="1:16" x14ac:dyDescent="0.35">
      <c r="A53" t="str">
        <f>IF(A5="","","    To "&amp;A5)</f>
        <v xml:space="preserve">    To Reclamation - Protect Zone</v>
      </c>
      <c r="B53" s="187" t="s">
        <v>251</v>
      </c>
      <c r="C53" s="82">
        <f>IF(OR(C$28="",$A55=""),"",C46)</f>
        <v>0.30214853419597149</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7.6978514658040282</v>
      </c>
      <c r="N53" s="183"/>
    </row>
    <row r="54" spans="1:16" x14ac:dyDescent="0.35">
      <c r="A54" t="s">
        <v>290</v>
      </c>
      <c r="C54" s="82">
        <f>IF(OR(C$28="",$A56=""),"",C52-C53)</f>
        <v>7.6978514658040282</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304</v>
      </c>
      <c r="C55" s="82">
        <f>IF(OR(C$28="",$A55=""),"",(VLOOKUP(C$54,DivideInflow!$K$19:$W$25,9)-IF($A$59&lt;&gt;"",$B$59*$B$24,0))*(C$54))</f>
        <v>3.9038054941039078</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3">
        <f>C55/C$54</f>
        <v>0.50712923098681295</v>
      </c>
      <c r="N55" s="143"/>
      <c r="P55" s="81"/>
    </row>
    <row r="56" spans="1:16" x14ac:dyDescent="0.35">
      <c r="A56" t="str">
        <f>IF(A7="","","       To "&amp;A7)</f>
        <v xml:space="preserve">       To Arizona</v>
      </c>
      <c r="B56" s="95" t="s">
        <v>303</v>
      </c>
      <c r="C56" s="82">
        <f>IF(OR(C$28="",$A56=""),"",(VLOOKUP(C$54,DivideInflow!$K$19:$W$25,7)-IF($A$59&lt;&gt;"",$B$59*$B$25,0))*(C$54))</f>
        <v>1.2773617324799242</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3">
        <f t="shared" ref="M56:M58" si="26">C56/C$54</f>
        <v>0.16593743567985381</v>
      </c>
      <c r="N56" s="143"/>
    </row>
    <row r="57" spans="1:16" x14ac:dyDescent="0.35">
      <c r="A57" t="str">
        <f>IF(A8="","","       To "&amp;A8)</f>
        <v xml:space="preserve">       To Nevada</v>
      </c>
      <c r="B57" s="211">
        <v>3.3000000000000002E-2</v>
      </c>
      <c r="C57" s="82">
        <f>IF(OR(C$28="",$A57=""),"",VLOOKUP(C$54,DivideInflow!$K$19:$W$25,8)*(C$54))</f>
        <v>0.2566463678699063</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3">
        <f t="shared" si="26"/>
        <v>3.3340000000000002E-2</v>
      </c>
      <c r="N57" s="143"/>
    </row>
    <row r="58" spans="1:16" x14ac:dyDescent="0.35">
      <c r="A58" t="str">
        <f>IF(A9="","","       To "&amp;A9)</f>
        <v xml:space="preserve">       To Mexico</v>
      </c>
      <c r="B58" s="211">
        <v>0.16700000000000001</v>
      </c>
      <c r="C58" s="82">
        <f>IF(OR(C$28="",$A58=""),"",VLOOKUP(C$54,DivideInflow!$K$19:$W$25,10)*(C$54))</f>
        <v>1.2829239252908993</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3">
        <f t="shared" si="26"/>
        <v>0.16666</v>
      </c>
      <c r="N58" s="143"/>
    </row>
    <row r="59" spans="1:16" x14ac:dyDescent="0.35">
      <c r="A59" t="str">
        <f>IF(A10="","","       To "&amp;A10)</f>
        <v xml:space="preserve">       To Tribal Nations of the Lower Basin</v>
      </c>
      <c r="B59" s="211">
        <f>IF(A59="","",0.952/7.5)</f>
        <v>0.12693333333333331</v>
      </c>
      <c r="C59" s="82">
        <f>IF(OR(C$28="",$A59=""),"",C$54*$B59)</f>
        <v>0.97711394605939117</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3">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3"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IF(A$5="[Unused]","",A5&amp;" ("&amp;B5&amp;")")</f>
        <v>Reclamation - Protect Zone ()</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5.664593</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5.664593</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IF(A$6="","[Unused]",A6&amp;" ("&amp;B6&amp;")")</f>
        <v>California ()</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5.2339066027155949</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5.2339066027155949</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IF(A$7="","[Unused]",A7&amp;" ("&amp;B7&amp;")")</f>
        <v>Arizona ()</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1.8463761056585704</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1.8463761056585704</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IF(A$8="","[Unused]",A8&amp;" ("&amp;B8&amp;")")</f>
        <v>Nevada ()</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1.021414490246157</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1.021414490246157</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IF(A$9="","[Unused]",A9&amp;" ("&amp;B9&amp;")")</f>
        <v>Mexico ()</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1.4517875437728884</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1.4517875437728884</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IF(A$10="","[Unused]",A10&amp;" ("&amp;B10&amp;")")</f>
        <v>Tribal Nations of the Lower Basin ()</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0"/>
      <c r="D104" s="220"/>
      <c r="E104" s="220"/>
      <c r="F104" s="220"/>
      <c r="G104" s="220"/>
      <c r="H104" s="17"/>
      <c r="I104" s="17"/>
      <c r="J104" s="17"/>
      <c r="K104" s="17"/>
      <c r="L104" s="17"/>
      <c r="M104" s="44">
        <f>SUM(C104:L104)</f>
        <v>0</v>
      </c>
      <c r="N104" s="144" t="s">
        <v>187</v>
      </c>
    </row>
    <row r="105" spans="1:14" x14ac:dyDescent="0.35">
      <c r="A105" s="126" t="str">
        <f>IF(A104="","",$A$65)</f>
        <v xml:space="preserve">   Enter compensation to Buy(-) or Sell(+) [$ Mill]</v>
      </c>
      <c r="C105" s="221"/>
      <c r="D105" s="221"/>
      <c r="E105" s="221"/>
      <c r="F105" s="221"/>
      <c r="G105" s="221"/>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0.97711394605939117</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2"/>
      <c r="D108" s="222"/>
      <c r="E108" s="222"/>
      <c r="F108" s="222"/>
      <c r="G108" s="222"/>
      <c r="H108" s="27"/>
      <c r="I108" s="27"/>
      <c r="J108" s="27"/>
      <c r="K108" s="27"/>
      <c r="L108" s="27"/>
      <c r="N108" s="141" t="s">
        <v>195</v>
      </c>
    </row>
    <row r="109" spans="1:14" x14ac:dyDescent="0.35">
      <c r="A109" t="str">
        <f>IF(A108="","","   End of Year Balance [maf]")</f>
        <v xml:space="preserve">   End of Year Balance [maf]</v>
      </c>
      <c r="C109" s="12">
        <f>IF(OR(C$28="",$A109=""),"",C107-C108)</f>
        <v>0.97711394605939117</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5.664593</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5.2339066027155949</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1.8463761056585704</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1.021414490246157</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1.4517875437728884</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0.97711394605939117</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349</v>
      </c>
    </row>
    <row r="135" spans="1:14" x14ac:dyDescent="0.35">
      <c r="A135" t="s">
        <v>293</v>
      </c>
      <c r="B135" s="1"/>
      <c r="C135" s="12">
        <f ca="1">IF(C$28&lt;&gt;"",SUM(C128:C133),"")</f>
        <v>16.195191688452603</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19">
        <f ca="1">IF(C$28&lt;&gt;"",VLOOKUP(C135*1000000,'Mead-Elevation-Area'!$B$5:$H$689,7),"")</f>
        <v>1145</v>
      </c>
      <c r="D136" s="219" t="str">
        <f>IF(D$28&lt;&gt;"",VLOOKUP(D135*1000000,'Mead-Elevation-Area'!$B$5:$H$689,7),"")</f>
        <v/>
      </c>
      <c r="E136" s="216" t="str">
        <f>IF(E$28&lt;&gt;"",VLOOKUP(E135*1000000,'Mead-Elevation-Area'!$B$5:$H$689,7),"")</f>
        <v/>
      </c>
      <c r="F136" s="216" t="str">
        <f>IF(F$28&lt;&gt;"",VLOOKUP(F135*1000000,'Mead-Elevation-Area'!$B$5:$H$689,7),"")</f>
        <v/>
      </c>
      <c r="G136" s="216"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310</v>
      </c>
    </row>
    <row r="2" spans="1:21" x14ac:dyDescent="0.35">
      <c r="A2" t="s">
        <v>311</v>
      </c>
    </row>
    <row r="3" spans="1:21" x14ac:dyDescent="0.35">
      <c r="A3" t="s">
        <v>252</v>
      </c>
    </row>
    <row r="4" spans="1:21" ht="21" customHeight="1" x14ac:dyDescent="0.35"/>
    <row r="5" spans="1:21" ht="16.5" customHeight="1" x14ac:dyDescent="0.35">
      <c r="I5" s="337" t="s">
        <v>13</v>
      </c>
      <c r="J5" s="337" t="s">
        <v>253</v>
      </c>
      <c r="K5" s="337" t="s">
        <v>254</v>
      </c>
      <c r="L5" s="334" t="s">
        <v>255</v>
      </c>
      <c r="M5" s="335"/>
      <c r="N5" s="335"/>
      <c r="O5" s="335"/>
      <c r="P5" s="336"/>
      <c r="Q5" s="326" t="s">
        <v>256</v>
      </c>
      <c r="R5" s="327"/>
      <c r="S5" s="327"/>
      <c r="T5" s="327"/>
      <c r="U5" s="328"/>
    </row>
    <row r="6" spans="1:21" s="188" customFormat="1" ht="27.5" customHeight="1" x14ac:dyDescent="0.3">
      <c r="B6" s="189" t="s">
        <v>257</v>
      </c>
      <c r="C6" s="189" t="s">
        <v>243</v>
      </c>
      <c r="D6" s="189" t="s">
        <v>244</v>
      </c>
      <c r="E6" s="189" t="s">
        <v>242</v>
      </c>
      <c r="F6" s="189" t="s">
        <v>18</v>
      </c>
      <c r="G6" s="189" t="s">
        <v>64</v>
      </c>
      <c r="I6" s="338"/>
      <c r="J6" s="338"/>
      <c r="K6" s="338"/>
      <c r="L6" s="190" t="s">
        <v>258</v>
      </c>
      <c r="M6" s="190" t="s">
        <v>259</v>
      </c>
      <c r="N6" s="190" t="s">
        <v>260</v>
      </c>
      <c r="O6" s="190" t="s">
        <v>261</v>
      </c>
      <c r="P6" s="190" t="s">
        <v>262</v>
      </c>
      <c r="Q6" s="191" t="s">
        <v>263</v>
      </c>
      <c r="R6" s="191" t="s">
        <v>264</v>
      </c>
      <c r="S6" s="191" t="s">
        <v>265</v>
      </c>
      <c r="T6" s="191" t="s">
        <v>266</v>
      </c>
      <c r="U6" s="191" t="s">
        <v>267</v>
      </c>
    </row>
    <row r="7" spans="1:21" s="188" customFormat="1" ht="13" customHeight="1" x14ac:dyDescent="0.3">
      <c r="B7" s="334" t="s">
        <v>268</v>
      </c>
      <c r="C7" s="335"/>
      <c r="D7" s="335"/>
      <c r="E7" s="335"/>
      <c r="F7" s="335"/>
      <c r="G7" s="336"/>
      <c r="I7" s="192" t="s">
        <v>269</v>
      </c>
      <c r="J7" s="192">
        <f>B13</f>
        <v>0</v>
      </c>
      <c r="K7" s="193">
        <v>9</v>
      </c>
      <c r="L7" s="194">
        <v>2.8</v>
      </c>
      <c r="M7" s="194">
        <v>0.3</v>
      </c>
      <c r="N7" s="194">
        <v>4.4000000000000004</v>
      </c>
      <c r="O7" s="194">
        <v>1.5</v>
      </c>
      <c r="P7" s="194">
        <f>SUM(L7:O7)</f>
        <v>9</v>
      </c>
      <c r="Q7" s="195">
        <f t="shared" ref="Q7:T11" si="0">L7/$K7</f>
        <v>0.31111111111111112</v>
      </c>
      <c r="R7" s="195">
        <f t="shared" si="0"/>
        <v>3.3333333333333333E-2</v>
      </c>
      <c r="S7" s="195">
        <f t="shared" si="0"/>
        <v>0.48888888888888893</v>
      </c>
      <c r="T7" s="195">
        <f t="shared" si="0"/>
        <v>0.16666666666666666</v>
      </c>
      <c r="U7" s="196">
        <f>SUM(Q7:T7)</f>
        <v>1</v>
      </c>
    </row>
    <row r="8" spans="1:21" s="197" customFormat="1" ht="14" x14ac:dyDescent="0.3">
      <c r="B8" s="198">
        <v>0</v>
      </c>
      <c r="C8" s="199">
        <v>0</v>
      </c>
      <c r="D8" s="199">
        <v>0</v>
      </c>
      <c r="E8" s="199">
        <v>0</v>
      </c>
      <c r="F8" s="199">
        <v>0</v>
      </c>
      <c r="G8" s="199">
        <f>SUM(C8:F8)</f>
        <v>0</v>
      </c>
      <c r="I8" s="192" t="s">
        <v>270</v>
      </c>
      <c r="J8" s="192">
        <f>B14</f>
        <v>0.3</v>
      </c>
      <c r="K8" s="200">
        <f>K$7-J8</f>
        <v>8.6999999999999993</v>
      </c>
      <c r="L8" s="201">
        <f t="shared" ref="L8:O11" si="1">L$7-C14</f>
        <v>2.5599999999999996</v>
      </c>
      <c r="M8" s="201">
        <f t="shared" si="1"/>
        <v>0.29000999999999999</v>
      </c>
      <c r="N8" s="201">
        <f t="shared" si="1"/>
        <v>4.4000000000000004</v>
      </c>
      <c r="O8" s="201">
        <f t="shared" si="1"/>
        <v>1.4499900000000001</v>
      </c>
      <c r="P8" s="194">
        <f t="shared" ref="P8:P11" si="2">SUM(L8:O8)</f>
        <v>8.6999999999999993</v>
      </c>
      <c r="Q8" s="195">
        <f t="shared" si="0"/>
        <v>0.29425287356321839</v>
      </c>
      <c r="R8" s="195">
        <f t="shared" si="0"/>
        <v>3.3334482758620693E-2</v>
      </c>
      <c r="S8" s="195">
        <f t="shared" si="0"/>
        <v>0.50574712643678166</v>
      </c>
      <c r="T8" s="195">
        <f t="shared" si="0"/>
        <v>0.16666551724137935</v>
      </c>
      <c r="U8" s="196">
        <f t="shared" ref="U8:U13" si="3">SUM(Q8:T8)</f>
        <v>1</v>
      </c>
    </row>
    <row r="9" spans="1:21" s="197" customFormat="1" ht="14" x14ac:dyDescent="0.3">
      <c r="B9" s="198" t="s">
        <v>271</v>
      </c>
      <c r="C9" s="202">
        <v>0.8</v>
      </c>
      <c r="D9" s="202">
        <v>3.3300000000000003E-2</v>
      </c>
      <c r="E9" s="202">
        <v>0</v>
      </c>
      <c r="F9" s="202">
        <v>0.16669999999999999</v>
      </c>
      <c r="G9" s="202">
        <f t="shared" ref="G9:G10" si="4">SUM(C9:F9)</f>
        <v>1</v>
      </c>
      <c r="I9" s="192" t="s">
        <v>272</v>
      </c>
      <c r="J9" s="192">
        <f>B15</f>
        <v>0.4</v>
      </c>
      <c r="K9" s="200">
        <f>K$7-J9</f>
        <v>8.6</v>
      </c>
      <c r="L9" s="201">
        <f t="shared" si="1"/>
        <v>2.51667</v>
      </c>
      <c r="M9" s="201">
        <f t="shared" si="1"/>
        <v>0.28667999999999999</v>
      </c>
      <c r="N9" s="201">
        <f t="shared" si="1"/>
        <v>4.3633300000000004</v>
      </c>
      <c r="O9" s="201">
        <f t="shared" si="1"/>
        <v>1.4333199999999999</v>
      </c>
      <c r="P9" s="194">
        <f t="shared" si="2"/>
        <v>8.6</v>
      </c>
      <c r="Q9" s="195">
        <f t="shared" si="0"/>
        <v>0.29263604651162789</v>
      </c>
      <c r="R9" s="195">
        <f t="shared" si="0"/>
        <v>3.3334883720930235E-2</v>
      </c>
      <c r="S9" s="195">
        <f t="shared" si="0"/>
        <v>0.50736395348837215</v>
      </c>
      <c r="T9" s="195">
        <f t="shared" si="0"/>
        <v>0.16666511627906977</v>
      </c>
      <c r="U9" s="196">
        <f t="shared" si="3"/>
        <v>1</v>
      </c>
    </row>
    <row r="10" spans="1:21" s="197" customFormat="1" ht="14" x14ac:dyDescent="0.3">
      <c r="B10" s="198" t="s">
        <v>273</v>
      </c>
      <c r="C10" s="202">
        <v>0.43330000000000002</v>
      </c>
      <c r="D10" s="202">
        <v>3.3300000000000003E-2</v>
      </c>
      <c r="E10" s="202">
        <v>0.36670000000000003</v>
      </c>
      <c r="F10" s="202">
        <v>0.16669999999999999</v>
      </c>
      <c r="G10" s="202">
        <f t="shared" si="4"/>
        <v>1</v>
      </c>
      <c r="I10" s="192" t="s">
        <v>274</v>
      </c>
      <c r="J10" s="192">
        <f>B16</f>
        <v>1</v>
      </c>
      <c r="K10" s="200">
        <f>K$7-J10</f>
        <v>8</v>
      </c>
      <c r="L10" s="201">
        <f t="shared" si="1"/>
        <v>2.2566899999999999</v>
      </c>
      <c r="M10" s="201">
        <f t="shared" si="1"/>
        <v>0.26669999999999999</v>
      </c>
      <c r="N10" s="201">
        <f t="shared" si="1"/>
        <v>4.1433100000000005</v>
      </c>
      <c r="O10" s="201">
        <f t="shared" si="1"/>
        <v>1.3332999999999999</v>
      </c>
      <c r="P10" s="194">
        <f t="shared" si="2"/>
        <v>8</v>
      </c>
      <c r="Q10" s="195">
        <f t="shared" si="0"/>
        <v>0.28208624999999998</v>
      </c>
      <c r="R10" s="195">
        <f t="shared" si="0"/>
        <v>3.3337499999999999E-2</v>
      </c>
      <c r="S10" s="195">
        <f t="shared" si="0"/>
        <v>0.51791375000000006</v>
      </c>
      <c r="T10" s="195">
        <f t="shared" si="0"/>
        <v>0.16666249999999999</v>
      </c>
      <c r="U10" s="196">
        <f t="shared" si="3"/>
        <v>1</v>
      </c>
    </row>
    <row r="11" spans="1:21" s="197" customFormat="1" ht="14" x14ac:dyDescent="0.3">
      <c r="B11" s="198" t="s">
        <v>275</v>
      </c>
      <c r="C11" s="325" t="s">
        <v>276</v>
      </c>
      <c r="D11" s="325"/>
      <c r="E11" s="325"/>
      <c r="F11" s="325"/>
      <c r="G11" s="325"/>
      <c r="I11" s="192" t="s">
        <v>277</v>
      </c>
      <c r="J11" s="192">
        <f>B17</f>
        <v>1.5</v>
      </c>
      <c r="K11" s="200">
        <f>K$7-J11</f>
        <v>7.5</v>
      </c>
      <c r="L11" s="201">
        <f t="shared" si="1"/>
        <v>2.0400399999999999</v>
      </c>
      <c r="M11" s="201">
        <f t="shared" si="1"/>
        <v>0.25004999999999999</v>
      </c>
      <c r="N11" s="201">
        <f t="shared" si="1"/>
        <v>3.9599600000000001</v>
      </c>
      <c r="O11" s="201">
        <f t="shared" si="1"/>
        <v>1.2499500000000001</v>
      </c>
      <c r="P11" s="194">
        <f t="shared" si="2"/>
        <v>7.5</v>
      </c>
      <c r="Q11" s="195">
        <f t="shared" si="0"/>
        <v>0.27200533333333332</v>
      </c>
      <c r="R11" s="195">
        <f t="shared" si="0"/>
        <v>3.3340000000000002E-2</v>
      </c>
      <c r="S11" s="195">
        <f t="shared" si="0"/>
        <v>0.52799466666666672</v>
      </c>
      <c r="T11" s="195">
        <f t="shared" si="0"/>
        <v>0.16666</v>
      </c>
      <c r="U11" s="196">
        <f t="shared" si="3"/>
        <v>1</v>
      </c>
    </row>
    <row r="12" spans="1:21" s="197" customFormat="1" ht="14" x14ac:dyDescent="0.3">
      <c r="B12" s="329" t="s">
        <v>278</v>
      </c>
      <c r="C12" s="330"/>
      <c r="D12" s="330"/>
      <c r="E12" s="330"/>
      <c r="F12" s="330"/>
      <c r="G12" s="330"/>
      <c r="I12" s="192" t="s">
        <v>279</v>
      </c>
      <c r="J12" s="192" t="s">
        <v>275</v>
      </c>
      <c r="K12" s="200" t="s">
        <v>280</v>
      </c>
      <c r="L12" s="331" t="s">
        <v>276</v>
      </c>
      <c r="M12" s="332"/>
      <c r="N12" s="332"/>
      <c r="O12" s="332"/>
      <c r="P12" s="333"/>
      <c r="Q12" s="331" t="s">
        <v>276</v>
      </c>
      <c r="R12" s="332"/>
      <c r="S12" s="332"/>
      <c r="T12" s="332"/>
      <c r="U12" s="333"/>
    </row>
    <row r="13" spans="1:21" s="197" customFormat="1" ht="14" x14ac:dyDescent="0.3">
      <c r="B13" s="198">
        <v>0</v>
      </c>
      <c r="C13" s="203">
        <v>0</v>
      </c>
      <c r="D13" s="203">
        <v>0</v>
      </c>
      <c r="E13" s="203">
        <v>0</v>
      </c>
      <c r="F13" s="203">
        <v>0</v>
      </c>
      <c r="G13" s="203">
        <f>SUM(C13:F13)</f>
        <v>0</v>
      </c>
      <c r="I13" s="192" t="s">
        <v>281</v>
      </c>
      <c r="J13" s="192">
        <v>2.7</v>
      </c>
      <c r="K13" s="200">
        <f>K$7-J13</f>
        <v>6.3</v>
      </c>
      <c r="L13" s="201">
        <f>L11-C10*($K11-$K13)</f>
        <v>1.5200799999999997</v>
      </c>
      <c r="M13" s="201">
        <f>M11-D10*($K11-$K13)</f>
        <v>0.21009</v>
      </c>
      <c r="N13" s="201">
        <f>N11-E10*($K11-$K13)</f>
        <v>3.5199199999999999</v>
      </c>
      <c r="O13" s="201">
        <f>O11-F10*($K11-$K13)</f>
        <v>1.0499100000000001</v>
      </c>
      <c r="P13" s="201">
        <f>P11-G10*($K11-$K13)</f>
        <v>6.3</v>
      </c>
      <c r="Q13" s="195">
        <f>L13/$K13</f>
        <v>0.24128253968253963</v>
      </c>
      <c r="R13" s="195">
        <f>M13/$K13</f>
        <v>3.334761904761905E-2</v>
      </c>
      <c r="S13" s="195">
        <f>N13/$K13</f>
        <v>0.55871746031746028</v>
      </c>
      <c r="T13" s="195">
        <f>O13/$K13</f>
        <v>0.16665238095238097</v>
      </c>
      <c r="U13" s="196">
        <f t="shared" si="3"/>
        <v>1</v>
      </c>
    </row>
    <row r="14" spans="1:21" s="197" customFormat="1" ht="14" x14ac:dyDescent="0.3">
      <c r="B14" s="198">
        <v>0.3</v>
      </c>
      <c r="C14" s="201">
        <f>$B14*C9</f>
        <v>0.24</v>
      </c>
      <c r="D14" s="201">
        <f>$B14*D9</f>
        <v>9.9900000000000006E-3</v>
      </c>
      <c r="E14" s="201">
        <f>$B14*E9</f>
        <v>0</v>
      </c>
      <c r="F14" s="201">
        <f>$B14*F9</f>
        <v>5.0009999999999992E-2</v>
      </c>
      <c r="G14" s="201">
        <f>SUM(C14:F14)</f>
        <v>0.3</v>
      </c>
      <c r="I14" s="192" t="s">
        <v>305</v>
      </c>
      <c r="J14" s="192">
        <v>8</v>
      </c>
      <c r="K14" s="200">
        <f>K$7-J14</f>
        <v>1</v>
      </c>
      <c r="L14" s="201">
        <f>$K14*Q14</f>
        <v>0.24128253968253963</v>
      </c>
      <c r="M14" s="201">
        <f t="shared" ref="M14:P14" si="5">$K14*R14</f>
        <v>3.334761904761905E-2</v>
      </c>
      <c r="N14" s="201">
        <f t="shared" si="5"/>
        <v>0.55871746031746028</v>
      </c>
      <c r="O14" s="201">
        <f t="shared" si="5"/>
        <v>0.16665238095238097</v>
      </c>
      <c r="P14" s="201">
        <f t="shared" si="5"/>
        <v>1</v>
      </c>
      <c r="Q14" s="195">
        <f>Q13</f>
        <v>0.24128253968253963</v>
      </c>
      <c r="R14" s="195">
        <f t="shared" ref="R14:U14" si="6">R13</f>
        <v>3.334761904761905E-2</v>
      </c>
      <c r="S14" s="195">
        <f t="shared" si="6"/>
        <v>0.55871746031746028</v>
      </c>
      <c r="T14" s="195">
        <f t="shared" si="6"/>
        <v>0.16665238095238097</v>
      </c>
      <c r="U14" s="224">
        <f t="shared" si="6"/>
        <v>1</v>
      </c>
    </row>
    <row r="15" spans="1:21" s="197" customFormat="1" ht="14" x14ac:dyDescent="0.3">
      <c r="B15" s="198">
        <v>0.4</v>
      </c>
      <c r="C15" s="201">
        <f t="shared" ref="C15:F17" si="7">C$14+C$10*($B15-$B$14)</f>
        <v>0.28333000000000003</v>
      </c>
      <c r="D15" s="201">
        <f t="shared" si="7"/>
        <v>1.3320000000000002E-2</v>
      </c>
      <c r="E15" s="201">
        <f t="shared" si="7"/>
        <v>3.6670000000000015E-2</v>
      </c>
      <c r="F15" s="201">
        <f t="shared" si="7"/>
        <v>6.6679999999999989E-2</v>
      </c>
      <c r="G15" s="201">
        <f>SUM(C15:F15)</f>
        <v>0.4</v>
      </c>
      <c r="I15" s="204" t="s">
        <v>282</v>
      </c>
      <c r="J15" s="205"/>
      <c r="K15" s="206"/>
      <c r="L15" s="207"/>
      <c r="M15" s="207"/>
      <c r="N15" s="207"/>
      <c r="O15" s="207"/>
      <c r="P15" s="207"/>
      <c r="Q15" s="208"/>
      <c r="R15" s="208"/>
      <c r="S15" s="208"/>
      <c r="T15" s="208"/>
      <c r="U15" s="209"/>
    </row>
    <row r="16" spans="1:21" s="197" customFormat="1" ht="14" x14ac:dyDescent="0.3">
      <c r="B16" s="198">
        <v>1</v>
      </c>
      <c r="C16" s="201">
        <f t="shared" si="7"/>
        <v>0.54330999999999996</v>
      </c>
      <c r="D16" s="201">
        <f t="shared" si="7"/>
        <v>3.3300000000000003E-2</v>
      </c>
      <c r="E16" s="201">
        <f t="shared" si="7"/>
        <v>0.25669000000000003</v>
      </c>
      <c r="F16" s="201">
        <f t="shared" si="7"/>
        <v>0.16669999999999999</v>
      </c>
      <c r="G16" s="201">
        <f t="shared" ref="G16:G17" si="8">SUM(C16:F16)</f>
        <v>0.99999999999999989</v>
      </c>
      <c r="I16" s="205" t="s">
        <v>306</v>
      </c>
      <c r="J16" s="205"/>
      <c r="U16" s="210"/>
    </row>
    <row r="17" spans="2:21" s="197" customFormat="1" ht="14" x14ac:dyDescent="0.3">
      <c r="B17" s="198">
        <v>1.5</v>
      </c>
      <c r="C17" s="201">
        <f t="shared" si="7"/>
        <v>0.75995999999999997</v>
      </c>
      <c r="D17" s="201">
        <f t="shared" si="7"/>
        <v>4.9950000000000001E-2</v>
      </c>
      <c r="E17" s="201">
        <f t="shared" si="7"/>
        <v>0.44004000000000004</v>
      </c>
      <c r="F17" s="201">
        <f t="shared" si="7"/>
        <v>0.25004999999999994</v>
      </c>
      <c r="G17" s="201">
        <f t="shared" si="8"/>
        <v>1.5</v>
      </c>
      <c r="I17" s="205" t="s">
        <v>307</v>
      </c>
      <c r="U17" s="210"/>
    </row>
    <row r="18" spans="2:21" s="197" customFormat="1" ht="14" x14ac:dyDescent="0.3">
      <c r="B18" s="198" t="s">
        <v>275</v>
      </c>
      <c r="C18" s="325" t="s">
        <v>276</v>
      </c>
      <c r="D18" s="325"/>
      <c r="E18" s="325"/>
      <c r="F18" s="325"/>
      <c r="G18" s="325"/>
    </row>
    <row r="19" spans="2:21" s="197" customFormat="1" ht="14" x14ac:dyDescent="0.3">
      <c r="I19" s="197" t="s">
        <v>305</v>
      </c>
      <c r="J19" s="206">
        <f t="shared" ref="J19:U19" si="9">J14</f>
        <v>8</v>
      </c>
      <c r="K19" s="206">
        <f t="shared" si="9"/>
        <v>1</v>
      </c>
      <c r="L19" s="207">
        <f t="shared" si="9"/>
        <v>0.24128253968253963</v>
      </c>
      <c r="M19" s="207">
        <f t="shared" si="9"/>
        <v>3.334761904761905E-2</v>
      </c>
      <c r="N19" s="207">
        <f t="shared" si="9"/>
        <v>0.55871746031746028</v>
      </c>
      <c r="O19" s="207">
        <f t="shared" si="9"/>
        <v>0.16665238095238097</v>
      </c>
      <c r="P19" s="207">
        <f t="shared" si="9"/>
        <v>1</v>
      </c>
      <c r="Q19" s="212">
        <f t="shared" si="9"/>
        <v>0.24128253968253963</v>
      </c>
      <c r="R19" s="212">
        <f t="shared" si="9"/>
        <v>3.334761904761905E-2</v>
      </c>
      <c r="S19" s="212">
        <f t="shared" si="9"/>
        <v>0.55871746031746028</v>
      </c>
      <c r="T19" s="212">
        <f t="shared" si="9"/>
        <v>0.16665238095238097</v>
      </c>
      <c r="U19" s="212">
        <f t="shared" si="9"/>
        <v>1</v>
      </c>
    </row>
    <row r="20" spans="2:21" s="197" customFormat="1" ht="14" x14ac:dyDescent="0.3">
      <c r="I20" s="197" t="str">
        <f t="shared" ref="I20:U20" si="10">I13</f>
        <v>[7]**</v>
      </c>
      <c r="J20" s="206">
        <f t="shared" si="10"/>
        <v>2.7</v>
      </c>
      <c r="K20" s="206">
        <f t="shared" si="10"/>
        <v>6.3</v>
      </c>
      <c r="L20" s="207">
        <f t="shared" si="10"/>
        <v>1.5200799999999997</v>
      </c>
      <c r="M20" s="207">
        <f t="shared" si="10"/>
        <v>0.21009</v>
      </c>
      <c r="N20" s="207">
        <f t="shared" si="10"/>
        <v>3.5199199999999999</v>
      </c>
      <c r="O20" s="207">
        <f t="shared" si="10"/>
        <v>1.0499100000000001</v>
      </c>
      <c r="P20" s="207">
        <f t="shared" si="10"/>
        <v>6.3</v>
      </c>
      <c r="Q20" s="212">
        <f t="shared" si="10"/>
        <v>0.24128253968253963</v>
      </c>
      <c r="R20" s="212">
        <f t="shared" si="10"/>
        <v>3.334761904761905E-2</v>
      </c>
      <c r="S20" s="212">
        <f t="shared" si="10"/>
        <v>0.55871746031746028</v>
      </c>
      <c r="T20" s="212">
        <f t="shared" si="10"/>
        <v>0.16665238095238097</v>
      </c>
      <c r="U20" s="212">
        <f t="shared" si="10"/>
        <v>1</v>
      </c>
    </row>
    <row r="21" spans="2:21" s="197" customFormat="1" ht="14" x14ac:dyDescent="0.3">
      <c r="I21" s="197" t="str">
        <f t="shared" ref="I21:U21" si="11">I11</f>
        <v>[5]</v>
      </c>
      <c r="J21" s="206">
        <f t="shared" si="11"/>
        <v>1.5</v>
      </c>
      <c r="K21" s="206">
        <f t="shared" si="11"/>
        <v>7.5</v>
      </c>
      <c r="L21" s="207">
        <f t="shared" si="11"/>
        <v>2.0400399999999999</v>
      </c>
      <c r="M21" s="207">
        <f t="shared" si="11"/>
        <v>0.25004999999999999</v>
      </c>
      <c r="N21" s="207">
        <f t="shared" si="11"/>
        <v>3.9599600000000001</v>
      </c>
      <c r="O21" s="207">
        <f t="shared" si="11"/>
        <v>1.2499500000000001</v>
      </c>
      <c r="P21" s="207">
        <f t="shared" si="11"/>
        <v>7.5</v>
      </c>
      <c r="Q21" s="212">
        <f t="shared" si="11"/>
        <v>0.27200533333333332</v>
      </c>
      <c r="R21" s="212">
        <f t="shared" si="11"/>
        <v>3.3340000000000002E-2</v>
      </c>
      <c r="S21" s="212">
        <f t="shared" si="11"/>
        <v>0.52799466666666672</v>
      </c>
      <c r="T21" s="212">
        <f t="shared" si="11"/>
        <v>0.16666</v>
      </c>
      <c r="U21" s="213">
        <f t="shared" si="11"/>
        <v>1</v>
      </c>
    </row>
    <row r="22" spans="2:21" s="197" customFormat="1" ht="17.5" customHeight="1" x14ac:dyDescent="0.3">
      <c r="I22" s="197" t="str">
        <f t="shared" ref="I22:U22" si="12">I10</f>
        <v>[4]</v>
      </c>
      <c r="J22" s="206">
        <f t="shared" si="12"/>
        <v>1</v>
      </c>
      <c r="K22" s="206">
        <f t="shared" si="12"/>
        <v>8</v>
      </c>
      <c r="L22" s="207">
        <f t="shared" si="12"/>
        <v>2.2566899999999999</v>
      </c>
      <c r="M22" s="207">
        <f t="shared" si="12"/>
        <v>0.26669999999999999</v>
      </c>
      <c r="N22" s="207">
        <f t="shared" si="12"/>
        <v>4.1433100000000005</v>
      </c>
      <c r="O22" s="207">
        <f t="shared" si="12"/>
        <v>1.3332999999999999</v>
      </c>
      <c r="P22" s="207">
        <f t="shared" si="12"/>
        <v>8</v>
      </c>
      <c r="Q22" s="212">
        <f t="shared" si="12"/>
        <v>0.28208624999999998</v>
      </c>
      <c r="R22" s="212">
        <f t="shared" si="12"/>
        <v>3.3337499999999999E-2</v>
      </c>
      <c r="S22" s="212">
        <f t="shared" si="12"/>
        <v>0.51791375000000006</v>
      </c>
      <c r="T22" s="212">
        <f t="shared" si="12"/>
        <v>0.16666249999999999</v>
      </c>
      <c r="U22" s="213">
        <f t="shared" si="12"/>
        <v>1</v>
      </c>
    </row>
    <row r="23" spans="2:21" s="197" customFormat="1" ht="27.5" customHeight="1" x14ac:dyDescent="0.3">
      <c r="I23" s="197" t="str">
        <f t="shared" ref="I23:U23" si="13">I9</f>
        <v>[3]</v>
      </c>
      <c r="J23" s="206">
        <f t="shared" si="13"/>
        <v>0.4</v>
      </c>
      <c r="K23" s="206">
        <f t="shared" si="13"/>
        <v>8.6</v>
      </c>
      <c r="L23" s="207">
        <f t="shared" si="13"/>
        <v>2.51667</v>
      </c>
      <c r="M23" s="207">
        <f t="shared" si="13"/>
        <v>0.28667999999999999</v>
      </c>
      <c r="N23" s="207">
        <f t="shared" si="13"/>
        <v>4.3633300000000004</v>
      </c>
      <c r="O23" s="207">
        <f t="shared" si="13"/>
        <v>1.4333199999999999</v>
      </c>
      <c r="P23" s="207">
        <f t="shared" si="13"/>
        <v>8.6</v>
      </c>
      <c r="Q23" s="212">
        <f t="shared" si="13"/>
        <v>0.29263604651162789</v>
      </c>
      <c r="R23" s="212">
        <f t="shared" si="13"/>
        <v>3.3334883720930235E-2</v>
      </c>
      <c r="S23" s="212">
        <f t="shared" si="13"/>
        <v>0.50736395348837215</v>
      </c>
      <c r="T23" s="212">
        <f t="shared" si="13"/>
        <v>0.16666511627906977</v>
      </c>
      <c r="U23" s="213">
        <f t="shared" si="13"/>
        <v>1</v>
      </c>
    </row>
    <row r="24" spans="2:21" s="197" customFormat="1" ht="14" x14ac:dyDescent="0.3">
      <c r="I24" s="197" t="str">
        <f t="shared" ref="I24:U24" si="14">I8</f>
        <v>[2]</v>
      </c>
      <c r="J24" s="206">
        <f t="shared" si="14"/>
        <v>0.3</v>
      </c>
      <c r="K24" s="206">
        <f t="shared" si="14"/>
        <v>8.6999999999999993</v>
      </c>
      <c r="L24" s="207">
        <f t="shared" si="14"/>
        <v>2.5599999999999996</v>
      </c>
      <c r="M24" s="207">
        <f t="shared" si="14"/>
        <v>0.29000999999999999</v>
      </c>
      <c r="N24" s="207">
        <f t="shared" si="14"/>
        <v>4.4000000000000004</v>
      </c>
      <c r="O24" s="207">
        <f t="shared" si="14"/>
        <v>1.4499900000000001</v>
      </c>
      <c r="P24" s="207">
        <f t="shared" si="14"/>
        <v>8.6999999999999993</v>
      </c>
      <c r="Q24" s="212">
        <f t="shared" si="14"/>
        <v>0.29425287356321839</v>
      </c>
      <c r="R24" s="212">
        <f t="shared" si="14"/>
        <v>3.3334482758620693E-2</v>
      </c>
      <c r="S24" s="212">
        <f t="shared" si="14"/>
        <v>0.50574712643678166</v>
      </c>
      <c r="T24" s="212">
        <f t="shared" si="14"/>
        <v>0.16666551724137935</v>
      </c>
      <c r="U24" s="213">
        <f t="shared" si="14"/>
        <v>1</v>
      </c>
    </row>
    <row r="25" spans="2:21" s="197" customFormat="1" ht="14" x14ac:dyDescent="0.3">
      <c r="I25" s="197" t="str">
        <f t="shared" ref="I25:U25" si="15">I7</f>
        <v>[1]*</v>
      </c>
      <c r="J25" s="206">
        <f t="shared" si="15"/>
        <v>0</v>
      </c>
      <c r="K25" s="206">
        <f t="shared" si="15"/>
        <v>9</v>
      </c>
      <c r="L25" s="207">
        <f t="shared" si="15"/>
        <v>2.8</v>
      </c>
      <c r="M25" s="207">
        <f t="shared" si="15"/>
        <v>0.3</v>
      </c>
      <c r="N25" s="207">
        <f t="shared" si="15"/>
        <v>4.4000000000000004</v>
      </c>
      <c r="O25" s="207">
        <f t="shared" si="15"/>
        <v>1.5</v>
      </c>
      <c r="P25" s="207">
        <f t="shared" si="15"/>
        <v>9</v>
      </c>
      <c r="Q25" s="212">
        <f t="shared" si="15"/>
        <v>0.31111111111111112</v>
      </c>
      <c r="R25" s="212">
        <f t="shared" si="15"/>
        <v>3.3333333333333333E-2</v>
      </c>
      <c r="S25" s="212">
        <f t="shared" si="15"/>
        <v>0.48888888888888893</v>
      </c>
      <c r="T25" s="212">
        <f t="shared" si="15"/>
        <v>0.16666666666666666</v>
      </c>
      <c r="U25" s="213">
        <f t="shared" si="15"/>
        <v>1</v>
      </c>
    </row>
    <row r="26" spans="2:21" s="197" customFormat="1" ht="14" x14ac:dyDescent="0.3">
      <c r="U26" s="210"/>
    </row>
    <row r="27" spans="2:21" s="197" customFormat="1" ht="14" x14ac:dyDescent="0.3">
      <c r="U27" s="210"/>
    </row>
    <row r="28" spans="2:21" s="197" customFormat="1" ht="14" x14ac:dyDescent="0.3">
      <c r="U28" s="210"/>
    </row>
    <row r="29" spans="2:21" s="197" customFormat="1" ht="14" x14ac:dyDescent="0.3">
      <c r="U29" s="210"/>
    </row>
    <row r="30" spans="2:21" s="197" customFormat="1" ht="14" x14ac:dyDescent="0.3">
      <c r="U30" s="210"/>
    </row>
    <row r="31" spans="2:21" s="197" customFormat="1" ht="14" x14ac:dyDescent="0.3">
      <c r="U31" s="210"/>
    </row>
    <row r="32" spans="2:21" s="197" customFormat="1" ht="14" x14ac:dyDescent="0.3">
      <c r="U32" s="21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opLeftCell="A4" zoomScale="160" zoomScaleNormal="160" workbookViewId="0">
      <selection activeCell="A18" sqref="A18:C23"/>
    </sheetView>
  </sheetViews>
  <sheetFormatPr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8" x14ac:dyDescent="0.35">
      <c r="A1" s="1" t="s">
        <v>361</v>
      </c>
    </row>
    <row r="3" spans="1:8" x14ac:dyDescent="0.35">
      <c r="A3" s="1" t="s">
        <v>367</v>
      </c>
    </row>
    <row r="4" spans="1:8" ht="29" customHeight="1" x14ac:dyDescent="0.35">
      <c r="A4" s="236" t="s">
        <v>362</v>
      </c>
      <c r="B4" s="236" t="s">
        <v>363</v>
      </c>
      <c r="C4" s="237" t="s">
        <v>364</v>
      </c>
      <c r="D4" s="237" t="s">
        <v>365</v>
      </c>
      <c r="F4" s="237" t="s">
        <v>363</v>
      </c>
      <c r="G4" s="237" t="s">
        <v>372</v>
      </c>
      <c r="H4" s="237" t="s">
        <v>373</v>
      </c>
    </row>
    <row r="5" spans="1:8" x14ac:dyDescent="0.35">
      <c r="A5" s="23" t="s">
        <v>366</v>
      </c>
      <c r="B5" s="23" t="s">
        <v>244</v>
      </c>
      <c r="C5" s="24">
        <v>12534</v>
      </c>
      <c r="D5" s="24"/>
      <c r="F5" s="22" t="s">
        <v>244</v>
      </c>
      <c r="G5" s="31">
        <f>SUMIFS($C$5:$C$13,$B$5:$B$13,F5)</f>
        <v>12534</v>
      </c>
      <c r="H5" s="240">
        <f>G5/G$8</f>
        <v>1.3163339249519528E-2</v>
      </c>
    </row>
    <row r="6" spans="1:8" x14ac:dyDescent="0.35">
      <c r="A6" s="23" t="s">
        <v>366</v>
      </c>
      <c r="B6" s="23" t="s">
        <v>243</v>
      </c>
      <c r="C6" s="24">
        <v>103535</v>
      </c>
      <c r="D6" s="24"/>
      <c r="F6" s="22" t="s">
        <v>243</v>
      </c>
      <c r="G6" s="31">
        <f t="shared" ref="G6:G7" si="0">SUMIFS($C$5:$C$13,$B$5:$B$13,F6)</f>
        <v>783134</v>
      </c>
      <c r="H6" s="240">
        <f t="shared" ref="H6:H8" si="1">G6/G$8</f>
        <v>0.82245560234827086</v>
      </c>
    </row>
    <row r="7" spans="1:8" x14ac:dyDescent="0.35">
      <c r="A7" s="23" t="s">
        <v>366</v>
      </c>
      <c r="B7" s="23" t="s">
        <v>242</v>
      </c>
      <c r="C7" s="24">
        <v>16720</v>
      </c>
      <c r="D7" s="24"/>
      <c r="F7" s="22" t="s">
        <v>242</v>
      </c>
      <c r="G7" s="31">
        <f t="shared" si="0"/>
        <v>156522</v>
      </c>
      <c r="H7" s="240">
        <f t="shared" si="1"/>
        <v>0.16438105840220965</v>
      </c>
    </row>
    <row r="8" spans="1:8" x14ac:dyDescent="0.35">
      <c r="A8" s="23" t="s">
        <v>368</v>
      </c>
      <c r="B8" s="23" t="s">
        <v>242</v>
      </c>
      <c r="C8" s="24">
        <v>11340</v>
      </c>
      <c r="D8" s="24"/>
      <c r="F8" s="243" t="s">
        <v>64</v>
      </c>
      <c r="G8" s="241">
        <f>SUM(G5:G7)</f>
        <v>952190</v>
      </c>
      <c r="H8" s="242">
        <f t="shared" si="1"/>
        <v>1</v>
      </c>
    </row>
    <row r="9" spans="1:8" x14ac:dyDescent="0.35">
      <c r="A9" s="23" t="s">
        <v>369</v>
      </c>
      <c r="B9" s="23" t="s">
        <v>243</v>
      </c>
      <c r="C9" s="24">
        <v>662402</v>
      </c>
      <c r="D9" s="24"/>
    </row>
    <row r="10" spans="1:8" x14ac:dyDescent="0.35">
      <c r="A10" s="23" t="s">
        <v>369</v>
      </c>
      <c r="B10" s="23" t="s">
        <v>242</v>
      </c>
      <c r="C10" s="24">
        <v>56846</v>
      </c>
      <c r="D10" s="24"/>
    </row>
    <row r="11" spans="1:8" x14ac:dyDescent="0.35">
      <c r="A11" s="23" t="s">
        <v>370</v>
      </c>
      <c r="B11" s="23" t="s">
        <v>243</v>
      </c>
      <c r="C11" s="24">
        <v>6350</v>
      </c>
      <c r="D11" s="24"/>
    </row>
    <row r="12" spans="1:8" x14ac:dyDescent="0.35">
      <c r="A12" s="23" t="s">
        <v>370</v>
      </c>
      <c r="B12" s="23" t="s">
        <v>242</v>
      </c>
      <c r="C12" s="24">
        <v>71616</v>
      </c>
      <c r="D12" s="24"/>
    </row>
    <row r="13" spans="1:8" x14ac:dyDescent="0.35">
      <c r="A13" s="23" t="s">
        <v>371</v>
      </c>
      <c r="B13" s="23" t="s">
        <v>243</v>
      </c>
      <c r="C13" s="24">
        <v>10847</v>
      </c>
      <c r="D13" s="24">
        <v>22928</v>
      </c>
    </row>
    <row r="14" spans="1:8" s="1" customFormat="1" x14ac:dyDescent="0.35">
      <c r="A14" s="238" t="s">
        <v>64</v>
      </c>
      <c r="B14" s="238"/>
      <c r="C14" s="239">
        <f>SUM(C5:C13)</f>
        <v>952190</v>
      </c>
      <c r="D14" s="239">
        <f>SUM(D5:D13)</f>
        <v>22928</v>
      </c>
    </row>
    <row r="17" spans="1:3" x14ac:dyDescent="0.35">
      <c r="A17" s="1" t="s">
        <v>374</v>
      </c>
    </row>
    <row r="18" spans="1:3" x14ac:dyDescent="0.35">
      <c r="A18" s="236" t="s">
        <v>375</v>
      </c>
      <c r="B18" s="244" t="s">
        <v>376</v>
      </c>
      <c r="C18" s="244" t="s">
        <v>377</v>
      </c>
    </row>
    <row r="19" spans="1:3" x14ac:dyDescent="0.35">
      <c r="A19" s="23" t="s">
        <v>378</v>
      </c>
      <c r="B19" s="24">
        <v>769208</v>
      </c>
      <c r="C19" s="24">
        <v>441381</v>
      </c>
    </row>
    <row r="20" spans="1:3" x14ac:dyDescent="0.35">
      <c r="A20" s="23" t="s">
        <v>379</v>
      </c>
      <c r="B20" s="24">
        <v>15340</v>
      </c>
      <c r="C20" s="24">
        <v>9017</v>
      </c>
    </row>
    <row r="21" spans="1:3" x14ac:dyDescent="0.35">
      <c r="A21" s="23" t="s">
        <v>380</v>
      </c>
      <c r="B21" s="24">
        <v>2844</v>
      </c>
      <c r="C21" s="24">
        <v>1698</v>
      </c>
    </row>
    <row r="22" spans="1:3" x14ac:dyDescent="0.35">
      <c r="A22" s="23" t="s">
        <v>381</v>
      </c>
      <c r="B22" s="24">
        <v>13000</v>
      </c>
      <c r="C22" s="24">
        <v>13000</v>
      </c>
    </row>
    <row r="23" spans="1:3" x14ac:dyDescent="0.35">
      <c r="A23" s="238" t="s">
        <v>64</v>
      </c>
      <c r="B23" s="239">
        <f>SUM(B19:B22)</f>
        <v>800392</v>
      </c>
      <c r="C23" s="23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40" t="e">
        <f>#REF!</f>
        <v>#REF!</v>
      </c>
      <c r="B1" s="340"/>
      <c r="C1" s="340"/>
      <c r="D1" s="340"/>
      <c r="E1" s="340"/>
      <c r="F1" s="340"/>
      <c r="G1" s="340"/>
    </row>
    <row r="2" spans="1:14" x14ac:dyDescent="0.35">
      <c r="A2" s="1" t="s">
        <v>221</v>
      </c>
      <c r="B2" s="1"/>
    </row>
    <row r="3" spans="1:14" ht="32.15" customHeight="1" x14ac:dyDescent="0.35">
      <c r="A3" s="313" t="s">
        <v>217</v>
      </c>
      <c r="B3" s="313"/>
      <c r="C3" s="313"/>
      <c r="D3" s="313"/>
      <c r="E3" s="313"/>
      <c r="F3" s="313"/>
      <c r="G3" s="313"/>
      <c r="H3" s="84"/>
      <c r="I3" s="84"/>
      <c r="J3" s="84"/>
      <c r="K3" s="84"/>
      <c r="N3" s="137" t="s">
        <v>196</v>
      </c>
    </row>
    <row r="4" spans="1:14" x14ac:dyDescent="0.35">
      <c r="A4" s="127" t="s">
        <v>149</v>
      </c>
      <c r="B4" s="127" t="s">
        <v>19</v>
      </c>
      <c r="C4" s="314" t="s">
        <v>20</v>
      </c>
      <c r="D4" s="315"/>
      <c r="E4" s="315"/>
      <c r="F4" s="315"/>
      <c r="G4" s="316"/>
      <c r="N4" s="139" t="s">
        <v>168</v>
      </c>
    </row>
    <row r="5" spans="1:14" x14ac:dyDescent="0.35">
      <c r="A5" s="90" t="s">
        <v>16</v>
      </c>
      <c r="B5" s="114"/>
      <c r="C5" s="317"/>
      <c r="D5" s="312"/>
      <c r="E5" s="312"/>
      <c r="F5" s="312"/>
      <c r="G5" s="312"/>
      <c r="N5" s="142"/>
    </row>
    <row r="6" spans="1:14" x14ac:dyDescent="0.35">
      <c r="A6" s="90" t="s">
        <v>17</v>
      </c>
      <c r="B6" s="114"/>
      <c r="C6" s="317"/>
      <c r="D6" s="312"/>
      <c r="E6" s="312"/>
      <c r="F6" s="312"/>
      <c r="G6" s="312"/>
      <c r="N6" s="142"/>
    </row>
    <row r="7" spans="1:14" x14ac:dyDescent="0.35">
      <c r="A7" s="90" t="s">
        <v>18</v>
      </c>
      <c r="B7" s="114"/>
      <c r="C7" s="317"/>
      <c r="D7" s="312"/>
      <c r="E7" s="312"/>
      <c r="F7" s="312"/>
      <c r="G7" s="312"/>
      <c r="N7" s="142"/>
    </row>
    <row r="8" spans="1:14" x14ac:dyDescent="0.35">
      <c r="A8" s="114" t="s">
        <v>78</v>
      </c>
      <c r="B8" s="90"/>
      <c r="C8" s="312"/>
      <c r="D8" s="312"/>
      <c r="E8" s="312"/>
      <c r="F8" s="312"/>
      <c r="G8" s="312"/>
      <c r="N8" s="142"/>
    </row>
    <row r="9" spans="1:14" x14ac:dyDescent="0.35">
      <c r="A9" s="114" t="s">
        <v>202</v>
      </c>
      <c r="B9" s="90"/>
      <c r="C9" s="318"/>
      <c r="D9" s="318"/>
      <c r="E9" s="318"/>
      <c r="F9" s="318"/>
      <c r="G9" s="318"/>
      <c r="N9" s="142"/>
    </row>
    <row r="10" spans="1:14" x14ac:dyDescent="0.35">
      <c r="A10" s="115" t="s">
        <v>80</v>
      </c>
      <c r="B10" s="115"/>
      <c r="C10" s="339"/>
      <c r="D10" s="339"/>
      <c r="E10" s="339"/>
      <c r="F10" s="339"/>
      <c r="G10" s="339"/>
      <c r="N10" s="142"/>
    </row>
    <row r="11" spans="1:14" x14ac:dyDescent="0.35">
      <c r="A11" s="13"/>
      <c r="B11" s="2"/>
      <c r="C11"/>
      <c r="N11" s="142"/>
    </row>
    <row r="12" spans="1:14" x14ac:dyDescent="0.35">
      <c r="A12" s="15" t="s">
        <v>150</v>
      </c>
      <c r="B12" s="319" t="s">
        <v>152</v>
      </c>
      <c r="C12" s="320"/>
      <c r="D12" s="321"/>
      <c r="N12" s="141" t="s">
        <v>169</v>
      </c>
    </row>
    <row r="13" spans="1:14" x14ac:dyDescent="0.35">
      <c r="B13" s="322" t="s">
        <v>153</v>
      </c>
      <c r="C13" s="323"/>
      <c r="D13" s="324"/>
      <c r="N13" s="142"/>
    </row>
    <row r="14" spans="1:14" x14ac:dyDescent="0.35">
      <c r="B14" s="306" t="s">
        <v>154</v>
      </c>
      <c r="C14" s="307"/>
      <c r="D14" s="308"/>
      <c r="N14" s="142"/>
    </row>
    <row r="15" spans="1:14" x14ac:dyDescent="0.35">
      <c r="B15" s="309" t="s">
        <v>21</v>
      </c>
      <c r="C15" s="310"/>
      <c r="D15" s="311"/>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8</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0.30214853419597149</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3.9038054941039078</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1.2773617324799242</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0.2566463678699063</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1.2829239252908993</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0.97711394605939117</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41" t="s">
        <v>99</v>
      </c>
      <c r="E3" s="341"/>
      <c r="F3" s="341" t="s">
        <v>100</v>
      </c>
      <c r="G3" s="341"/>
      <c r="H3" s="341"/>
      <c r="I3" s="341" t="s">
        <v>101</v>
      </c>
      <c r="J3" s="341"/>
      <c r="K3" s="341"/>
      <c r="L3" s="134"/>
      <c r="M3" s="341" t="s">
        <v>18</v>
      </c>
      <c r="N3" s="341"/>
      <c r="O3" s="341"/>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2025-01-30T19:18:11Z</dcterms:modified>
</cp:coreProperties>
</file>