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Rosenberg\Work\USU\Research\ColoradoRiver\RCode\ColoradoRiverCollaborate\LakeMeadInflow\"/>
    </mc:Choice>
  </mc:AlternateContent>
  <xr:revisionPtr revIDLastSave="0" documentId="13_ncr:1_{FF492C66-CABD-4AB0-8A0C-B56DCD807392}" xr6:coauthVersionLast="47" xr6:coauthVersionMax="47" xr10:uidLastSave="{00000000-0000-0000-0000-000000000000}"/>
  <bookViews>
    <workbookView xWindow="-57720" yWindow="-1800" windowWidth="29040" windowHeight="17520" tabRatio="757" activeTab="1" xr2:uid="{00000000-000D-0000-FFFF-FFFF00000000}"/>
  </bookViews>
  <sheets>
    <sheet name="ReadMe" sheetId="7" r:id="rId1"/>
    <sheet name="Tables" sheetId="6" r:id="rId2"/>
    <sheet name="Figures" sheetId="9" r:id="rId3"/>
    <sheet name="Mainbody" sheetId="8" r:id="rId4"/>
    <sheet name="ungage area Powell and Mead" sheetId="5" r:id="rId5"/>
    <sheet name="CompareUSGStoNatFlow" sheetId="35" r:id="rId6"/>
    <sheet name="USGS gage-NFD (annual)" sheetId="1" r:id="rId7"/>
    <sheet name="BoR-GCD-HD releases" sheetId="2" r:id="rId8"/>
    <sheet name="Mead water budget" sheetId="12" r:id="rId9"/>
    <sheet name="Mead precipitation" sheetId="13" r:id="rId10"/>
    <sheet name="Mead bank storage" sheetId="14" r:id="rId11"/>
    <sheet name="Mead Evap Rate" sheetId="15" r:id="rId12"/>
    <sheet name="09380000-CR@LF-2010to2015" sheetId="16" r:id="rId13"/>
    <sheet name="09382000-PR@LF" sheetId="17" r:id="rId14"/>
    <sheet name="09402000-LCRnrC" sheetId="18" r:id="rId15"/>
    <sheet name="09402500-CRnrGC" sheetId="24" r:id="rId16"/>
    <sheet name="09404200-CRnrPS" sheetId="19" r:id="rId17"/>
    <sheet name="09415250-VRnrO" sheetId="20" r:id="rId18"/>
    <sheet name="90404208-DCnrPS" sheetId="21" r:id="rId19"/>
    <sheet name="90419800LVWnrBC" sheetId="22" r:id="rId20"/>
    <sheet name="09421500-CRblwHD " sheetId="23" r:id="rId21"/>
    <sheet name="PowellEvapPrecipBank" sheetId="34" r:id="rId22"/>
    <sheet name="09180500-CRnrCisco " sheetId="25" r:id="rId23"/>
    <sheet name="09185600-CR@Potash" sheetId="26" r:id="rId24"/>
    <sheet name="09315000-GR@GR " sheetId="27" r:id="rId25"/>
    <sheet name="09328500-SRnrGR " sheetId="28" r:id="rId26"/>
    <sheet name="09328920-GR@MB" sheetId="29" r:id="rId27"/>
    <sheet name="09333500-DDRabPoison" sheetId="30" r:id="rId28"/>
    <sheet name="09337500-Escalante " sheetId="31" r:id="rId29"/>
    <sheet name="09379500-SJnrBluff " sheetId="32" r:id="rId30"/>
    <sheet name="09380000-CR@LF-2016to2019 " sheetId="33" r:id="rId31"/>
  </sheets>
  <externalReferences>
    <externalReference r:id="rId3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5" l="1"/>
  <c r="C4" i="35"/>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2" i="35"/>
  <c r="A30" i="35"/>
  <c r="A23" i="35"/>
  <c r="A24" i="35"/>
  <c r="A25" i="35"/>
  <c r="A26" i="35"/>
  <c r="A27" i="35"/>
  <c r="A28" i="35"/>
  <c r="A29" i="35"/>
  <c r="A3" i="35"/>
  <c r="A4" i="35"/>
  <c r="A5" i="35"/>
  <c r="A6" i="35"/>
  <c r="A7" i="35"/>
  <c r="A8" i="35"/>
  <c r="A9" i="35"/>
  <c r="A10" i="35"/>
  <c r="A11" i="35"/>
  <c r="A12" i="35"/>
  <c r="A13" i="35"/>
  <c r="A14" i="35"/>
  <c r="A15" i="35"/>
  <c r="A16" i="35"/>
  <c r="A17" i="35"/>
  <c r="A18" i="35"/>
  <c r="A19" i="35"/>
  <c r="A20" i="35"/>
  <c r="A21" i="35"/>
  <c r="A22" i="35"/>
  <c r="A2" i="35"/>
  <c r="Z16" i="34" l="1"/>
  <c r="X16" i="34"/>
  <c r="V16" i="34"/>
  <c r="C82" i="8" s="1"/>
  <c r="T16" i="34"/>
  <c r="C83" i="8" s="1"/>
  <c r="H66" i="34"/>
  <c r="E66" i="34"/>
  <c r="D66" i="34"/>
  <c r="H65" i="34"/>
  <c r="E65" i="34"/>
  <c r="D65" i="34"/>
  <c r="H64" i="34"/>
  <c r="E64" i="34"/>
  <c r="D64" i="34"/>
  <c r="H63" i="34"/>
  <c r="E63" i="34"/>
  <c r="D63" i="34"/>
  <c r="H62" i="34"/>
  <c r="E62" i="34"/>
  <c r="D62" i="34"/>
  <c r="H61" i="34"/>
  <c r="E61" i="34"/>
  <c r="D61" i="34"/>
  <c r="H60" i="34"/>
  <c r="E60" i="34"/>
  <c r="D60" i="34"/>
  <c r="H59" i="34"/>
  <c r="E59" i="34"/>
  <c r="D59" i="34"/>
  <c r="H58" i="34"/>
  <c r="E58" i="34"/>
  <c r="D58" i="34"/>
  <c r="H57" i="34"/>
  <c r="E57" i="34"/>
  <c r="D57" i="34"/>
  <c r="H56" i="34"/>
  <c r="E56" i="34"/>
  <c r="D56" i="34"/>
  <c r="H55" i="34"/>
  <c r="E55" i="34"/>
  <c r="D55" i="34"/>
  <c r="H54" i="34"/>
  <c r="E54" i="34"/>
  <c r="D54" i="34"/>
  <c r="H53" i="34"/>
  <c r="E53" i="34"/>
  <c r="D53" i="34"/>
  <c r="H52" i="34"/>
  <c r="E52" i="34"/>
  <c r="D52" i="34"/>
  <c r="H51" i="34"/>
  <c r="E51" i="34"/>
  <c r="D51" i="34"/>
  <c r="H50" i="34"/>
  <c r="E50" i="34"/>
  <c r="D50" i="34"/>
  <c r="H49" i="34"/>
  <c r="E49" i="34"/>
  <c r="D49" i="34"/>
  <c r="H48" i="34"/>
  <c r="E48" i="34"/>
  <c r="D48" i="34"/>
  <c r="H47" i="34"/>
  <c r="E47" i="34"/>
  <c r="D47" i="34"/>
  <c r="H46" i="34"/>
  <c r="E46" i="34"/>
  <c r="D46" i="34"/>
  <c r="H45" i="34"/>
  <c r="E45" i="34"/>
  <c r="D45" i="34"/>
  <c r="H44" i="34"/>
  <c r="E44" i="34"/>
  <c r="D44" i="34"/>
  <c r="H43" i="34"/>
  <c r="E43" i="34"/>
  <c r="D43" i="34"/>
  <c r="H42" i="34"/>
  <c r="E42" i="34"/>
  <c r="D42" i="34"/>
  <c r="H41" i="34"/>
  <c r="E41" i="34"/>
  <c r="D41" i="34"/>
  <c r="H40" i="34"/>
  <c r="E40" i="34"/>
  <c r="D40" i="34"/>
  <c r="H39" i="34"/>
  <c r="E39" i="34"/>
  <c r="D39" i="34"/>
  <c r="H38" i="34"/>
  <c r="E38" i="34"/>
  <c r="D38" i="34"/>
  <c r="H37" i="34"/>
  <c r="E37" i="34"/>
  <c r="D37" i="34"/>
  <c r="H36" i="34"/>
  <c r="E36" i="34"/>
  <c r="D36" i="34"/>
  <c r="H35" i="34"/>
  <c r="E35" i="34"/>
  <c r="D35" i="34"/>
  <c r="H34" i="34"/>
  <c r="E34" i="34"/>
  <c r="D34" i="34"/>
  <c r="H33" i="34"/>
  <c r="E33" i="34"/>
  <c r="D33" i="34"/>
  <c r="H32" i="34"/>
  <c r="E32" i="34"/>
  <c r="D32" i="34"/>
  <c r="H31" i="34"/>
  <c r="E31" i="34"/>
  <c r="D31" i="34"/>
  <c r="H30" i="34"/>
  <c r="E30" i="34"/>
  <c r="D30" i="34"/>
  <c r="H29" i="34"/>
  <c r="E29" i="34"/>
  <c r="D29" i="34"/>
  <c r="H28" i="34"/>
  <c r="E28" i="34"/>
  <c r="D28" i="34"/>
  <c r="H27" i="34"/>
  <c r="E27" i="34"/>
  <c r="D27" i="34"/>
  <c r="H26" i="34"/>
  <c r="E26" i="34"/>
  <c r="D26" i="34"/>
  <c r="H25" i="34"/>
  <c r="E25" i="34"/>
  <c r="D25" i="34"/>
  <c r="H24" i="34"/>
  <c r="E24" i="34"/>
  <c r="D24" i="34"/>
  <c r="H23" i="34"/>
  <c r="E23" i="34"/>
  <c r="D23" i="34"/>
  <c r="H22" i="34"/>
  <c r="E22" i="34"/>
  <c r="D22" i="34"/>
  <c r="H21" i="34"/>
  <c r="E21" i="34"/>
  <c r="D21" i="34"/>
  <c r="H20" i="34"/>
  <c r="E20" i="34"/>
  <c r="D20" i="34"/>
  <c r="H19" i="34"/>
  <c r="E19" i="34"/>
  <c r="D19" i="34"/>
  <c r="H18" i="34"/>
  <c r="E18" i="34"/>
  <c r="D18" i="34"/>
  <c r="H17" i="34"/>
  <c r="E17" i="34"/>
  <c r="D17" i="34"/>
  <c r="H16" i="34"/>
  <c r="E16" i="34"/>
  <c r="D16" i="34"/>
  <c r="H15" i="34"/>
  <c r="E15" i="34"/>
  <c r="D15" i="34"/>
  <c r="H14" i="34"/>
  <c r="E14" i="34"/>
  <c r="D14" i="34"/>
  <c r="H13" i="34"/>
  <c r="E13" i="34"/>
  <c r="D13" i="34"/>
  <c r="H12" i="34"/>
  <c r="E12" i="34"/>
  <c r="D12" i="34"/>
  <c r="H11" i="34"/>
  <c r="E11" i="34"/>
  <c r="D11" i="34"/>
  <c r="H10" i="34"/>
  <c r="E10" i="34"/>
  <c r="D10" i="34"/>
  <c r="H9" i="34"/>
  <c r="E9" i="34"/>
  <c r="D9" i="34"/>
  <c r="H8" i="34"/>
  <c r="E8" i="34"/>
  <c r="D8" i="34"/>
  <c r="H7" i="34"/>
  <c r="E7" i="34"/>
  <c r="D7" i="34"/>
  <c r="H6" i="34"/>
  <c r="E6" i="34"/>
  <c r="D6" i="34"/>
  <c r="H5" i="34"/>
  <c r="E5" i="34"/>
  <c r="D5" i="34"/>
  <c r="H4" i="34"/>
  <c r="E4" i="34"/>
  <c r="D4" i="34"/>
  <c r="J4" i="34" s="1"/>
  <c r="K4" i="34" s="1"/>
  <c r="AO12" i="6"/>
  <c r="E60" i="33"/>
  <c r="D60" i="33"/>
  <c r="D59" i="33"/>
  <c r="E59" i="33" s="1"/>
  <c r="D58" i="33"/>
  <c r="E58" i="33" s="1"/>
  <c r="D57" i="33"/>
  <c r="E57" i="33" s="1"/>
  <c r="D56" i="33"/>
  <c r="E56" i="33" s="1"/>
  <c r="D55" i="33"/>
  <c r="E55" i="33" s="1"/>
  <c r="E54" i="33"/>
  <c r="D54" i="33"/>
  <c r="E53" i="33"/>
  <c r="D53" i="33"/>
  <c r="E52" i="33"/>
  <c r="D52" i="33"/>
  <c r="D51" i="33"/>
  <c r="E51" i="33" s="1"/>
  <c r="D50" i="33"/>
  <c r="E50" i="33" s="1"/>
  <c r="D49" i="33"/>
  <c r="E49" i="33" s="1"/>
  <c r="D48" i="33"/>
  <c r="E48" i="33" s="1"/>
  <c r="D47" i="33"/>
  <c r="E47" i="33" s="1"/>
  <c r="E46" i="33"/>
  <c r="D46" i="33"/>
  <c r="E45" i="33"/>
  <c r="D45" i="33"/>
  <c r="E44" i="33"/>
  <c r="D44" i="33"/>
  <c r="D43" i="33"/>
  <c r="E43" i="33" s="1"/>
  <c r="D42" i="33"/>
  <c r="E42" i="33" s="1"/>
  <c r="D41" i="33"/>
  <c r="E41" i="33" s="1"/>
  <c r="D40" i="33"/>
  <c r="E40" i="33" s="1"/>
  <c r="D39" i="33"/>
  <c r="E39" i="33" s="1"/>
  <c r="E38" i="33"/>
  <c r="D38" i="33"/>
  <c r="E37" i="33"/>
  <c r="D37" i="33"/>
  <c r="E36" i="33"/>
  <c r="D36" i="33"/>
  <c r="D35" i="33"/>
  <c r="E35" i="33" s="1"/>
  <c r="D34" i="33"/>
  <c r="E34" i="33" s="1"/>
  <c r="D33" i="33"/>
  <c r="E33" i="33" s="1"/>
  <c r="D32" i="33"/>
  <c r="E32" i="33" s="1"/>
  <c r="D31" i="33"/>
  <c r="E31" i="33" s="1"/>
  <c r="E30" i="33"/>
  <c r="D30" i="33"/>
  <c r="E29" i="33"/>
  <c r="D29" i="33"/>
  <c r="E28" i="33"/>
  <c r="D28" i="33"/>
  <c r="D27" i="33"/>
  <c r="E27" i="33" s="1"/>
  <c r="D26" i="33"/>
  <c r="E26" i="33" s="1"/>
  <c r="D25" i="33"/>
  <c r="E25" i="33" s="1"/>
  <c r="D24" i="33"/>
  <c r="E24" i="33" s="1"/>
  <c r="D23" i="33"/>
  <c r="E23" i="33" s="1"/>
  <c r="E22" i="33"/>
  <c r="D22" i="33"/>
  <c r="E21" i="33"/>
  <c r="D21" i="33"/>
  <c r="E20" i="33"/>
  <c r="D20" i="33"/>
  <c r="D19" i="33"/>
  <c r="E19" i="33" s="1"/>
  <c r="D18" i="33"/>
  <c r="E18" i="33" s="1"/>
  <c r="D17" i="33"/>
  <c r="E17" i="33" s="1"/>
  <c r="Q16" i="33"/>
  <c r="R16" i="33" s="1"/>
  <c r="AO15" i="6" s="1"/>
  <c r="D16" i="33"/>
  <c r="E16" i="33" s="1"/>
  <c r="Q15" i="33"/>
  <c r="R15" i="33" s="1"/>
  <c r="AN15" i="6" s="1"/>
  <c r="D15" i="33"/>
  <c r="E15" i="33" s="1"/>
  <c r="Q14" i="33"/>
  <c r="R14" i="33" s="1"/>
  <c r="AM15" i="6" s="1"/>
  <c r="D14" i="33"/>
  <c r="E14" i="33" s="1"/>
  <c r="R13" i="33"/>
  <c r="AL15" i="6" s="1"/>
  <c r="Q13" i="33"/>
  <c r="E13" i="33"/>
  <c r="D13" i="33"/>
  <c r="E61" i="32"/>
  <c r="E60" i="32"/>
  <c r="D59" i="32"/>
  <c r="E59" i="32" s="1"/>
  <c r="D58" i="32"/>
  <c r="E58" i="32" s="1"/>
  <c r="D57" i="32"/>
  <c r="E57" i="32" s="1"/>
  <c r="D56" i="32"/>
  <c r="E56" i="32" s="1"/>
  <c r="E55" i="32"/>
  <c r="D55" i="32"/>
  <c r="D54" i="32"/>
  <c r="E54" i="32" s="1"/>
  <c r="D53" i="32"/>
  <c r="E53" i="32" s="1"/>
  <c r="E52" i="32"/>
  <c r="D52" i="32"/>
  <c r="E51" i="32"/>
  <c r="D51" i="32"/>
  <c r="D50" i="32"/>
  <c r="E50" i="32" s="1"/>
  <c r="D49" i="32"/>
  <c r="E49" i="32" s="1"/>
  <c r="D48" i="32"/>
  <c r="E48" i="32" s="1"/>
  <c r="D47" i="32"/>
  <c r="E47" i="32" s="1"/>
  <c r="D46" i="32"/>
  <c r="E46" i="32" s="1"/>
  <c r="D45" i="32"/>
  <c r="E45" i="32" s="1"/>
  <c r="D44" i="32"/>
  <c r="E44" i="32" s="1"/>
  <c r="D43" i="32"/>
  <c r="E43" i="32" s="1"/>
  <c r="D42" i="32"/>
  <c r="E42" i="32" s="1"/>
  <c r="D41" i="32"/>
  <c r="E41" i="32" s="1"/>
  <c r="D40" i="32"/>
  <c r="E40" i="32" s="1"/>
  <c r="E39" i="32"/>
  <c r="D39" i="32"/>
  <c r="D38" i="32"/>
  <c r="E38" i="32" s="1"/>
  <c r="D37" i="32"/>
  <c r="E37" i="32" s="1"/>
  <c r="D36" i="32"/>
  <c r="E36" i="32" s="1"/>
  <c r="D35" i="32"/>
  <c r="E35" i="32" s="1"/>
  <c r="D34" i="32"/>
  <c r="E34" i="32" s="1"/>
  <c r="D33" i="32"/>
  <c r="E33" i="32" s="1"/>
  <c r="D32" i="32"/>
  <c r="E32" i="32" s="1"/>
  <c r="D31" i="32"/>
  <c r="E31" i="32" s="1"/>
  <c r="D30" i="32"/>
  <c r="E30" i="32" s="1"/>
  <c r="D29" i="32"/>
  <c r="E29" i="32" s="1"/>
  <c r="D28" i="32"/>
  <c r="E28" i="32" s="1"/>
  <c r="D27" i="32"/>
  <c r="E27" i="32" s="1"/>
  <c r="D26" i="32"/>
  <c r="E26" i="32" s="1"/>
  <c r="D25" i="32"/>
  <c r="E25" i="32" s="1"/>
  <c r="D24" i="32"/>
  <c r="E24" i="32" s="1"/>
  <c r="D23" i="32"/>
  <c r="E23" i="32" s="1"/>
  <c r="D22" i="32"/>
  <c r="E22" i="32" s="1"/>
  <c r="D21" i="32"/>
  <c r="E21" i="32" s="1"/>
  <c r="D20" i="32"/>
  <c r="E20" i="32" s="1"/>
  <c r="D19" i="32"/>
  <c r="E19" i="32" s="1"/>
  <c r="D18" i="32"/>
  <c r="E18" i="32" s="1"/>
  <c r="D17" i="32"/>
  <c r="E17" i="32" s="1"/>
  <c r="D16" i="32"/>
  <c r="E16" i="32" s="1"/>
  <c r="Q15" i="32"/>
  <c r="R15" i="32" s="1"/>
  <c r="AO13" i="6" s="1"/>
  <c r="E15" i="32"/>
  <c r="D15" i="32"/>
  <c r="R14" i="32"/>
  <c r="AN13" i="6" s="1"/>
  <c r="Q14" i="32"/>
  <c r="D14" i="32"/>
  <c r="E14" i="32" s="1"/>
  <c r="Q13" i="32"/>
  <c r="R13" i="32" s="1"/>
  <c r="AM13" i="6" s="1"/>
  <c r="E13" i="32"/>
  <c r="D13" i="32"/>
  <c r="R12" i="32"/>
  <c r="AL13" i="6" s="1"/>
  <c r="Q12" i="32"/>
  <c r="D12" i="32"/>
  <c r="E12" i="32" s="1"/>
  <c r="E62" i="31"/>
  <c r="E61" i="31"/>
  <c r="D60" i="31"/>
  <c r="E60" i="31" s="1"/>
  <c r="D59" i="31"/>
  <c r="E59" i="31" s="1"/>
  <c r="D58" i="31"/>
  <c r="E58" i="31" s="1"/>
  <c r="D57" i="31"/>
  <c r="E57" i="31" s="1"/>
  <c r="D56" i="31"/>
  <c r="E56" i="31" s="1"/>
  <c r="D55" i="31"/>
  <c r="E55" i="31" s="1"/>
  <c r="E54" i="31"/>
  <c r="D54" i="31"/>
  <c r="E53" i="31"/>
  <c r="D53" i="31"/>
  <c r="D52" i="31"/>
  <c r="E52" i="31" s="1"/>
  <c r="D51" i="31"/>
  <c r="E51" i="31" s="1"/>
  <c r="E50" i="31"/>
  <c r="D50" i="31"/>
  <c r="E49" i="31"/>
  <c r="D49" i="31"/>
  <c r="D48" i="31"/>
  <c r="E48" i="31" s="1"/>
  <c r="D47" i="31"/>
  <c r="E47" i="31" s="1"/>
  <c r="E46" i="31"/>
  <c r="D46" i="31"/>
  <c r="E45" i="31"/>
  <c r="D45" i="31"/>
  <c r="D44" i="31"/>
  <c r="E44" i="31" s="1"/>
  <c r="D43" i="31"/>
  <c r="E43" i="31" s="1"/>
  <c r="E42" i="31"/>
  <c r="D42" i="31"/>
  <c r="E41" i="31"/>
  <c r="D41" i="31"/>
  <c r="D40" i="31"/>
  <c r="E40" i="31" s="1"/>
  <c r="D39" i="31"/>
  <c r="E39" i="31" s="1"/>
  <c r="E38" i="31"/>
  <c r="D38" i="31"/>
  <c r="E37" i="31"/>
  <c r="D37" i="31"/>
  <c r="D36" i="31"/>
  <c r="E36" i="31" s="1"/>
  <c r="D35" i="31"/>
  <c r="E35" i="31" s="1"/>
  <c r="E34" i="31"/>
  <c r="D34" i="31"/>
  <c r="E33" i="31"/>
  <c r="D33" i="31"/>
  <c r="D32" i="31"/>
  <c r="E32" i="31" s="1"/>
  <c r="D31" i="31"/>
  <c r="E31" i="31" s="1"/>
  <c r="E30" i="31"/>
  <c r="D30" i="31"/>
  <c r="E29" i="31"/>
  <c r="D29" i="31"/>
  <c r="D28" i="31"/>
  <c r="E28" i="31" s="1"/>
  <c r="D27" i="31"/>
  <c r="E27" i="31" s="1"/>
  <c r="E26" i="31"/>
  <c r="D26" i="31"/>
  <c r="D25" i="31"/>
  <c r="E25" i="31" s="1"/>
  <c r="D24" i="31"/>
  <c r="E24" i="31" s="1"/>
  <c r="D23" i="31"/>
  <c r="E23" i="31" s="1"/>
  <c r="D22" i="31"/>
  <c r="E22" i="31" s="1"/>
  <c r="D21" i="31"/>
  <c r="E21" i="31" s="1"/>
  <c r="D20" i="31"/>
  <c r="E20" i="31" s="1"/>
  <c r="D19" i="31"/>
  <c r="E19" i="31" s="1"/>
  <c r="E18" i="31"/>
  <c r="D18" i="31"/>
  <c r="D17" i="31"/>
  <c r="E17" i="31" s="1"/>
  <c r="Q16" i="31"/>
  <c r="R16" i="31" s="1"/>
  <c r="E16" i="31"/>
  <c r="D16" i="31"/>
  <c r="R15" i="31"/>
  <c r="AN12" i="6" s="1"/>
  <c r="Q15" i="31"/>
  <c r="D15" i="31"/>
  <c r="E15" i="31" s="1"/>
  <c r="Q14" i="31"/>
  <c r="R14" i="31" s="1"/>
  <c r="AM12" i="6" s="1"/>
  <c r="D14" i="31"/>
  <c r="E14" i="31" s="1"/>
  <c r="Q13" i="31"/>
  <c r="R13" i="31" s="1"/>
  <c r="D13" i="31"/>
  <c r="E13" i="31" s="1"/>
  <c r="E62" i="30"/>
  <c r="E61" i="30"/>
  <c r="D60" i="30"/>
  <c r="E60" i="30" s="1"/>
  <c r="D59" i="30"/>
  <c r="E59" i="30" s="1"/>
  <c r="D58" i="30"/>
  <c r="E58" i="30" s="1"/>
  <c r="D57" i="30"/>
  <c r="E57" i="30" s="1"/>
  <c r="D56" i="30"/>
  <c r="E56" i="30" s="1"/>
  <c r="D55" i="30"/>
  <c r="E55" i="30" s="1"/>
  <c r="D54" i="30"/>
  <c r="E54" i="30" s="1"/>
  <c r="D53" i="30"/>
  <c r="E53" i="30" s="1"/>
  <c r="D52" i="30"/>
  <c r="E52" i="30" s="1"/>
  <c r="D51" i="30"/>
  <c r="E51" i="30" s="1"/>
  <c r="D50" i="30"/>
  <c r="E50" i="30" s="1"/>
  <c r="D49" i="30"/>
  <c r="E49" i="30" s="1"/>
  <c r="D48" i="30"/>
  <c r="E48" i="30" s="1"/>
  <c r="D47" i="30"/>
  <c r="E47" i="30" s="1"/>
  <c r="D46" i="30"/>
  <c r="E46" i="30" s="1"/>
  <c r="D45" i="30"/>
  <c r="E45" i="30" s="1"/>
  <c r="D44" i="30"/>
  <c r="E44" i="30" s="1"/>
  <c r="D43" i="30"/>
  <c r="E43" i="30" s="1"/>
  <c r="D42" i="30"/>
  <c r="E42" i="30" s="1"/>
  <c r="D41" i="30"/>
  <c r="E41" i="30" s="1"/>
  <c r="D40" i="30"/>
  <c r="E40" i="30" s="1"/>
  <c r="D39" i="30"/>
  <c r="E39" i="30" s="1"/>
  <c r="D38" i="30"/>
  <c r="E38" i="30" s="1"/>
  <c r="D37" i="30"/>
  <c r="E37" i="30" s="1"/>
  <c r="D36" i="30"/>
  <c r="E36" i="30" s="1"/>
  <c r="D35" i="30"/>
  <c r="E35" i="30" s="1"/>
  <c r="D34" i="30"/>
  <c r="E34" i="30" s="1"/>
  <c r="D33" i="30"/>
  <c r="E33" i="30" s="1"/>
  <c r="D32" i="30"/>
  <c r="E32" i="30" s="1"/>
  <c r="D31" i="30"/>
  <c r="E31" i="30" s="1"/>
  <c r="D30" i="30"/>
  <c r="E30" i="30" s="1"/>
  <c r="D29" i="30"/>
  <c r="E29" i="30" s="1"/>
  <c r="D28" i="30"/>
  <c r="E28" i="30" s="1"/>
  <c r="D27" i="30"/>
  <c r="E27" i="30" s="1"/>
  <c r="D26" i="30"/>
  <c r="E26" i="30" s="1"/>
  <c r="D25" i="30"/>
  <c r="E25" i="30" s="1"/>
  <c r="D24" i="30"/>
  <c r="E24" i="30" s="1"/>
  <c r="D23" i="30"/>
  <c r="E23" i="30" s="1"/>
  <c r="D22" i="30"/>
  <c r="E22" i="30" s="1"/>
  <c r="D21" i="30"/>
  <c r="E21" i="30" s="1"/>
  <c r="D20" i="30"/>
  <c r="E20" i="30" s="1"/>
  <c r="D19" i="30"/>
  <c r="E19" i="30" s="1"/>
  <c r="D18" i="30"/>
  <c r="E18" i="30" s="1"/>
  <c r="D17" i="30"/>
  <c r="E17" i="30" s="1"/>
  <c r="Q16" i="30"/>
  <c r="R16" i="30" s="1"/>
  <c r="AO11" i="6" s="1"/>
  <c r="E16" i="30"/>
  <c r="D16" i="30"/>
  <c r="R15" i="30"/>
  <c r="AN11" i="6" s="1"/>
  <c r="Q15" i="30"/>
  <c r="D15" i="30"/>
  <c r="E15" i="30" s="1"/>
  <c r="Q14" i="30"/>
  <c r="R14" i="30" s="1"/>
  <c r="AM11" i="6" s="1"/>
  <c r="E14" i="30"/>
  <c r="D14" i="30"/>
  <c r="R13" i="30"/>
  <c r="AL11" i="6" s="1"/>
  <c r="Q13" i="30"/>
  <c r="D13" i="30"/>
  <c r="E13" i="30" s="1"/>
  <c r="D67" i="29"/>
  <c r="E67" i="29" s="1"/>
  <c r="D66" i="29"/>
  <c r="E66" i="29" s="1"/>
  <c r="D65" i="29"/>
  <c r="E65" i="29" s="1"/>
  <c r="E62" i="29"/>
  <c r="E61" i="29"/>
  <c r="D60" i="29"/>
  <c r="E60" i="29" s="1"/>
  <c r="F60" i="29" s="1"/>
  <c r="G60" i="29" s="1"/>
  <c r="D59" i="29"/>
  <c r="E59" i="29" s="1"/>
  <c r="F59" i="29" s="1"/>
  <c r="G59" i="29" s="1"/>
  <c r="D58" i="29"/>
  <c r="E58" i="29" s="1"/>
  <c r="F58" i="29" s="1"/>
  <c r="G58" i="29" s="1"/>
  <c r="D57" i="29"/>
  <c r="E57" i="29" s="1"/>
  <c r="F57" i="29" s="1"/>
  <c r="G57" i="29" s="1"/>
  <c r="D56" i="29"/>
  <c r="E56" i="29" s="1"/>
  <c r="F56" i="29" s="1"/>
  <c r="G56" i="29" s="1"/>
  <c r="D55" i="29"/>
  <c r="E55" i="29" s="1"/>
  <c r="F55" i="29" s="1"/>
  <c r="G55" i="29" s="1"/>
  <c r="D54" i="29"/>
  <c r="E54" i="29" s="1"/>
  <c r="F54" i="29" s="1"/>
  <c r="G54" i="29" s="1"/>
  <c r="D53" i="29"/>
  <c r="E53" i="29" s="1"/>
  <c r="F53" i="29" s="1"/>
  <c r="G53" i="29" s="1"/>
  <c r="D52" i="29"/>
  <c r="E52" i="29" s="1"/>
  <c r="F52" i="29" s="1"/>
  <c r="G52" i="29" s="1"/>
  <c r="D51" i="29"/>
  <c r="E51" i="29" s="1"/>
  <c r="F51" i="29" s="1"/>
  <c r="G51" i="29" s="1"/>
  <c r="D50" i="29"/>
  <c r="E50" i="29" s="1"/>
  <c r="F50" i="29" s="1"/>
  <c r="G50" i="29" s="1"/>
  <c r="D49" i="29"/>
  <c r="E49" i="29" s="1"/>
  <c r="D48" i="29"/>
  <c r="E48" i="29" s="1"/>
  <c r="F48" i="29" s="1"/>
  <c r="G48" i="29" s="1"/>
  <c r="D47" i="29"/>
  <c r="E47" i="29" s="1"/>
  <c r="F47" i="29" s="1"/>
  <c r="G47" i="29" s="1"/>
  <c r="D46" i="29"/>
  <c r="E46" i="29" s="1"/>
  <c r="F46" i="29" s="1"/>
  <c r="G46" i="29" s="1"/>
  <c r="D45" i="29"/>
  <c r="E45" i="29" s="1"/>
  <c r="F45" i="29" s="1"/>
  <c r="G45" i="29" s="1"/>
  <c r="D44" i="29"/>
  <c r="E44" i="29" s="1"/>
  <c r="F44" i="29" s="1"/>
  <c r="G44" i="29" s="1"/>
  <c r="D43" i="29"/>
  <c r="E43" i="29" s="1"/>
  <c r="F43" i="29" s="1"/>
  <c r="G43" i="29" s="1"/>
  <c r="D42" i="29"/>
  <c r="E42" i="29" s="1"/>
  <c r="F42" i="29" s="1"/>
  <c r="G42" i="29" s="1"/>
  <c r="D41" i="29"/>
  <c r="E41" i="29" s="1"/>
  <c r="F41" i="29" s="1"/>
  <c r="G41" i="29" s="1"/>
  <c r="D40" i="29"/>
  <c r="E40" i="29" s="1"/>
  <c r="F40" i="29" s="1"/>
  <c r="G40" i="29" s="1"/>
  <c r="D39" i="29"/>
  <c r="E39" i="29" s="1"/>
  <c r="F39" i="29" s="1"/>
  <c r="G39" i="29" s="1"/>
  <c r="D38" i="29"/>
  <c r="E38" i="29" s="1"/>
  <c r="F38" i="29" s="1"/>
  <c r="G38" i="29" s="1"/>
  <c r="D37" i="29"/>
  <c r="E37" i="29" s="1"/>
  <c r="D36" i="29"/>
  <c r="E36" i="29" s="1"/>
  <c r="F36" i="29" s="1"/>
  <c r="G36" i="29" s="1"/>
  <c r="D35" i="29"/>
  <c r="E35" i="29" s="1"/>
  <c r="F35" i="29" s="1"/>
  <c r="G35" i="29" s="1"/>
  <c r="D34" i="29"/>
  <c r="E34" i="29" s="1"/>
  <c r="F34" i="29" s="1"/>
  <c r="G34" i="29" s="1"/>
  <c r="D33" i="29"/>
  <c r="E33" i="29" s="1"/>
  <c r="F33" i="29" s="1"/>
  <c r="G33" i="29" s="1"/>
  <c r="D32" i="29"/>
  <c r="E32" i="29" s="1"/>
  <c r="F32" i="29" s="1"/>
  <c r="G32" i="29" s="1"/>
  <c r="D31" i="29"/>
  <c r="E31" i="29" s="1"/>
  <c r="F31" i="29" s="1"/>
  <c r="G31" i="29" s="1"/>
  <c r="D30" i="29"/>
  <c r="E30" i="29" s="1"/>
  <c r="F30" i="29" s="1"/>
  <c r="G30" i="29" s="1"/>
  <c r="D29" i="29"/>
  <c r="E29" i="29" s="1"/>
  <c r="F29" i="29" s="1"/>
  <c r="G29" i="29" s="1"/>
  <c r="D28" i="29"/>
  <c r="E28" i="29" s="1"/>
  <c r="F28" i="29" s="1"/>
  <c r="G28" i="29" s="1"/>
  <c r="D27" i="29"/>
  <c r="E27" i="29" s="1"/>
  <c r="F27" i="29" s="1"/>
  <c r="G27" i="29" s="1"/>
  <c r="D26" i="29"/>
  <c r="E26" i="29" s="1"/>
  <c r="F26" i="29" s="1"/>
  <c r="G26" i="29" s="1"/>
  <c r="D25" i="29"/>
  <c r="E25" i="29" s="1"/>
  <c r="D24" i="29"/>
  <c r="E24" i="29" s="1"/>
  <c r="F24" i="29" s="1"/>
  <c r="G24" i="29" s="1"/>
  <c r="D23" i="29"/>
  <c r="E23" i="29" s="1"/>
  <c r="F23" i="29" s="1"/>
  <c r="G23" i="29" s="1"/>
  <c r="D22" i="29"/>
  <c r="E22" i="29" s="1"/>
  <c r="F22" i="29" s="1"/>
  <c r="G22" i="29" s="1"/>
  <c r="D21" i="29"/>
  <c r="E21" i="29" s="1"/>
  <c r="F21" i="29" s="1"/>
  <c r="G21" i="29" s="1"/>
  <c r="D20" i="29"/>
  <c r="E20" i="29" s="1"/>
  <c r="F20" i="29" s="1"/>
  <c r="G20" i="29" s="1"/>
  <c r="D19" i="29"/>
  <c r="E19" i="29" s="1"/>
  <c r="F19" i="29" s="1"/>
  <c r="G19" i="29" s="1"/>
  <c r="D18" i="29"/>
  <c r="E18" i="29" s="1"/>
  <c r="F18" i="29" s="1"/>
  <c r="G18" i="29" s="1"/>
  <c r="D17" i="29"/>
  <c r="E17" i="29" s="1"/>
  <c r="F17" i="29" s="1"/>
  <c r="G17" i="29" s="1"/>
  <c r="Q16" i="29"/>
  <c r="R16" i="29" s="1"/>
  <c r="AO10" i="6" s="1"/>
  <c r="E16" i="29"/>
  <c r="F16" i="29" s="1"/>
  <c r="G16" i="29" s="1"/>
  <c r="D16" i="29"/>
  <c r="Q15" i="29"/>
  <c r="R15" i="29" s="1"/>
  <c r="AN10" i="6" s="1"/>
  <c r="D15" i="29"/>
  <c r="E15" i="29" s="1"/>
  <c r="F15" i="29" s="1"/>
  <c r="G15" i="29" s="1"/>
  <c r="R14" i="29"/>
  <c r="T14" i="29" s="1"/>
  <c r="Q14" i="29"/>
  <c r="D14" i="29"/>
  <c r="E14" i="29" s="1"/>
  <c r="F14" i="29" s="1"/>
  <c r="G14" i="29" s="1"/>
  <c r="Q13" i="29"/>
  <c r="R13" i="29" s="1"/>
  <c r="AL10" i="6" s="1"/>
  <c r="D13" i="29"/>
  <c r="E13" i="29" s="1"/>
  <c r="D60" i="28"/>
  <c r="E60" i="28" s="1"/>
  <c r="D59" i="28"/>
  <c r="E59" i="28" s="1"/>
  <c r="D58" i="28"/>
  <c r="E58" i="28" s="1"/>
  <c r="E57" i="28"/>
  <c r="D57" i="28"/>
  <c r="D56" i="28"/>
  <c r="E56" i="28" s="1"/>
  <c r="D55" i="28"/>
  <c r="E55" i="28" s="1"/>
  <c r="D54" i="28"/>
  <c r="E54" i="28" s="1"/>
  <c r="D53" i="28"/>
  <c r="E53" i="28" s="1"/>
  <c r="D52" i="28"/>
  <c r="E52" i="28" s="1"/>
  <c r="D51" i="28"/>
  <c r="E51" i="28" s="1"/>
  <c r="D50" i="28"/>
  <c r="E50" i="28" s="1"/>
  <c r="D49" i="28"/>
  <c r="E49" i="28" s="1"/>
  <c r="D48" i="28"/>
  <c r="E48" i="28" s="1"/>
  <c r="D47" i="28"/>
  <c r="E47" i="28" s="1"/>
  <c r="D46" i="28"/>
  <c r="E46" i="28" s="1"/>
  <c r="E45" i="28"/>
  <c r="D45" i="28"/>
  <c r="D44" i="28"/>
  <c r="E44" i="28" s="1"/>
  <c r="D43" i="28"/>
  <c r="E43" i="28" s="1"/>
  <c r="D42" i="28"/>
  <c r="E42" i="28" s="1"/>
  <c r="E41" i="28"/>
  <c r="D41" i="28"/>
  <c r="D40" i="28"/>
  <c r="E40" i="28" s="1"/>
  <c r="D39" i="28"/>
  <c r="E39" i="28" s="1"/>
  <c r="D38" i="28"/>
  <c r="E38" i="28" s="1"/>
  <c r="D37" i="28"/>
  <c r="E37" i="28" s="1"/>
  <c r="D36" i="28"/>
  <c r="E36" i="28" s="1"/>
  <c r="D35" i="28"/>
  <c r="E35" i="28" s="1"/>
  <c r="D34" i="28"/>
  <c r="E34" i="28" s="1"/>
  <c r="D33" i="28"/>
  <c r="E33" i="28" s="1"/>
  <c r="D32" i="28"/>
  <c r="E32" i="28" s="1"/>
  <c r="D31" i="28"/>
  <c r="E31" i="28" s="1"/>
  <c r="D30" i="28"/>
  <c r="E30" i="28" s="1"/>
  <c r="D29" i="28"/>
  <c r="E29" i="28" s="1"/>
  <c r="D28" i="28"/>
  <c r="E28" i="28" s="1"/>
  <c r="D27" i="28"/>
  <c r="E27" i="28" s="1"/>
  <c r="D26" i="28"/>
  <c r="E26" i="28" s="1"/>
  <c r="E25" i="28"/>
  <c r="D25" i="28"/>
  <c r="D24" i="28"/>
  <c r="E24" i="28" s="1"/>
  <c r="D23" i="28"/>
  <c r="E23" i="28" s="1"/>
  <c r="D22" i="28"/>
  <c r="E22" i="28" s="1"/>
  <c r="D21" i="28"/>
  <c r="E21" i="28" s="1"/>
  <c r="D20" i="28"/>
  <c r="E20" i="28" s="1"/>
  <c r="D19" i="28"/>
  <c r="E19" i="28" s="1"/>
  <c r="D18" i="28"/>
  <c r="E18" i="28" s="1"/>
  <c r="D17" i="28"/>
  <c r="E17" i="28" s="1"/>
  <c r="Q16" i="28"/>
  <c r="R16" i="28" s="1"/>
  <c r="AO9" i="6" s="1"/>
  <c r="D16" i="28"/>
  <c r="E16" i="28" s="1"/>
  <c r="Q15" i="28"/>
  <c r="R15" i="28" s="1"/>
  <c r="AN9" i="6" s="1"/>
  <c r="D15" i="28"/>
  <c r="E15" i="28" s="1"/>
  <c r="R14" i="28"/>
  <c r="AM9" i="6" s="1"/>
  <c r="Q14" i="28"/>
  <c r="D14" i="28"/>
  <c r="E14" i="28" s="1"/>
  <c r="R13" i="28"/>
  <c r="AL9" i="6" s="1"/>
  <c r="Q13" i="28"/>
  <c r="D13" i="28"/>
  <c r="E13" i="28" s="1"/>
  <c r="E60" i="27"/>
  <c r="D60" i="27"/>
  <c r="D59" i="27"/>
  <c r="E59" i="27" s="1"/>
  <c r="D58" i="27"/>
  <c r="E58" i="27" s="1"/>
  <c r="D57" i="27"/>
  <c r="E57" i="27" s="1"/>
  <c r="D56" i="27"/>
  <c r="E56" i="27" s="1"/>
  <c r="D55" i="27"/>
  <c r="E55" i="27" s="1"/>
  <c r="D54" i="27"/>
  <c r="E54" i="27" s="1"/>
  <c r="D53" i="27"/>
  <c r="E53" i="27" s="1"/>
  <c r="D52" i="27"/>
  <c r="E52" i="27" s="1"/>
  <c r="D51" i="27"/>
  <c r="E51" i="27" s="1"/>
  <c r="D50" i="27"/>
  <c r="E50" i="27" s="1"/>
  <c r="D49" i="27"/>
  <c r="E49" i="27" s="1"/>
  <c r="E48" i="27"/>
  <c r="D48" i="27"/>
  <c r="D47" i="27"/>
  <c r="E47" i="27" s="1"/>
  <c r="D46" i="27"/>
  <c r="E46" i="27" s="1"/>
  <c r="D45" i="27"/>
  <c r="E45" i="27" s="1"/>
  <c r="E44" i="27"/>
  <c r="D44" i="27"/>
  <c r="D43" i="27"/>
  <c r="E43" i="27" s="1"/>
  <c r="D42" i="27"/>
  <c r="E42" i="27" s="1"/>
  <c r="D41" i="27"/>
  <c r="E41" i="27" s="1"/>
  <c r="D40" i="27"/>
  <c r="E40" i="27" s="1"/>
  <c r="D39" i="27"/>
  <c r="E39" i="27" s="1"/>
  <c r="D38" i="27"/>
  <c r="E38" i="27" s="1"/>
  <c r="D37" i="27"/>
  <c r="E37" i="27" s="1"/>
  <c r="D36" i="27"/>
  <c r="E36" i="27" s="1"/>
  <c r="D35" i="27"/>
  <c r="E35" i="27" s="1"/>
  <c r="D34" i="27"/>
  <c r="E34" i="27" s="1"/>
  <c r="D33" i="27"/>
  <c r="E33" i="27" s="1"/>
  <c r="D32" i="27"/>
  <c r="E32" i="27" s="1"/>
  <c r="D31" i="27"/>
  <c r="E31" i="27" s="1"/>
  <c r="D30" i="27"/>
  <c r="E30" i="27" s="1"/>
  <c r="D29" i="27"/>
  <c r="E29" i="27" s="1"/>
  <c r="E28" i="27"/>
  <c r="D28" i="27"/>
  <c r="D27" i="27"/>
  <c r="E27" i="27" s="1"/>
  <c r="D26" i="27"/>
  <c r="E26" i="27" s="1"/>
  <c r="D25" i="27"/>
  <c r="E25" i="27" s="1"/>
  <c r="D24" i="27"/>
  <c r="E24" i="27" s="1"/>
  <c r="D23" i="27"/>
  <c r="E23" i="27" s="1"/>
  <c r="D22" i="27"/>
  <c r="E22" i="27" s="1"/>
  <c r="D21" i="27"/>
  <c r="E21" i="27" s="1"/>
  <c r="D20" i="27"/>
  <c r="E20" i="27" s="1"/>
  <c r="D19" i="27"/>
  <c r="E19" i="27" s="1"/>
  <c r="D18" i="27"/>
  <c r="E18" i="27" s="1"/>
  <c r="D17" i="27"/>
  <c r="E17" i="27" s="1"/>
  <c r="Q16" i="27"/>
  <c r="R16" i="27" s="1"/>
  <c r="AO8" i="6" s="1"/>
  <c r="D16" i="27"/>
  <c r="E16" i="27" s="1"/>
  <c r="Q15" i="27"/>
  <c r="R15" i="27" s="1"/>
  <c r="D15" i="27"/>
  <c r="E15" i="27" s="1"/>
  <c r="R14" i="27"/>
  <c r="AM8" i="6" s="1"/>
  <c r="Q14" i="27"/>
  <c r="D14" i="27"/>
  <c r="E14" i="27" s="1"/>
  <c r="R13" i="27"/>
  <c r="AL8" i="6" s="1"/>
  <c r="Q13" i="27"/>
  <c r="D13" i="27"/>
  <c r="E13" i="27" s="1"/>
  <c r="E62" i="26"/>
  <c r="E61" i="26"/>
  <c r="D60" i="26"/>
  <c r="E60" i="26" s="1"/>
  <c r="F60" i="26" s="1"/>
  <c r="D59" i="26"/>
  <c r="E59" i="26" s="1"/>
  <c r="F59" i="26" s="1"/>
  <c r="D58" i="26"/>
  <c r="E58" i="26" s="1"/>
  <c r="F58" i="26" s="1"/>
  <c r="D57" i="26"/>
  <c r="E57" i="26" s="1"/>
  <c r="F57" i="26" s="1"/>
  <c r="D56" i="26"/>
  <c r="E56" i="26" s="1"/>
  <c r="F56" i="26" s="1"/>
  <c r="D55" i="26"/>
  <c r="E55" i="26" s="1"/>
  <c r="F55" i="26" s="1"/>
  <c r="E54" i="26"/>
  <c r="F54" i="26" s="1"/>
  <c r="D54" i="26"/>
  <c r="D53" i="26"/>
  <c r="E53" i="26" s="1"/>
  <c r="F53" i="26" s="1"/>
  <c r="D52" i="26"/>
  <c r="E52" i="26" s="1"/>
  <c r="F52" i="26" s="1"/>
  <c r="D51" i="26"/>
  <c r="E51" i="26" s="1"/>
  <c r="F51" i="26" s="1"/>
  <c r="D50" i="26"/>
  <c r="E50" i="26" s="1"/>
  <c r="F50" i="26" s="1"/>
  <c r="D49" i="26"/>
  <c r="E49" i="26" s="1"/>
  <c r="D48" i="26"/>
  <c r="E48" i="26" s="1"/>
  <c r="F48" i="26" s="1"/>
  <c r="E47" i="26"/>
  <c r="F47" i="26" s="1"/>
  <c r="D47" i="26"/>
  <c r="E46" i="26"/>
  <c r="F46" i="26" s="1"/>
  <c r="D46" i="26"/>
  <c r="D45" i="26"/>
  <c r="E45" i="26" s="1"/>
  <c r="F45" i="26" s="1"/>
  <c r="D44" i="26"/>
  <c r="E44" i="26" s="1"/>
  <c r="F44" i="26" s="1"/>
  <c r="D43" i="26"/>
  <c r="E43" i="26" s="1"/>
  <c r="F43" i="26" s="1"/>
  <c r="D42" i="26"/>
  <c r="E42" i="26" s="1"/>
  <c r="F42" i="26" s="1"/>
  <c r="D41" i="26"/>
  <c r="E41" i="26" s="1"/>
  <c r="F41" i="26" s="1"/>
  <c r="D40" i="26"/>
  <c r="E40" i="26" s="1"/>
  <c r="F40" i="26" s="1"/>
  <c r="E39" i="26"/>
  <c r="F39" i="26" s="1"/>
  <c r="D39" i="26"/>
  <c r="D38" i="26"/>
  <c r="E38" i="26" s="1"/>
  <c r="F38" i="26" s="1"/>
  <c r="D37" i="26"/>
  <c r="E37" i="26" s="1"/>
  <c r="D36" i="26"/>
  <c r="E36" i="26" s="1"/>
  <c r="F36" i="26" s="1"/>
  <c r="D35" i="26"/>
  <c r="E35" i="26" s="1"/>
  <c r="F35" i="26" s="1"/>
  <c r="D34" i="26"/>
  <c r="E34" i="26" s="1"/>
  <c r="F34" i="26" s="1"/>
  <c r="D33" i="26"/>
  <c r="E33" i="26" s="1"/>
  <c r="F33" i="26" s="1"/>
  <c r="D32" i="26"/>
  <c r="E32" i="26" s="1"/>
  <c r="F32" i="26" s="1"/>
  <c r="D31" i="26"/>
  <c r="E31" i="26" s="1"/>
  <c r="F31" i="26" s="1"/>
  <c r="D30" i="26"/>
  <c r="E30" i="26" s="1"/>
  <c r="F30" i="26" s="1"/>
  <c r="D29" i="26"/>
  <c r="E29" i="26" s="1"/>
  <c r="F29" i="26" s="1"/>
  <c r="D28" i="26"/>
  <c r="E28" i="26" s="1"/>
  <c r="F28" i="26" s="1"/>
  <c r="D27" i="26"/>
  <c r="E27" i="26" s="1"/>
  <c r="F27" i="26" s="1"/>
  <c r="D26" i="26"/>
  <c r="E26" i="26" s="1"/>
  <c r="F26" i="26" s="1"/>
  <c r="D25" i="26"/>
  <c r="E25" i="26" s="1"/>
  <c r="D24" i="26"/>
  <c r="E24" i="26" s="1"/>
  <c r="F24" i="26" s="1"/>
  <c r="D23" i="26"/>
  <c r="E23" i="26" s="1"/>
  <c r="F23" i="26" s="1"/>
  <c r="E22" i="26"/>
  <c r="F22" i="26" s="1"/>
  <c r="D22" i="26"/>
  <c r="D21" i="26"/>
  <c r="E21" i="26" s="1"/>
  <c r="F21" i="26" s="1"/>
  <c r="D20" i="26"/>
  <c r="E20" i="26" s="1"/>
  <c r="F20" i="26" s="1"/>
  <c r="D19" i="26"/>
  <c r="E19" i="26" s="1"/>
  <c r="F19" i="26" s="1"/>
  <c r="D18" i="26"/>
  <c r="E18" i="26" s="1"/>
  <c r="F18" i="26" s="1"/>
  <c r="D17" i="26"/>
  <c r="E17" i="26" s="1"/>
  <c r="F17" i="26" s="1"/>
  <c r="Q16" i="26"/>
  <c r="R16" i="26" s="1"/>
  <c r="S16" i="26" s="1"/>
  <c r="T16" i="26" s="1"/>
  <c r="D16" i="26"/>
  <c r="E16" i="26" s="1"/>
  <c r="F16" i="26" s="1"/>
  <c r="Q15" i="26"/>
  <c r="R15" i="26" s="1"/>
  <c r="D15" i="26"/>
  <c r="E15" i="26" s="1"/>
  <c r="F15" i="26" s="1"/>
  <c r="Q14" i="26"/>
  <c r="R14" i="26" s="1"/>
  <c r="S14" i="26" s="1"/>
  <c r="D14" i="26"/>
  <c r="E14" i="26" s="1"/>
  <c r="F14" i="26" s="1"/>
  <c r="Q13" i="26"/>
  <c r="R13" i="26" s="1"/>
  <c r="AL7" i="6" s="1"/>
  <c r="D13" i="26"/>
  <c r="E13" i="26" s="1"/>
  <c r="D60" i="25"/>
  <c r="E60" i="25" s="1"/>
  <c r="D59" i="25"/>
  <c r="E59" i="25" s="1"/>
  <c r="D58" i="25"/>
  <c r="E58" i="25" s="1"/>
  <c r="D57" i="25"/>
  <c r="E57" i="25" s="1"/>
  <c r="D56" i="25"/>
  <c r="E56" i="25" s="1"/>
  <c r="D55" i="25"/>
  <c r="E55" i="25" s="1"/>
  <c r="E54" i="25"/>
  <c r="D54" i="25"/>
  <c r="D53" i="25"/>
  <c r="E53" i="25" s="1"/>
  <c r="D52" i="25"/>
  <c r="E52" i="25" s="1"/>
  <c r="D51" i="25"/>
  <c r="E51" i="25" s="1"/>
  <c r="E50" i="25"/>
  <c r="D50" i="25"/>
  <c r="D49" i="25"/>
  <c r="E49" i="25" s="1"/>
  <c r="E48" i="25"/>
  <c r="D48" i="25"/>
  <c r="D47" i="25"/>
  <c r="E47" i="25" s="1"/>
  <c r="D46" i="25"/>
  <c r="E46" i="25" s="1"/>
  <c r="D45" i="25"/>
  <c r="E45" i="25" s="1"/>
  <c r="D44" i="25"/>
  <c r="E44" i="25" s="1"/>
  <c r="D43" i="25"/>
  <c r="E43" i="25" s="1"/>
  <c r="D42" i="25"/>
  <c r="E42" i="25" s="1"/>
  <c r="D41" i="25"/>
  <c r="E41" i="25" s="1"/>
  <c r="D40" i="25"/>
  <c r="E40" i="25" s="1"/>
  <c r="D39" i="25"/>
  <c r="E39" i="25" s="1"/>
  <c r="E38" i="25"/>
  <c r="D38" i="25"/>
  <c r="D37" i="25"/>
  <c r="E37" i="25" s="1"/>
  <c r="D36" i="25"/>
  <c r="E36" i="25" s="1"/>
  <c r="D35" i="25"/>
  <c r="E35" i="25" s="1"/>
  <c r="D34" i="25"/>
  <c r="E34" i="25" s="1"/>
  <c r="D33" i="25"/>
  <c r="E33" i="25" s="1"/>
  <c r="D32" i="25"/>
  <c r="E32" i="25" s="1"/>
  <c r="D31" i="25"/>
  <c r="E31" i="25" s="1"/>
  <c r="E30" i="25"/>
  <c r="D30" i="25"/>
  <c r="D29" i="25"/>
  <c r="E29" i="25" s="1"/>
  <c r="E28" i="25"/>
  <c r="D28" i="25"/>
  <c r="D27" i="25"/>
  <c r="E27" i="25" s="1"/>
  <c r="D26" i="25"/>
  <c r="E26" i="25" s="1"/>
  <c r="D25" i="25"/>
  <c r="E25" i="25" s="1"/>
  <c r="E24" i="25"/>
  <c r="D24" i="25"/>
  <c r="D23" i="25"/>
  <c r="E23" i="25" s="1"/>
  <c r="D22" i="25"/>
  <c r="E22" i="25" s="1"/>
  <c r="D21" i="25"/>
  <c r="E21" i="25" s="1"/>
  <c r="D20" i="25"/>
  <c r="E20" i="25" s="1"/>
  <c r="E19" i="25"/>
  <c r="D19" i="25"/>
  <c r="D18" i="25"/>
  <c r="E18" i="25" s="1"/>
  <c r="E17" i="25"/>
  <c r="D17" i="25"/>
  <c r="R16" i="25"/>
  <c r="AO6" i="6" s="1"/>
  <c r="Q16" i="25"/>
  <c r="D16" i="25"/>
  <c r="E16" i="25" s="1"/>
  <c r="Q15" i="25"/>
  <c r="R15" i="25" s="1"/>
  <c r="AN6" i="6" s="1"/>
  <c r="D15" i="25"/>
  <c r="E15" i="25" s="1"/>
  <c r="Q14" i="25"/>
  <c r="R14" i="25" s="1"/>
  <c r="AM6" i="6" s="1"/>
  <c r="E14" i="25"/>
  <c r="D14" i="25"/>
  <c r="Q13" i="25"/>
  <c r="R13" i="25" s="1"/>
  <c r="D13" i="25"/>
  <c r="E13" i="25" s="1"/>
  <c r="AL6" i="6" l="1"/>
  <c r="R17" i="25"/>
  <c r="AP6" i="6" s="1"/>
  <c r="R17" i="27"/>
  <c r="AP8" i="6" s="1"/>
  <c r="AN8" i="6"/>
  <c r="S15" i="26"/>
  <c r="AN7" i="6"/>
  <c r="R17" i="31"/>
  <c r="AP12" i="6" s="1"/>
  <c r="AT11" i="6" s="1"/>
  <c r="AL12" i="6"/>
  <c r="H13" i="25"/>
  <c r="H14" i="33"/>
  <c r="AM10" i="6"/>
  <c r="H16" i="25"/>
  <c r="R17" i="28"/>
  <c r="AP9" i="6" s="1"/>
  <c r="AT10" i="6" s="1"/>
  <c r="AM7" i="6"/>
  <c r="H15" i="33"/>
  <c r="R17" i="33"/>
  <c r="AP15" i="6" s="1"/>
  <c r="AT18" i="6" s="1"/>
  <c r="AO7" i="6"/>
  <c r="C70" i="8" s="1"/>
  <c r="F12" i="34"/>
  <c r="O12" i="34" s="1"/>
  <c r="J16" i="34"/>
  <c r="K16" i="34" s="1"/>
  <c r="F63" i="34"/>
  <c r="I63" i="34" s="1"/>
  <c r="J65" i="34"/>
  <c r="K65" i="34" s="1"/>
  <c r="F18" i="34"/>
  <c r="N18" i="34" s="1"/>
  <c r="F10" i="34"/>
  <c r="N10" i="34" s="1"/>
  <c r="F39" i="34"/>
  <c r="M39" i="34" s="1"/>
  <c r="J39" i="34"/>
  <c r="K39" i="34" s="1"/>
  <c r="J63" i="34"/>
  <c r="K63" i="34" s="1"/>
  <c r="F14" i="34"/>
  <c r="I14" i="34" s="1"/>
  <c r="F27" i="34"/>
  <c r="L27" i="34" s="1"/>
  <c r="F35" i="34"/>
  <c r="L35" i="34" s="1"/>
  <c r="J62" i="34"/>
  <c r="K62" i="34" s="1"/>
  <c r="J32" i="34"/>
  <c r="K32" i="34" s="1"/>
  <c r="J40" i="34"/>
  <c r="K40" i="34" s="1"/>
  <c r="J48" i="34"/>
  <c r="K48" i="34" s="1"/>
  <c r="F28" i="34"/>
  <c r="I28" i="34" s="1"/>
  <c r="F44" i="34"/>
  <c r="I44" i="34" s="1"/>
  <c r="F60" i="34"/>
  <c r="O60" i="34" s="1"/>
  <c r="F26" i="34"/>
  <c r="M26" i="34" s="1"/>
  <c r="F34" i="34"/>
  <c r="L34" i="34" s="1"/>
  <c r="F42" i="34"/>
  <c r="M42" i="34" s="1"/>
  <c r="F58" i="34"/>
  <c r="M58" i="34" s="1"/>
  <c r="F8" i="34"/>
  <c r="M8" i="34" s="1"/>
  <c r="F16" i="34"/>
  <c r="M16" i="34" s="1"/>
  <c r="F21" i="34"/>
  <c r="M21" i="34" s="1"/>
  <c r="F37" i="34"/>
  <c r="M37" i="34" s="1"/>
  <c r="F53" i="34"/>
  <c r="L53" i="34" s="1"/>
  <c r="F48" i="34"/>
  <c r="M48" i="34" s="1"/>
  <c r="F9" i="34"/>
  <c r="I9" i="34" s="1"/>
  <c r="F22" i="34"/>
  <c r="L22" i="34" s="1"/>
  <c r="F30" i="34"/>
  <c r="M30" i="34" s="1"/>
  <c r="J29" i="34"/>
  <c r="K29" i="34" s="1"/>
  <c r="J47" i="34"/>
  <c r="K47" i="34" s="1"/>
  <c r="F50" i="34"/>
  <c r="O50" i="34" s="1"/>
  <c r="J52" i="34"/>
  <c r="K52" i="34" s="1"/>
  <c r="F55" i="34"/>
  <c r="N55" i="34" s="1"/>
  <c r="F20" i="34"/>
  <c r="I20" i="34" s="1"/>
  <c r="J22" i="34"/>
  <c r="K22" i="34" s="1"/>
  <c r="F33" i="34"/>
  <c r="I33" i="34" s="1"/>
  <c r="F38" i="34"/>
  <c r="O38" i="34" s="1"/>
  <c r="J50" i="34"/>
  <c r="K50" i="34" s="1"/>
  <c r="J55" i="34"/>
  <c r="K55" i="34" s="1"/>
  <c r="F66" i="34"/>
  <c r="O66" i="34" s="1"/>
  <c r="F23" i="34"/>
  <c r="O23" i="34" s="1"/>
  <c r="J30" i="34"/>
  <c r="K30" i="34" s="1"/>
  <c r="F46" i="34"/>
  <c r="I46" i="34" s="1"/>
  <c r="F51" i="34"/>
  <c r="L51" i="34" s="1"/>
  <c r="F56" i="34"/>
  <c r="M56" i="34" s="1"/>
  <c r="J59" i="34"/>
  <c r="K59" i="34" s="1"/>
  <c r="F5" i="34"/>
  <c r="M5" i="34" s="1"/>
  <c r="F36" i="34"/>
  <c r="I36" i="34" s="1"/>
  <c r="J38" i="34"/>
  <c r="K38" i="34" s="1"/>
  <c r="F59" i="34"/>
  <c r="L59" i="34" s="1"/>
  <c r="J66" i="34"/>
  <c r="K66" i="34" s="1"/>
  <c r="J5" i="34"/>
  <c r="K5" i="34" s="1"/>
  <c r="F19" i="34"/>
  <c r="L19" i="34" s="1"/>
  <c r="J23" i="34"/>
  <c r="K23" i="34" s="1"/>
  <c r="F29" i="34"/>
  <c r="I29" i="34" s="1"/>
  <c r="F47" i="34"/>
  <c r="I47" i="34" s="1"/>
  <c r="F52" i="34"/>
  <c r="I52" i="34" s="1"/>
  <c r="F62" i="34"/>
  <c r="I62" i="34" s="1"/>
  <c r="J14" i="34"/>
  <c r="K14" i="34" s="1"/>
  <c r="F17" i="34"/>
  <c r="I17" i="34" s="1"/>
  <c r="J21" i="34"/>
  <c r="K21" i="34" s="1"/>
  <c r="F24" i="34"/>
  <c r="M24" i="34" s="1"/>
  <c r="F31" i="34"/>
  <c r="O31" i="34" s="1"/>
  <c r="F64" i="34"/>
  <c r="M64" i="34" s="1"/>
  <c r="J7" i="34"/>
  <c r="K7" i="34" s="1"/>
  <c r="F15" i="34"/>
  <c r="O15" i="34" s="1"/>
  <c r="J19" i="34"/>
  <c r="K19" i="34" s="1"/>
  <c r="J26" i="34"/>
  <c r="K26" i="34" s="1"/>
  <c r="J28" i="34"/>
  <c r="K28" i="34" s="1"/>
  <c r="J35" i="34"/>
  <c r="K35" i="34" s="1"/>
  <c r="J37" i="34"/>
  <c r="K37" i="34" s="1"/>
  <c r="F40" i="34"/>
  <c r="M40" i="34" s="1"/>
  <c r="J46" i="34"/>
  <c r="K46" i="34" s="1"/>
  <c r="F49" i="34"/>
  <c r="I49" i="34" s="1"/>
  <c r="J10" i="34"/>
  <c r="K10" i="34" s="1"/>
  <c r="J12" i="34"/>
  <c r="K12" i="34" s="1"/>
  <c r="J24" i="34"/>
  <c r="K24" i="34" s="1"/>
  <c r="J42" i="34"/>
  <c r="K42" i="34" s="1"/>
  <c r="J44" i="34"/>
  <c r="K44" i="34" s="1"/>
  <c r="J64" i="34"/>
  <c r="K64" i="34" s="1"/>
  <c r="F6" i="34"/>
  <c r="O6" i="34" s="1"/>
  <c r="F11" i="34"/>
  <c r="L11" i="34" s="1"/>
  <c r="F13" i="34"/>
  <c r="M13" i="34" s="1"/>
  <c r="F25" i="34"/>
  <c r="I25" i="34" s="1"/>
  <c r="J31" i="34"/>
  <c r="K31" i="34" s="1"/>
  <c r="F43" i="34"/>
  <c r="L43" i="34" s="1"/>
  <c r="F45" i="34"/>
  <c r="O45" i="34" s="1"/>
  <c r="J51" i="34"/>
  <c r="K51" i="34" s="1"/>
  <c r="J53" i="34"/>
  <c r="K53" i="34" s="1"/>
  <c r="F65" i="34"/>
  <c r="N65" i="34" s="1"/>
  <c r="J8" i="34"/>
  <c r="K8" i="34" s="1"/>
  <c r="J15" i="34"/>
  <c r="K15" i="34" s="1"/>
  <c r="F32" i="34"/>
  <c r="M32" i="34" s="1"/>
  <c r="F41" i="34"/>
  <c r="I41" i="34" s="1"/>
  <c r="F54" i="34"/>
  <c r="I54" i="34" s="1"/>
  <c r="J60" i="34"/>
  <c r="K60" i="34" s="1"/>
  <c r="F4" i="34"/>
  <c r="I4" i="34" s="1"/>
  <c r="J6" i="34"/>
  <c r="K6" i="34" s="1"/>
  <c r="J13" i="34"/>
  <c r="K13" i="34" s="1"/>
  <c r="J18" i="34"/>
  <c r="K18" i="34" s="1"/>
  <c r="J20" i="34"/>
  <c r="K20" i="34" s="1"/>
  <c r="J27" i="34"/>
  <c r="K27" i="34" s="1"/>
  <c r="J34" i="34"/>
  <c r="K34" i="34" s="1"/>
  <c r="J36" i="34"/>
  <c r="K36" i="34" s="1"/>
  <c r="J56" i="34"/>
  <c r="K56" i="34" s="1"/>
  <c r="F61" i="34"/>
  <c r="M61" i="34" s="1"/>
  <c r="F7" i="34"/>
  <c r="N7" i="34" s="1"/>
  <c r="J11" i="34"/>
  <c r="K11" i="34" s="1"/>
  <c r="J43" i="34"/>
  <c r="K43" i="34" s="1"/>
  <c r="J45" i="34"/>
  <c r="K45" i="34" s="1"/>
  <c r="J54" i="34"/>
  <c r="K54" i="34" s="1"/>
  <c r="F57" i="34"/>
  <c r="O57" i="34" s="1"/>
  <c r="D79" i="34"/>
  <c r="D80" i="34" s="1"/>
  <c r="AT22" i="6" s="1"/>
  <c r="J9" i="34"/>
  <c r="K9" i="34" s="1"/>
  <c r="J17" i="34"/>
  <c r="K17" i="34" s="1"/>
  <c r="J25" i="34"/>
  <c r="K25" i="34" s="1"/>
  <c r="J33" i="34"/>
  <c r="K33" i="34" s="1"/>
  <c r="J41" i="34"/>
  <c r="K41" i="34" s="1"/>
  <c r="J49" i="34"/>
  <c r="K49" i="34" s="1"/>
  <c r="J57" i="34"/>
  <c r="K57" i="34" s="1"/>
  <c r="J58" i="34"/>
  <c r="K58" i="34" s="1"/>
  <c r="J61" i="34"/>
  <c r="K61" i="34" s="1"/>
  <c r="E61" i="33"/>
  <c r="H13" i="33"/>
  <c r="H16" i="33"/>
  <c r="H13" i="32"/>
  <c r="R16" i="32"/>
  <c r="AP13" i="6" s="1"/>
  <c r="AT12" i="6" s="1"/>
  <c r="H12" i="32"/>
  <c r="H14" i="32"/>
  <c r="H15" i="32"/>
  <c r="H15" i="31"/>
  <c r="H16" i="31"/>
  <c r="H13" i="31"/>
  <c r="H17" i="31" s="1"/>
  <c r="H14" i="31"/>
  <c r="H14" i="30"/>
  <c r="H16" i="30"/>
  <c r="R17" i="30"/>
  <c r="AP11" i="6" s="1"/>
  <c r="H13" i="30"/>
  <c r="H15" i="30"/>
  <c r="T15" i="29"/>
  <c r="S15" i="29"/>
  <c r="F37" i="29"/>
  <c r="G37" i="29" s="1"/>
  <c r="J15" i="29"/>
  <c r="S13" i="29"/>
  <c r="R17" i="29"/>
  <c r="AP10" i="6" s="1"/>
  <c r="T13" i="29"/>
  <c r="T16" i="29"/>
  <c r="S16" i="29"/>
  <c r="F13" i="29"/>
  <c r="J13" i="29"/>
  <c r="F25" i="29"/>
  <c r="G25" i="29" s="1"/>
  <c r="J14" i="29"/>
  <c r="J16" i="29"/>
  <c r="F49" i="29"/>
  <c r="G49" i="29" s="1"/>
  <c r="S14" i="29"/>
  <c r="H13" i="28"/>
  <c r="H16" i="28"/>
  <c r="H15" i="28"/>
  <c r="H14" i="28"/>
  <c r="H16" i="27"/>
  <c r="H15" i="27"/>
  <c r="H13" i="27"/>
  <c r="H14" i="27"/>
  <c r="S13" i="26"/>
  <c r="R17" i="26"/>
  <c r="F25" i="26"/>
  <c r="H14" i="26"/>
  <c r="F37" i="26"/>
  <c r="H15" i="26"/>
  <c r="F49" i="26"/>
  <c r="H16" i="26"/>
  <c r="H13" i="26"/>
  <c r="F13" i="26"/>
  <c r="H15" i="25"/>
  <c r="H17" i="25" s="1"/>
  <c r="H14" i="25"/>
  <c r="AV18" i="6" l="1"/>
  <c r="AU18" i="6"/>
  <c r="AU12" i="6"/>
  <c r="AV12" i="6"/>
  <c r="S17" i="26"/>
  <c r="AP7" i="6"/>
  <c r="H17" i="27"/>
  <c r="AU11" i="6"/>
  <c r="AV11" i="6"/>
  <c r="C76" i="8"/>
  <c r="C73" i="8"/>
  <c r="AT8" i="6"/>
  <c r="AU10" i="6"/>
  <c r="AV10" i="6"/>
  <c r="J17" i="29"/>
  <c r="H17" i="26"/>
  <c r="H17" i="28"/>
  <c r="H17" i="33"/>
  <c r="F61" i="26"/>
  <c r="F62" i="26" s="1"/>
  <c r="AV22" i="6"/>
  <c r="AU22" i="6"/>
  <c r="O18" i="34"/>
  <c r="M18" i="34"/>
  <c r="N9" i="34"/>
  <c r="N14" i="34"/>
  <c r="M14" i="34"/>
  <c r="M53" i="34"/>
  <c r="L63" i="34"/>
  <c r="M27" i="34"/>
  <c r="N27" i="34"/>
  <c r="I18" i="34"/>
  <c r="M12" i="34"/>
  <c r="L64" i="34"/>
  <c r="L44" i="34"/>
  <c r="L33" i="34"/>
  <c r="I6" i="34"/>
  <c r="O64" i="34"/>
  <c r="I12" i="34"/>
  <c r="N64" i="34"/>
  <c r="L15" i="34"/>
  <c r="L49" i="34"/>
  <c r="M62" i="34"/>
  <c r="N33" i="34"/>
  <c r="N12" i="34"/>
  <c r="O27" i="34"/>
  <c r="N16" i="34"/>
  <c r="M60" i="34"/>
  <c r="M63" i="34"/>
  <c r="I51" i="34"/>
  <c r="L17" i="34"/>
  <c r="L14" i="34"/>
  <c r="O63" i="34"/>
  <c r="O43" i="34"/>
  <c r="I21" i="34"/>
  <c r="N60" i="34"/>
  <c r="N43" i="34"/>
  <c r="I27" i="34"/>
  <c r="M4" i="34"/>
  <c r="L12" i="34"/>
  <c r="N63" i="34"/>
  <c r="L60" i="34"/>
  <c r="I39" i="34"/>
  <c r="O37" i="34"/>
  <c r="M33" i="34"/>
  <c r="O20" i="34"/>
  <c r="L39" i="34"/>
  <c r="M38" i="34"/>
  <c r="N59" i="34"/>
  <c r="M6" i="34"/>
  <c r="L10" i="34"/>
  <c r="M49" i="34"/>
  <c r="N30" i="34"/>
  <c r="O7" i="34"/>
  <c r="I7" i="34"/>
  <c r="M46" i="34"/>
  <c r="N8" i="34"/>
  <c r="O32" i="34"/>
  <c r="O49" i="34"/>
  <c r="L46" i="34"/>
  <c r="I32" i="34"/>
  <c r="L6" i="34"/>
  <c r="I37" i="34"/>
  <c r="N46" i="34"/>
  <c r="O59" i="34"/>
  <c r="I43" i="34"/>
  <c r="O62" i="34"/>
  <c r="O46" i="34"/>
  <c r="M20" i="34"/>
  <c r="N39" i="34"/>
  <c r="O30" i="34"/>
  <c r="M41" i="34"/>
  <c r="M25" i="34"/>
  <c r="I15" i="34"/>
  <c r="N20" i="34"/>
  <c r="I30" i="34"/>
  <c r="N49" i="34"/>
  <c r="I8" i="34"/>
  <c r="M45" i="34"/>
  <c r="M17" i="34"/>
  <c r="L28" i="34"/>
  <c r="O16" i="34"/>
  <c r="M51" i="34"/>
  <c r="O33" i="34"/>
  <c r="N17" i="34"/>
  <c r="N62" i="34"/>
  <c r="N54" i="34"/>
  <c r="M28" i="34"/>
  <c r="I16" i="34"/>
  <c r="O39" i="34"/>
  <c r="L18" i="34"/>
  <c r="O17" i="34"/>
  <c r="O40" i="34"/>
  <c r="L42" i="34"/>
  <c r="L54" i="34"/>
  <c r="N51" i="34"/>
  <c r="O54" i="34"/>
  <c r="N28" i="34"/>
  <c r="L16" i="34"/>
  <c r="O51" i="34"/>
  <c r="L9" i="34"/>
  <c r="I59" i="34"/>
  <c r="O52" i="34"/>
  <c r="O28" i="34"/>
  <c r="O8" i="34"/>
  <c r="L23" i="34"/>
  <c r="N41" i="34"/>
  <c r="M9" i="34"/>
  <c r="N52" i="34"/>
  <c r="M44" i="34"/>
  <c r="O14" i="34"/>
  <c r="M50" i="34"/>
  <c r="N44" i="34"/>
  <c r="N19" i="34"/>
  <c r="O44" i="34"/>
  <c r="N21" i="34"/>
  <c r="N42" i="34"/>
  <c r="O21" i="34"/>
  <c r="L40" i="34"/>
  <c r="L21" i="34"/>
  <c r="I10" i="34"/>
  <c r="L45" i="34"/>
  <c r="O35" i="34"/>
  <c r="N26" i="34"/>
  <c r="M59" i="34"/>
  <c r="L41" i="34"/>
  <c r="I35" i="34"/>
  <c r="L62" i="34"/>
  <c r="I45" i="34"/>
  <c r="M52" i="34"/>
  <c r="N38" i="34"/>
  <c r="L8" i="34"/>
  <c r="I58" i="34"/>
  <c r="O10" i="34"/>
  <c r="L50" i="34"/>
  <c r="L30" i="34"/>
  <c r="N22" i="34"/>
  <c r="O42" i="34"/>
  <c r="M10" i="34"/>
  <c r="N15" i="34"/>
  <c r="I40" i="34"/>
  <c r="O41" i="34"/>
  <c r="O19" i="34"/>
  <c r="O56" i="34"/>
  <c r="M43" i="34"/>
  <c r="I19" i="34"/>
  <c r="O9" i="34"/>
  <c r="L56" i="34"/>
  <c r="N40" i="34"/>
  <c r="L20" i="34"/>
  <c r="I42" i="34"/>
  <c r="M35" i="34"/>
  <c r="N35" i="34"/>
  <c r="I56" i="34"/>
  <c r="L7" i="34"/>
  <c r="O48" i="34"/>
  <c r="N53" i="34"/>
  <c r="N25" i="34"/>
  <c r="I31" i="34"/>
  <c r="I48" i="34"/>
  <c r="I26" i="34"/>
  <c r="O26" i="34"/>
  <c r="O34" i="34"/>
  <c r="O53" i="34"/>
  <c r="L26" i="34"/>
  <c r="M34" i="34"/>
  <c r="I53" i="34"/>
  <c r="L25" i="34"/>
  <c r="L4" i="34"/>
  <c r="M54" i="34"/>
  <c r="N48" i="34"/>
  <c r="L38" i="34"/>
  <c r="M66" i="34"/>
  <c r="N37" i="34"/>
  <c r="M15" i="34"/>
  <c r="N34" i="34"/>
  <c r="N4" i="34"/>
  <c r="I38" i="34"/>
  <c r="I60" i="34"/>
  <c r="O25" i="34"/>
  <c r="I55" i="34"/>
  <c r="O4" i="34"/>
  <c r="L48" i="34"/>
  <c r="L37" i="34"/>
  <c r="I61" i="34"/>
  <c r="M47" i="34"/>
  <c r="L55" i="34"/>
  <c r="L31" i="34"/>
  <c r="M19" i="34"/>
  <c r="I11" i="34"/>
  <c r="N56" i="34"/>
  <c r="L52" i="34"/>
  <c r="L61" i="34"/>
  <c r="L65" i="34"/>
  <c r="I50" i="34"/>
  <c r="O55" i="34"/>
  <c r="M31" i="34"/>
  <c r="I34" i="34"/>
  <c r="M57" i="34"/>
  <c r="N57" i="34"/>
  <c r="I57" i="34"/>
  <c r="O36" i="34"/>
  <c r="M22" i="34"/>
  <c r="N58" i="34"/>
  <c r="L47" i="34"/>
  <c r="N50" i="34"/>
  <c r="I5" i="34"/>
  <c r="O22" i="34"/>
  <c r="M23" i="34"/>
  <c r="N47" i="34"/>
  <c r="I23" i="34"/>
  <c r="N24" i="34"/>
  <c r="M7" i="34"/>
  <c r="N23" i="34"/>
  <c r="N45" i="34"/>
  <c r="N13" i="34"/>
  <c r="O47" i="34"/>
  <c r="L57" i="34"/>
  <c r="O24" i="34"/>
  <c r="I22" i="34"/>
  <c r="O13" i="34"/>
  <c r="L36" i="34"/>
  <c r="I24" i="34"/>
  <c r="O58" i="34"/>
  <c r="I13" i="34"/>
  <c r="M36" i="34"/>
  <c r="L24" i="34"/>
  <c r="L58" i="34"/>
  <c r="L13" i="34"/>
  <c r="N36" i="34"/>
  <c r="L29" i="34"/>
  <c r="N5" i="34"/>
  <c r="O11" i="34"/>
  <c r="N32" i="34"/>
  <c r="L66" i="34"/>
  <c r="M29" i="34"/>
  <c r="O5" i="34"/>
  <c r="O65" i="34"/>
  <c r="L5" i="34"/>
  <c r="N66" i="34"/>
  <c r="L32" i="34"/>
  <c r="N6" i="34"/>
  <c r="M55" i="34"/>
  <c r="N31" i="34"/>
  <c r="N61" i="34"/>
  <c r="N29" i="34"/>
  <c r="K77" i="34"/>
  <c r="O29" i="34"/>
  <c r="I66" i="34"/>
  <c r="M11" i="34"/>
  <c r="I65" i="34"/>
  <c r="N11" i="34"/>
  <c r="M65" i="34"/>
  <c r="O61" i="34"/>
  <c r="I64" i="34"/>
  <c r="K76" i="34"/>
  <c r="K67" i="34"/>
  <c r="K75" i="34"/>
  <c r="K78" i="34"/>
  <c r="J67" i="34"/>
  <c r="H16" i="32"/>
  <c r="H17" i="30"/>
  <c r="G13" i="29"/>
  <c r="F61" i="29"/>
  <c r="T17" i="29"/>
  <c r="S17" i="29"/>
  <c r="AT9" i="6" l="1"/>
  <c r="C67" i="8"/>
  <c r="AU8" i="6"/>
  <c r="AT13" i="6"/>
  <c r="C79" i="8" s="1"/>
  <c r="AV8" i="6"/>
  <c r="L75" i="34"/>
  <c r="N77" i="34"/>
  <c r="M77" i="34"/>
  <c r="I77" i="34"/>
  <c r="O78" i="34"/>
  <c r="O77" i="34"/>
  <c r="N75" i="34"/>
  <c r="L77" i="34"/>
  <c r="O76" i="34"/>
  <c r="I76" i="34"/>
  <c r="M75" i="34"/>
  <c r="I78" i="34"/>
  <c r="I75" i="34"/>
  <c r="M78" i="34"/>
  <c r="N78" i="34"/>
  <c r="L76" i="34"/>
  <c r="N67" i="34"/>
  <c r="L78" i="34"/>
  <c r="O67" i="34"/>
  <c r="I67" i="34"/>
  <c r="M67" i="34"/>
  <c r="L67" i="34"/>
  <c r="O75" i="34"/>
  <c r="M76" i="34"/>
  <c r="N76" i="34"/>
  <c r="K80" i="34"/>
  <c r="AT21" i="6" s="1"/>
  <c r="G61" i="29"/>
  <c r="F62" i="29"/>
  <c r="G62" i="29" s="1"/>
  <c r="AV9" i="6" l="1"/>
  <c r="AV13" i="6" s="1"/>
  <c r="AU9" i="6"/>
  <c r="AU13" i="6" s="1"/>
  <c r="AV21" i="6"/>
  <c r="AU21" i="6"/>
  <c r="N80" i="34"/>
  <c r="AT19" i="6" s="1"/>
  <c r="AT23" i="6" s="1"/>
  <c r="I80" i="34"/>
  <c r="AT14" i="6" s="1"/>
  <c r="M80" i="34"/>
  <c r="AU19" i="6" s="1"/>
  <c r="O80" i="34"/>
  <c r="AT20" i="6" s="1"/>
  <c r="L80" i="34"/>
  <c r="AV19" i="6" s="1"/>
  <c r="AV23" i="6" l="1"/>
  <c r="AU23" i="6"/>
  <c r="AV20" i="6"/>
  <c r="AU20" i="6"/>
  <c r="AV14" i="6"/>
  <c r="AV15" i="6" s="1"/>
  <c r="AU14" i="6"/>
  <c r="AU15" i="6" s="1"/>
  <c r="AT15" i="6"/>
  <c r="BC38" i="1" l="1"/>
  <c r="BB38" i="1"/>
  <c r="AY38" i="1"/>
  <c r="AZ38" i="1"/>
  <c r="AX38" i="1"/>
  <c r="AC18" i="6"/>
  <c r="E6" i="12"/>
  <c r="E10" i="12"/>
  <c r="E18" i="12"/>
  <c r="E23" i="12"/>
  <c r="E25" i="12"/>
  <c r="E26" i="12"/>
  <c r="E33" i="12"/>
  <c r="E40" i="12"/>
  <c r="E41" i="12"/>
  <c r="E42" i="12"/>
  <c r="E48" i="12"/>
  <c r="E50" i="12"/>
  <c r="E58" i="12"/>
  <c r="E65" i="12"/>
  <c r="E66" i="12"/>
  <c r="E73" i="12"/>
  <c r="E77" i="24"/>
  <c r="E76" i="12" s="1"/>
  <c r="D77" i="24"/>
  <c r="D76" i="24"/>
  <c r="E76" i="24" s="1"/>
  <c r="E75" i="12" s="1"/>
  <c r="D75" i="24"/>
  <c r="E75" i="24" s="1"/>
  <c r="E74" i="12" s="1"/>
  <c r="D74" i="24"/>
  <c r="E74" i="24" s="1"/>
  <c r="D73" i="24"/>
  <c r="E73" i="24" s="1"/>
  <c r="E72" i="12" s="1"/>
  <c r="D72" i="24"/>
  <c r="E72" i="24" s="1"/>
  <c r="E71" i="12" s="1"/>
  <c r="D71" i="24"/>
  <c r="E71" i="24" s="1"/>
  <c r="E70" i="12" s="1"/>
  <c r="D70" i="24"/>
  <c r="E70" i="24" s="1"/>
  <c r="E69" i="12" s="1"/>
  <c r="E69" i="24"/>
  <c r="E68" i="12" s="1"/>
  <c r="D69" i="24"/>
  <c r="D68" i="24"/>
  <c r="E68" i="24" s="1"/>
  <c r="E67" i="12" s="1"/>
  <c r="D67" i="24"/>
  <c r="E67" i="24" s="1"/>
  <c r="E66" i="24"/>
  <c r="D66" i="24"/>
  <c r="D65" i="24"/>
  <c r="E65" i="24" s="1"/>
  <c r="E64" i="12" s="1"/>
  <c r="D64" i="24"/>
  <c r="E64" i="24" s="1"/>
  <c r="E63" i="12" s="1"/>
  <c r="D63" i="24"/>
  <c r="E63" i="24" s="1"/>
  <c r="E62" i="12" s="1"/>
  <c r="D62" i="24"/>
  <c r="E62" i="24" s="1"/>
  <c r="E61" i="12" s="1"/>
  <c r="D61" i="24"/>
  <c r="E61" i="24" s="1"/>
  <c r="E60" i="12" s="1"/>
  <c r="D60" i="24"/>
  <c r="E60" i="24" s="1"/>
  <c r="E59" i="12" s="1"/>
  <c r="D59" i="24"/>
  <c r="E59" i="24" s="1"/>
  <c r="D58" i="24"/>
  <c r="E58" i="24" s="1"/>
  <c r="E57" i="12" s="1"/>
  <c r="D57" i="24"/>
  <c r="E57" i="24" s="1"/>
  <c r="E56" i="12" s="1"/>
  <c r="D56" i="24"/>
  <c r="E56" i="24" s="1"/>
  <c r="E55" i="12" s="1"/>
  <c r="D55" i="24"/>
  <c r="E55" i="24" s="1"/>
  <c r="E54" i="12" s="1"/>
  <c r="D54" i="24"/>
  <c r="E54" i="24" s="1"/>
  <c r="E53" i="12" s="1"/>
  <c r="D53" i="24"/>
  <c r="E53" i="24" s="1"/>
  <c r="E52" i="12" s="1"/>
  <c r="E52" i="24"/>
  <c r="E51" i="12" s="1"/>
  <c r="D52" i="24"/>
  <c r="D51" i="24"/>
  <c r="E51" i="24" s="1"/>
  <c r="D50" i="24"/>
  <c r="E50" i="24" s="1"/>
  <c r="E49" i="12" s="1"/>
  <c r="D49" i="24"/>
  <c r="E49" i="24" s="1"/>
  <c r="D48" i="24"/>
  <c r="E48" i="24" s="1"/>
  <c r="E47" i="12" s="1"/>
  <c r="D47" i="24"/>
  <c r="E47" i="24" s="1"/>
  <c r="E46" i="12" s="1"/>
  <c r="D46" i="24"/>
  <c r="E46" i="24" s="1"/>
  <c r="E45" i="12" s="1"/>
  <c r="D45" i="24"/>
  <c r="E45" i="24" s="1"/>
  <c r="E44" i="12" s="1"/>
  <c r="E44" i="24"/>
  <c r="E43" i="12" s="1"/>
  <c r="D44" i="24"/>
  <c r="D43" i="24"/>
  <c r="E43" i="24" s="1"/>
  <c r="E42" i="24"/>
  <c r="D42" i="24"/>
  <c r="D41" i="24"/>
  <c r="E41" i="24" s="1"/>
  <c r="D40" i="24"/>
  <c r="E40" i="24" s="1"/>
  <c r="E39" i="12" s="1"/>
  <c r="E39" i="24"/>
  <c r="E38" i="12" s="1"/>
  <c r="D39" i="24"/>
  <c r="D38" i="24"/>
  <c r="E38" i="24" s="1"/>
  <c r="E37" i="12" s="1"/>
  <c r="D37" i="24"/>
  <c r="E37" i="24" s="1"/>
  <c r="E36" i="12" s="1"/>
  <c r="D36" i="24"/>
  <c r="E36" i="24" s="1"/>
  <c r="E35" i="12" s="1"/>
  <c r="D35" i="24"/>
  <c r="E35" i="24" s="1"/>
  <c r="E34" i="12" s="1"/>
  <c r="D34" i="24"/>
  <c r="E34" i="24" s="1"/>
  <c r="D33" i="24"/>
  <c r="E33" i="24" s="1"/>
  <c r="E32" i="12" s="1"/>
  <c r="D32" i="24"/>
  <c r="E32" i="24" s="1"/>
  <c r="E31" i="12" s="1"/>
  <c r="D31" i="24"/>
  <c r="E31" i="24" s="1"/>
  <c r="E30" i="12" s="1"/>
  <c r="D30" i="24"/>
  <c r="E30" i="24" s="1"/>
  <c r="E29" i="12" s="1"/>
  <c r="D29" i="24"/>
  <c r="E29" i="24" s="1"/>
  <c r="E28" i="12" s="1"/>
  <c r="D28" i="24"/>
  <c r="E28" i="24" s="1"/>
  <c r="E27" i="12" s="1"/>
  <c r="E27" i="24"/>
  <c r="D27" i="24"/>
  <c r="D26" i="24"/>
  <c r="E26" i="24" s="1"/>
  <c r="E25" i="24"/>
  <c r="E24" i="12" s="1"/>
  <c r="D25" i="24"/>
  <c r="D24" i="24"/>
  <c r="E24" i="24" s="1"/>
  <c r="D23" i="24"/>
  <c r="E23" i="24" s="1"/>
  <c r="E22" i="12" s="1"/>
  <c r="D22" i="24"/>
  <c r="E22" i="24" s="1"/>
  <c r="E21" i="12" s="1"/>
  <c r="D21" i="24"/>
  <c r="E21" i="24" s="1"/>
  <c r="E20" i="12" s="1"/>
  <c r="D20" i="24"/>
  <c r="E20" i="24" s="1"/>
  <c r="E19" i="12" s="1"/>
  <c r="D19" i="24"/>
  <c r="E19" i="24" s="1"/>
  <c r="D18" i="24"/>
  <c r="E18" i="24" s="1"/>
  <c r="E17" i="12" s="1"/>
  <c r="D17" i="24"/>
  <c r="E17" i="24" s="1"/>
  <c r="E16" i="12" s="1"/>
  <c r="E16" i="24"/>
  <c r="E15" i="12" s="1"/>
  <c r="D16" i="24"/>
  <c r="D15" i="24"/>
  <c r="E15" i="24" s="1"/>
  <c r="E14" i="12" s="1"/>
  <c r="D14" i="24"/>
  <c r="E14" i="24" s="1"/>
  <c r="E13" i="12" s="1"/>
  <c r="D13" i="24"/>
  <c r="E13" i="24" s="1"/>
  <c r="E12" i="12" s="1"/>
  <c r="D12" i="24"/>
  <c r="E12" i="24" s="1"/>
  <c r="E11" i="12" s="1"/>
  <c r="D11" i="24"/>
  <c r="E11" i="24" s="1"/>
  <c r="D10" i="24"/>
  <c r="E10" i="24" s="1"/>
  <c r="E9" i="12" s="1"/>
  <c r="D9" i="24"/>
  <c r="E9" i="24" s="1"/>
  <c r="E8" i="12" s="1"/>
  <c r="E8" i="24"/>
  <c r="E7" i="12" s="1"/>
  <c r="D8" i="24"/>
  <c r="D7" i="24"/>
  <c r="E7" i="24" s="1"/>
  <c r="D6" i="24"/>
  <c r="E6" i="24" s="1"/>
  <c r="E5" i="12" s="1"/>
  <c r="D8" i="12"/>
  <c r="D32" i="12"/>
  <c r="D33" i="12"/>
  <c r="D64" i="12"/>
  <c r="C25" i="12"/>
  <c r="C32" i="12"/>
  <c r="B16" i="12"/>
  <c r="B17" i="12"/>
  <c r="B56" i="12"/>
  <c r="K8" i="12"/>
  <c r="K9" i="12"/>
  <c r="K16" i="12"/>
  <c r="K25" i="12"/>
  <c r="K33" i="12"/>
  <c r="K40" i="12"/>
  <c r="K41" i="12"/>
  <c r="K48" i="12"/>
  <c r="K56" i="12"/>
  <c r="K64" i="12"/>
  <c r="K72" i="12"/>
  <c r="K73" i="12"/>
  <c r="D84" i="23"/>
  <c r="E84" i="23" s="1"/>
  <c r="K76" i="12" s="1"/>
  <c r="D83" i="23"/>
  <c r="E83" i="23" s="1"/>
  <c r="K75" i="12" s="1"/>
  <c r="D82" i="23"/>
  <c r="E82" i="23" s="1"/>
  <c r="K74" i="12" s="1"/>
  <c r="D81" i="23"/>
  <c r="E81" i="23" s="1"/>
  <c r="D80" i="23"/>
  <c r="E80" i="23" s="1"/>
  <c r="D79" i="23"/>
  <c r="E79" i="23" s="1"/>
  <c r="K71" i="12" s="1"/>
  <c r="D78" i="23"/>
  <c r="E78" i="23" s="1"/>
  <c r="K70" i="12" s="1"/>
  <c r="D77" i="23"/>
  <c r="E77" i="23" s="1"/>
  <c r="K69" i="12" s="1"/>
  <c r="D76" i="23"/>
  <c r="E76" i="23" s="1"/>
  <c r="K68" i="12" s="1"/>
  <c r="D75" i="23"/>
  <c r="E75" i="23" s="1"/>
  <c r="K67" i="12" s="1"/>
  <c r="D74" i="23"/>
  <c r="E74" i="23" s="1"/>
  <c r="K66" i="12" s="1"/>
  <c r="D73" i="23"/>
  <c r="E73" i="23" s="1"/>
  <c r="K65" i="12" s="1"/>
  <c r="D72" i="23"/>
  <c r="E72" i="23" s="1"/>
  <c r="D71" i="23"/>
  <c r="E71" i="23" s="1"/>
  <c r="K63" i="12" s="1"/>
  <c r="D70" i="23"/>
  <c r="E70" i="23" s="1"/>
  <c r="K62" i="12" s="1"/>
  <c r="D69" i="23"/>
  <c r="E69" i="23" s="1"/>
  <c r="K61" i="12" s="1"/>
  <c r="D68" i="23"/>
  <c r="E68" i="23" s="1"/>
  <c r="K60" i="12" s="1"/>
  <c r="D67" i="23"/>
  <c r="E67" i="23" s="1"/>
  <c r="K59" i="12" s="1"/>
  <c r="D66" i="23"/>
  <c r="E66" i="23" s="1"/>
  <c r="K58" i="12" s="1"/>
  <c r="D65" i="23"/>
  <c r="E65" i="23" s="1"/>
  <c r="K57" i="12" s="1"/>
  <c r="D64" i="23"/>
  <c r="E64" i="23" s="1"/>
  <c r="D63" i="23"/>
  <c r="E63" i="23" s="1"/>
  <c r="K55" i="12" s="1"/>
  <c r="D62" i="23"/>
  <c r="E62" i="23" s="1"/>
  <c r="K54" i="12" s="1"/>
  <c r="D61" i="23"/>
  <c r="E61" i="23" s="1"/>
  <c r="K53" i="12" s="1"/>
  <c r="D60" i="23"/>
  <c r="E60" i="23" s="1"/>
  <c r="K52" i="12" s="1"/>
  <c r="D59" i="23"/>
  <c r="E59" i="23" s="1"/>
  <c r="K51" i="12" s="1"/>
  <c r="D58" i="23"/>
  <c r="E58" i="23" s="1"/>
  <c r="K50" i="12" s="1"/>
  <c r="D57" i="23"/>
  <c r="E57" i="23" s="1"/>
  <c r="K49" i="12" s="1"/>
  <c r="D56" i="23"/>
  <c r="E56" i="23" s="1"/>
  <c r="D55" i="23"/>
  <c r="E55" i="23" s="1"/>
  <c r="K47" i="12" s="1"/>
  <c r="D54" i="23"/>
  <c r="E54" i="23" s="1"/>
  <c r="K46" i="12" s="1"/>
  <c r="D53" i="23"/>
  <c r="E53" i="23" s="1"/>
  <c r="K45" i="12" s="1"/>
  <c r="D52" i="23"/>
  <c r="E52" i="23" s="1"/>
  <c r="K44" i="12" s="1"/>
  <c r="D51" i="23"/>
  <c r="E51" i="23" s="1"/>
  <c r="K43" i="12" s="1"/>
  <c r="D50" i="23"/>
  <c r="E50" i="23" s="1"/>
  <c r="K42" i="12" s="1"/>
  <c r="D49" i="23"/>
  <c r="E49" i="23" s="1"/>
  <c r="E48" i="23"/>
  <c r="D48" i="23"/>
  <c r="D47" i="23"/>
  <c r="E47" i="23" s="1"/>
  <c r="K39" i="12" s="1"/>
  <c r="D46" i="23"/>
  <c r="E46" i="23" s="1"/>
  <c r="K38" i="12" s="1"/>
  <c r="D45" i="23"/>
  <c r="E45" i="23" s="1"/>
  <c r="K37" i="12" s="1"/>
  <c r="D44" i="23"/>
  <c r="E44" i="23" s="1"/>
  <c r="K36" i="12" s="1"/>
  <c r="D43" i="23"/>
  <c r="E43" i="23" s="1"/>
  <c r="K35" i="12" s="1"/>
  <c r="E42" i="23"/>
  <c r="K34" i="12" s="1"/>
  <c r="D42" i="23"/>
  <c r="I41" i="23"/>
  <c r="I48" i="23" s="1"/>
  <c r="D41" i="23"/>
  <c r="E41" i="23" s="1"/>
  <c r="D40" i="23"/>
  <c r="E40" i="23" s="1"/>
  <c r="K32" i="12" s="1"/>
  <c r="Y39" i="23"/>
  <c r="Z39" i="23" s="1"/>
  <c r="E39" i="23"/>
  <c r="K31" i="12" s="1"/>
  <c r="D39" i="23"/>
  <c r="D38" i="23"/>
  <c r="E38" i="23" s="1"/>
  <c r="K30" i="12" s="1"/>
  <c r="E37" i="23"/>
  <c r="K29" i="12" s="1"/>
  <c r="D37" i="23"/>
  <c r="D36" i="23"/>
  <c r="E36" i="23" s="1"/>
  <c r="K28" i="12" s="1"/>
  <c r="D35" i="23"/>
  <c r="E35" i="23" s="1"/>
  <c r="K27" i="12" s="1"/>
  <c r="K34" i="23"/>
  <c r="D34" i="23"/>
  <c r="E34" i="23" s="1"/>
  <c r="K26" i="12" s="1"/>
  <c r="K33" i="23"/>
  <c r="D33" i="23"/>
  <c r="E33" i="23" s="1"/>
  <c r="K32" i="23"/>
  <c r="D32" i="23"/>
  <c r="E32" i="23" s="1"/>
  <c r="K24" i="12" s="1"/>
  <c r="K31" i="23"/>
  <c r="D31" i="23"/>
  <c r="E31" i="23" s="1"/>
  <c r="K23" i="12" s="1"/>
  <c r="K30" i="23"/>
  <c r="D30" i="23"/>
  <c r="E30" i="23" s="1"/>
  <c r="K22" i="12" s="1"/>
  <c r="K29" i="23"/>
  <c r="D29" i="23"/>
  <c r="E29" i="23" s="1"/>
  <c r="K21" i="12" s="1"/>
  <c r="K28" i="23"/>
  <c r="D28" i="23"/>
  <c r="E28" i="23" s="1"/>
  <c r="K20" i="12" s="1"/>
  <c r="K27" i="23"/>
  <c r="D27" i="23"/>
  <c r="E27" i="23" s="1"/>
  <c r="K19" i="12" s="1"/>
  <c r="K26" i="23"/>
  <c r="E26" i="23"/>
  <c r="K18" i="12" s="1"/>
  <c r="D26" i="23"/>
  <c r="K25" i="23"/>
  <c r="D25" i="23"/>
  <c r="E25" i="23" s="1"/>
  <c r="K17" i="12" s="1"/>
  <c r="K24" i="23"/>
  <c r="D24" i="23"/>
  <c r="E24" i="23" s="1"/>
  <c r="K23" i="23"/>
  <c r="D23" i="23"/>
  <c r="E23" i="23" s="1"/>
  <c r="K15" i="12" s="1"/>
  <c r="K22" i="23"/>
  <c r="D22" i="23"/>
  <c r="E22" i="23" s="1"/>
  <c r="K14" i="12" s="1"/>
  <c r="K21" i="23"/>
  <c r="D21" i="23"/>
  <c r="E21" i="23" s="1"/>
  <c r="K13" i="12" s="1"/>
  <c r="K20" i="23"/>
  <c r="D20" i="23"/>
  <c r="E20" i="23" s="1"/>
  <c r="K12" i="12" s="1"/>
  <c r="K19" i="23"/>
  <c r="D19" i="23"/>
  <c r="E19" i="23" s="1"/>
  <c r="K11" i="12" s="1"/>
  <c r="K18" i="23"/>
  <c r="D18" i="23"/>
  <c r="E18" i="23" s="1"/>
  <c r="K10" i="12" s="1"/>
  <c r="K17" i="23"/>
  <c r="D17" i="23"/>
  <c r="E17" i="23" s="1"/>
  <c r="D16" i="23"/>
  <c r="E16" i="23" s="1"/>
  <c r="D15" i="23"/>
  <c r="E15" i="23" s="1"/>
  <c r="K7" i="12" s="1"/>
  <c r="D14" i="23"/>
  <c r="E14" i="23" s="1"/>
  <c r="K6" i="12" s="1"/>
  <c r="D13" i="23"/>
  <c r="E13" i="23" s="1"/>
  <c r="K5" i="12" s="1"/>
  <c r="I7" i="12"/>
  <c r="I8" i="12"/>
  <c r="I15" i="12"/>
  <c r="I16" i="12"/>
  <c r="I23" i="12"/>
  <c r="I24" i="12"/>
  <c r="I32" i="12"/>
  <c r="I39" i="12"/>
  <c r="I40" i="12"/>
  <c r="I47" i="12"/>
  <c r="I55" i="12"/>
  <c r="I56" i="12"/>
  <c r="I63" i="12"/>
  <c r="I71" i="12"/>
  <c r="D84" i="22"/>
  <c r="E84" i="22" s="1"/>
  <c r="I76" i="12" s="1"/>
  <c r="D83" i="22"/>
  <c r="E83" i="22" s="1"/>
  <c r="I75" i="12" s="1"/>
  <c r="D82" i="22"/>
  <c r="E82" i="22" s="1"/>
  <c r="I74" i="12" s="1"/>
  <c r="D81" i="22"/>
  <c r="E81" i="22" s="1"/>
  <c r="I73" i="12" s="1"/>
  <c r="D80" i="22"/>
  <c r="E80" i="22" s="1"/>
  <c r="I72" i="12" s="1"/>
  <c r="D79" i="22"/>
  <c r="E79" i="22" s="1"/>
  <c r="D78" i="22"/>
  <c r="E78" i="22" s="1"/>
  <c r="I70" i="12" s="1"/>
  <c r="D77" i="22"/>
  <c r="E77" i="22" s="1"/>
  <c r="I69" i="12" s="1"/>
  <c r="D76" i="22"/>
  <c r="E76" i="22" s="1"/>
  <c r="I68" i="12" s="1"/>
  <c r="D75" i="22"/>
  <c r="E75" i="22" s="1"/>
  <c r="I67" i="12" s="1"/>
  <c r="D74" i="22"/>
  <c r="E74" i="22" s="1"/>
  <c r="I66" i="12" s="1"/>
  <c r="D73" i="22"/>
  <c r="E73" i="22" s="1"/>
  <c r="I65" i="12" s="1"/>
  <c r="E72" i="22"/>
  <c r="I64" i="12" s="1"/>
  <c r="D72" i="22"/>
  <c r="D71" i="22"/>
  <c r="E71" i="22" s="1"/>
  <c r="D70" i="22"/>
  <c r="E70" i="22" s="1"/>
  <c r="I62" i="12" s="1"/>
  <c r="D69" i="22"/>
  <c r="E69" i="22" s="1"/>
  <c r="I61" i="12" s="1"/>
  <c r="D68" i="22"/>
  <c r="E68" i="22" s="1"/>
  <c r="I60" i="12" s="1"/>
  <c r="D67" i="22"/>
  <c r="E67" i="22" s="1"/>
  <c r="I59" i="12" s="1"/>
  <c r="D66" i="22"/>
  <c r="E66" i="22" s="1"/>
  <c r="I58" i="12" s="1"/>
  <c r="D65" i="22"/>
  <c r="E65" i="22" s="1"/>
  <c r="I57" i="12" s="1"/>
  <c r="D64" i="22"/>
  <c r="E64" i="22" s="1"/>
  <c r="D63" i="22"/>
  <c r="E63" i="22" s="1"/>
  <c r="E62" i="22"/>
  <c r="I54" i="12" s="1"/>
  <c r="D62" i="22"/>
  <c r="D61" i="22"/>
  <c r="E61" i="22" s="1"/>
  <c r="I53" i="12" s="1"/>
  <c r="E60" i="22"/>
  <c r="I52" i="12" s="1"/>
  <c r="D60" i="22"/>
  <c r="D59" i="22"/>
  <c r="E59" i="22" s="1"/>
  <c r="I51" i="12" s="1"/>
  <c r="D58" i="22"/>
  <c r="E58" i="22" s="1"/>
  <c r="I50" i="12" s="1"/>
  <c r="D57" i="22"/>
  <c r="E57" i="22" s="1"/>
  <c r="I49" i="12" s="1"/>
  <c r="E56" i="22"/>
  <c r="I48" i="12" s="1"/>
  <c r="D56" i="22"/>
  <c r="D55" i="22"/>
  <c r="E55" i="22" s="1"/>
  <c r="D54" i="22"/>
  <c r="E54" i="22" s="1"/>
  <c r="I46" i="12" s="1"/>
  <c r="D53" i="22"/>
  <c r="E53" i="22" s="1"/>
  <c r="I45" i="12" s="1"/>
  <c r="D52" i="22"/>
  <c r="E52" i="22" s="1"/>
  <c r="I44" i="12" s="1"/>
  <c r="D51" i="22"/>
  <c r="E51" i="22" s="1"/>
  <c r="I43" i="12" s="1"/>
  <c r="D50" i="22"/>
  <c r="E50" i="22" s="1"/>
  <c r="I42" i="12" s="1"/>
  <c r="D49" i="22"/>
  <c r="E49" i="22" s="1"/>
  <c r="I41" i="12" s="1"/>
  <c r="D48" i="22"/>
  <c r="E48" i="22" s="1"/>
  <c r="D47" i="22"/>
  <c r="E47" i="22" s="1"/>
  <c r="D46" i="22"/>
  <c r="E46" i="22" s="1"/>
  <c r="I38" i="12" s="1"/>
  <c r="D45" i="22"/>
  <c r="E45" i="22" s="1"/>
  <c r="I37" i="12" s="1"/>
  <c r="K44" i="22"/>
  <c r="D44" i="22"/>
  <c r="E44" i="22" s="1"/>
  <c r="I36" i="12" s="1"/>
  <c r="K43" i="22"/>
  <c r="D43" i="22"/>
  <c r="E43" i="22" s="1"/>
  <c r="I35" i="12" s="1"/>
  <c r="K42" i="22"/>
  <c r="E42" i="22"/>
  <c r="I34" i="12" s="1"/>
  <c r="D42" i="22"/>
  <c r="K41" i="22"/>
  <c r="D41" i="22"/>
  <c r="E41" i="22" s="1"/>
  <c r="I33" i="12" s="1"/>
  <c r="K40" i="22"/>
  <c r="D40" i="22"/>
  <c r="E40" i="22" s="1"/>
  <c r="K39" i="22"/>
  <c r="D39" i="22"/>
  <c r="E39" i="22" s="1"/>
  <c r="I31" i="12" s="1"/>
  <c r="K38" i="22"/>
  <c r="E38" i="22"/>
  <c r="I30" i="12" s="1"/>
  <c r="D38" i="22"/>
  <c r="K37" i="22"/>
  <c r="E37" i="22"/>
  <c r="I29" i="12" s="1"/>
  <c r="D37" i="22"/>
  <c r="K36" i="22"/>
  <c r="D36" i="22"/>
  <c r="E36" i="22" s="1"/>
  <c r="I28" i="12" s="1"/>
  <c r="K35" i="22"/>
  <c r="D35" i="22"/>
  <c r="E35" i="22" s="1"/>
  <c r="I27" i="12" s="1"/>
  <c r="K34" i="22"/>
  <c r="E34" i="22"/>
  <c r="I26" i="12" s="1"/>
  <c r="D34" i="22"/>
  <c r="K33" i="22"/>
  <c r="D33" i="22"/>
  <c r="E33" i="22" s="1"/>
  <c r="I25" i="12" s="1"/>
  <c r="K32" i="22"/>
  <c r="D32" i="22"/>
  <c r="E32" i="22" s="1"/>
  <c r="K31" i="22"/>
  <c r="E31" i="22"/>
  <c r="D31" i="22"/>
  <c r="K30" i="22"/>
  <c r="D30" i="22"/>
  <c r="E30" i="22" s="1"/>
  <c r="I22" i="12" s="1"/>
  <c r="K29" i="22"/>
  <c r="E29" i="22"/>
  <c r="I21" i="12" s="1"/>
  <c r="D29" i="22"/>
  <c r="K28" i="22"/>
  <c r="D28" i="22"/>
  <c r="E28" i="22" s="1"/>
  <c r="I20" i="12" s="1"/>
  <c r="K27" i="22"/>
  <c r="D27" i="22"/>
  <c r="E27" i="22" s="1"/>
  <c r="I19" i="12" s="1"/>
  <c r="K26" i="22"/>
  <c r="D26" i="22"/>
  <c r="E26" i="22" s="1"/>
  <c r="I18" i="12" s="1"/>
  <c r="K25" i="22"/>
  <c r="D25" i="22"/>
  <c r="E25" i="22" s="1"/>
  <c r="I17" i="12" s="1"/>
  <c r="K24" i="22"/>
  <c r="D24" i="22"/>
  <c r="E24" i="22" s="1"/>
  <c r="K23" i="22"/>
  <c r="E23" i="22"/>
  <c r="D23" i="22"/>
  <c r="K22" i="22"/>
  <c r="D22" i="22"/>
  <c r="E22" i="22" s="1"/>
  <c r="I14" i="12" s="1"/>
  <c r="K21" i="22"/>
  <c r="D21" i="22"/>
  <c r="E21" i="22" s="1"/>
  <c r="I13" i="12" s="1"/>
  <c r="K20" i="22"/>
  <c r="D20" i="22"/>
  <c r="E20" i="22" s="1"/>
  <c r="I12" i="12" s="1"/>
  <c r="K19" i="22"/>
  <c r="D19" i="22"/>
  <c r="E19" i="22" s="1"/>
  <c r="I11" i="12" s="1"/>
  <c r="K18" i="22"/>
  <c r="D18" i="22"/>
  <c r="E18" i="22" s="1"/>
  <c r="I10" i="12" s="1"/>
  <c r="K17" i="22"/>
  <c r="D17" i="22"/>
  <c r="E17" i="22" s="1"/>
  <c r="I9" i="12" s="1"/>
  <c r="K16" i="22"/>
  <c r="D16" i="22"/>
  <c r="E16" i="22" s="1"/>
  <c r="K15" i="22"/>
  <c r="D15" i="22"/>
  <c r="E15" i="22" s="1"/>
  <c r="K14" i="22"/>
  <c r="E14" i="22"/>
  <c r="I6" i="12" s="1"/>
  <c r="D14" i="22"/>
  <c r="K13" i="22"/>
  <c r="E13" i="22"/>
  <c r="I5" i="12" s="1"/>
  <c r="D13" i="22"/>
  <c r="H10" i="12"/>
  <c r="H34" i="12"/>
  <c r="H42" i="12"/>
  <c r="H50" i="12"/>
  <c r="H65" i="12"/>
  <c r="H74" i="12"/>
  <c r="G7" i="12"/>
  <c r="G9" i="12"/>
  <c r="G23" i="12"/>
  <c r="G26" i="12"/>
  <c r="G31" i="12"/>
  <c r="G37" i="12"/>
  <c r="G42" i="12"/>
  <c r="G44" i="12"/>
  <c r="G46" i="12"/>
  <c r="G52" i="12"/>
  <c r="G54" i="12"/>
  <c r="G58" i="12"/>
  <c r="G61" i="12"/>
  <c r="G62" i="12"/>
  <c r="G66" i="12"/>
  <c r="G68" i="12"/>
  <c r="G69" i="12"/>
  <c r="G76" i="12"/>
  <c r="D13" i="21"/>
  <c r="E13" i="21" s="1"/>
  <c r="G5" i="12" s="1"/>
  <c r="K13" i="21"/>
  <c r="D14" i="21"/>
  <c r="E14" i="21"/>
  <c r="G6" i="12" s="1"/>
  <c r="K14" i="21"/>
  <c r="D15" i="21"/>
  <c r="E15" i="21"/>
  <c r="K15" i="21"/>
  <c r="D16" i="21"/>
  <c r="E16" i="21" s="1"/>
  <c r="G8" i="12" s="1"/>
  <c r="K16" i="21"/>
  <c r="D17" i="21"/>
  <c r="E17" i="21" s="1"/>
  <c r="K17" i="21"/>
  <c r="D18" i="21"/>
  <c r="E18" i="21" s="1"/>
  <c r="G10" i="12" s="1"/>
  <c r="K18" i="21"/>
  <c r="D19" i="21"/>
  <c r="E19" i="21" s="1"/>
  <c r="G11" i="12" s="1"/>
  <c r="K19" i="21"/>
  <c r="D20" i="21"/>
  <c r="E20" i="21" s="1"/>
  <c r="G12" i="12" s="1"/>
  <c r="K20" i="21"/>
  <c r="D21" i="21"/>
  <c r="E21" i="21"/>
  <c r="G13" i="12" s="1"/>
  <c r="K21" i="21"/>
  <c r="D22" i="21"/>
  <c r="E22" i="21"/>
  <c r="G14" i="12" s="1"/>
  <c r="K22" i="21"/>
  <c r="D23" i="21"/>
  <c r="E23" i="21"/>
  <c r="G15" i="12" s="1"/>
  <c r="K23" i="21"/>
  <c r="D24" i="21"/>
  <c r="E24" i="21" s="1"/>
  <c r="G16" i="12" s="1"/>
  <c r="K24" i="21"/>
  <c r="D25" i="21"/>
  <c r="E25" i="21" s="1"/>
  <c r="G17" i="12" s="1"/>
  <c r="K25" i="21"/>
  <c r="D26" i="21"/>
  <c r="E26" i="21" s="1"/>
  <c r="G18" i="12" s="1"/>
  <c r="K26" i="21"/>
  <c r="D27" i="21"/>
  <c r="E27" i="21"/>
  <c r="G19" i="12" s="1"/>
  <c r="K27" i="21"/>
  <c r="D28" i="21"/>
  <c r="E28" i="21"/>
  <c r="G20" i="12" s="1"/>
  <c r="K28" i="21"/>
  <c r="D29" i="21"/>
  <c r="E29" i="21" s="1"/>
  <c r="G21" i="12" s="1"/>
  <c r="K29" i="21"/>
  <c r="D30" i="21"/>
  <c r="E30" i="21" s="1"/>
  <c r="G22" i="12" s="1"/>
  <c r="K30" i="21"/>
  <c r="D31" i="21"/>
  <c r="E31" i="21" s="1"/>
  <c r="K31" i="21"/>
  <c r="D32" i="21"/>
  <c r="E32" i="21" s="1"/>
  <c r="G24" i="12" s="1"/>
  <c r="K32" i="21"/>
  <c r="D33" i="21"/>
  <c r="E33" i="21" s="1"/>
  <c r="G25" i="12" s="1"/>
  <c r="K33" i="21"/>
  <c r="D34" i="21"/>
  <c r="E34" i="21"/>
  <c r="K34" i="21"/>
  <c r="D35" i="21"/>
  <c r="E35" i="21"/>
  <c r="G27" i="12" s="1"/>
  <c r="K35" i="21"/>
  <c r="D36" i="21"/>
  <c r="E36" i="21"/>
  <c r="G28" i="12" s="1"/>
  <c r="K36" i="21"/>
  <c r="D37" i="21"/>
  <c r="E37" i="21" s="1"/>
  <c r="G29" i="12" s="1"/>
  <c r="K37" i="21"/>
  <c r="D38" i="21"/>
  <c r="E38" i="21"/>
  <c r="G30" i="12" s="1"/>
  <c r="K38" i="21"/>
  <c r="D39" i="21"/>
  <c r="E39" i="21" s="1"/>
  <c r="D40" i="21"/>
  <c r="E40" i="21"/>
  <c r="G32" i="12" s="1"/>
  <c r="D41" i="21"/>
  <c r="E41" i="21" s="1"/>
  <c r="G33" i="12" s="1"/>
  <c r="D42" i="21"/>
  <c r="E42" i="21" s="1"/>
  <c r="G34" i="12" s="1"/>
  <c r="D43" i="21"/>
  <c r="E43" i="21" s="1"/>
  <c r="G35" i="12" s="1"/>
  <c r="D44" i="21"/>
  <c r="E44" i="21" s="1"/>
  <c r="G36" i="12" s="1"/>
  <c r="D45" i="21"/>
  <c r="E45" i="21"/>
  <c r="D46" i="21"/>
  <c r="E46" i="21" s="1"/>
  <c r="G38" i="12" s="1"/>
  <c r="D47" i="21"/>
  <c r="E47" i="21" s="1"/>
  <c r="G39" i="12" s="1"/>
  <c r="D48" i="21"/>
  <c r="E48" i="21"/>
  <c r="G40" i="12" s="1"/>
  <c r="D49" i="21"/>
  <c r="E49" i="21" s="1"/>
  <c r="G41" i="12" s="1"/>
  <c r="D50" i="21"/>
  <c r="E50" i="21" s="1"/>
  <c r="D51" i="21"/>
  <c r="E51" i="21"/>
  <c r="G43" i="12" s="1"/>
  <c r="D52" i="21"/>
  <c r="E52" i="21" s="1"/>
  <c r="D53" i="21"/>
  <c r="E53" i="21"/>
  <c r="G45" i="12" s="1"/>
  <c r="D54" i="21"/>
  <c r="E54" i="21" s="1"/>
  <c r="D55" i="21"/>
  <c r="E55" i="21"/>
  <c r="G47" i="12" s="1"/>
  <c r="D56" i="21"/>
  <c r="E56" i="21" s="1"/>
  <c r="G48" i="12" s="1"/>
  <c r="D57" i="21"/>
  <c r="E57" i="21"/>
  <c r="G49" i="12" s="1"/>
  <c r="D58" i="21"/>
  <c r="E58" i="21"/>
  <c r="G50" i="12" s="1"/>
  <c r="D59" i="21"/>
  <c r="E59" i="21"/>
  <c r="G51" i="12" s="1"/>
  <c r="D60" i="21"/>
  <c r="E60" i="21" s="1"/>
  <c r="D61" i="21"/>
  <c r="E61" i="21" s="1"/>
  <c r="G53" i="12" s="1"/>
  <c r="D62" i="21"/>
  <c r="E62" i="21"/>
  <c r="D63" i="21"/>
  <c r="E63" i="21" s="1"/>
  <c r="D64" i="21"/>
  <c r="E64" i="21"/>
  <c r="G56" i="12" s="1"/>
  <c r="D65" i="21"/>
  <c r="E65" i="21" s="1"/>
  <c r="G57" i="12" s="1"/>
  <c r="D66" i="21"/>
  <c r="E66" i="21" s="1"/>
  <c r="D67" i="21"/>
  <c r="E67" i="21"/>
  <c r="G59" i="12" s="1"/>
  <c r="D68" i="21"/>
  <c r="E68" i="21" s="1"/>
  <c r="G60" i="12" s="1"/>
  <c r="D69" i="21"/>
  <c r="E69" i="21" s="1"/>
  <c r="D70" i="21"/>
  <c r="E70" i="21" s="1"/>
  <c r="D71" i="21"/>
  <c r="E71" i="21" s="1"/>
  <c r="G63" i="12" s="1"/>
  <c r="D72" i="21"/>
  <c r="E72" i="21"/>
  <c r="G64" i="12" s="1"/>
  <c r="D73" i="21"/>
  <c r="E73" i="21" s="1"/>
  <c r="G65" i="12" s="1"/>
  <c r="D74" i="21"/>
  <c r="E74" i="21" s="1"/>
  <c r="D75" i="21"/>
  <c r="E75" i="21" s="1"/>
  <c r="G67" i="12" s="1"/>
  <c r="D76" i="21"/>
  <c r="E76" i="21"/>
  <c r="D77" i="21"/>
  <c r="E77" i="21"/>
  <c r="D78" i="21"/>
  <c r="E78" i="21"/>
  <c r="G70" i="12" s="1"/>
  <c r="D79" i="21"/>
  <c r="E79" i="21" s="1"/>
  <c r="G71" i="12" s="1"/>
  <c r="D80" i="21"/>
  <c r="E80" i="21"/>
  <c r="G72" i="12" s="1"/>
  <c r="D81" i="21"/>
  <c r="E81" i="21" s="1"/>
  <c r="G73" i="12" s="1"/>
  <c r="D82" i="21"/>
  <c r="E82" i="21"/>
  <c r="G74" i="12" s="1"/>
  <c r="D83" i="21"/>
  <c r="E83" i="21" s="1"/>
  <c r="G75" i="12" s="1"/>
  <c r="D84" i="21"/>
  <c r="E84" i="21"/>
  <c r="D84" i="20"/>
  <c r="E84" i="20" s="1"/>
  <c r="H76" i="12" s="1"/>
  <c r="D83" i="20"/>
  <c r="E83" i="20" s="1"/>
  <c r="H75" i="12" s="1"/>
  <c r="D82" i="20"/>
  <c r="E82" i="20" s="1"/>
  <c r="D81" i="20"/>
  <c r="E81" i="20" s="1"/>
  <c r="H73" i="12" s="1"/>
  <c r="D80" i="20"/>
  <c r="E80" i="20" s="1"/>
  <c r="H72" i="12" s="1"/>
  <c r="D79" i="20"/>
  <c r="E79" i="20" s="1"/>
  <c r="H71" i="12" s="1"/>
  <c r="D78" i="20"/>
  <c r="E78" i="20" s="1"/>
  <c r="H70" i="12" s="1"/>
  <c r="D77" i="20"/>
  <c r="E77" i="20" s="1"/>
  <c r="H69" i="12" s="1"/>
  <c r="E76" i="20"/>
  <c r="H68" i="12" s="1"/>
  <c r="D76" i="20"/>
  <c r="D75" i="20"/>
  <c r="E75" i="20" s="1"/>
  <c r="H67" i="12" s="1"/>
  <c r="D74" i="20"/>
  <c r="E74" i="20" s="1"/>
  <c r="H66" i="12" s="1"/>
  <c r="D73" i="20"/>
  <c r="E73" i="20" s="1"/>
  <c r="D72" i="20"/>
  <c r="E72" i="20" s="1"/>
  <c r="H64" i="12" s="1"/>
  <c r="E71" i="20"/>
  <c r="H63" i="12" s="1"/>
  <c r="D71" i="20"/>
  <c r="D70" i="20"/>
  <c r="E70" i="20" s="1"/>
  <c r="H62" i="12" s="1"/>
  <c r="D69" i="20"/>
  <c r="E69" i="20" s="1"/>
  <c r="H61" i="12" s="1"/>
  <c r="D68" i="20"/>
  <c r="E68" i="20" s="1"/>
  <c r="H60" i="12" s="1"/>
  <c r="D67" i="20"/>
  <c r="E67" i="20" s="1"/>
  <c r="H59" i="12" s="1"/>
  <c r="D66" i="20"/>
  <c r="E66" i="20" s="1"/>
  <c r="H58" i="12" s="1"/>
  <c r="D65" i="20"/>
  <c r="E65" i="20" s="1"/>
  <c r="H57" i="12" s="1"/>
  <c r="E64" i="20"/>
  <c r="H56" i="12" s="1"/>
  <c r="D64" i="20"/>
  <c r="D63" i="20"/>
  <c r="E63" i="20" s="1"/>
  <c r="H55" i="12" s="1"/>
  <c r="D62" i="20"/>
  <c r="E62" i="20" s="1"/>
  <c r="H54" i="12" s="1"/>
  <c r="D61" i="20"/>
  <c r="E61" i="20" s="1"/>
  <c r="H53" i="12" s="1"/>
  <c r="D60" i="20"/>
  <c r="E60" i="20" s="1"/>
  <c r="H52" i="12" s="1"/>
  <c r="D59" i="20"/>
  <c r="E59" i="20" s="1"/>
  <c r="H51" i="12" s="1"/>
  <c r="D58" i="20"/>
  <c r="E58" i="20" s="1"/>
  <c r="D57" i="20"/>
  <c r="E57" i="20" s="1"/>
  <c r="H49" i="12" s="1"/>
  <c r="D56" i="20"/>
  <c r="E56" i="20" s="1"/>
  <c r="H48" i="12" s="1"/>
  <c r="D55" i="20"/>
  <c r="E55" i="20" s="1"/>
  <c r="H47" i="12" s="1"/>
  <c r="D54" i="20"/>
  <c r="E54" i="20" s="1"/>
  <c r="H46" i="12" s="1"/>
  <c r="D53" i="20"/>
  <c r="E53" i="20" s="1"/>
  <c r="H45" i="12" s="1"/>
  <c r="D52" i="20"/>
  <c r="E52" i="20" s="1"/>
  <c r="H44" i="12" s="1"/>
  <c r="D51" i="20"/>
  <c r="E51" i="20" s="1"/>
  <c r="H43" i="12" s="1"/>
  <c r="D50" i="20"/>
  <c r="E50" i="20" s="1"/>
  <c r="E49" i="20"/>
  <c r="H41" i="12" s="1"/>
  <c r="D49" i="20"/>
  <c r="D48" i="20"/>
  <c r="E48" i="20" s="1"/>
  <c r="H40" i="12" s="1"/>
  <c r="E47" i="20"/>
  <c r="H39" i="12" s="1"/>
  <c r="D47" i="20"/>
  <c r="D46" i="20"/>
  <c r="E46" i="20" s="1"/>
  <c r="H38" i="12" s="1"/>
  <c r="D45" i="20"/>
  <c r="E45" i="20" s="1"/>
  <c r="H37" i="12" s="1"/>
  <c r="D44" i="20"/>
  <c r="E44" i="20" s="1"/>
  <c r="H36" i="12" s="1"/>
  <c r="D43" i="20"/>
  <c r="E43" i="20" s="1"/>
  <c r="H35" i="12" s="1"/>
  <c r="D42" i="20"/>
  <c r="E42" i="20" s="1"/>
  <c r="D41" i="20"/>
  <c r="E41" i="20" s="1"/>
  <c r="H33" i="12" s="1"/>
  <c r="E40" i="20"/>
  <c r="H32" i="12" s="1"/>
  <c r="D40" i="20"/>
  <c r="D39" i="20"/>
  <c r="E39" i="20" s="1"/>
  <c r="H31" i="12" s="1"/>
  <c r="E38" i="20"/>
  <c r="H30" i="12" s="1"/>
  <c r="D38" i="20"/>
  <c r="D37" i="20"/>
  <c r="E37" i="20" s="1"/>
  <c r="H29" i="12" s="1"/>
  <c r="D36" i="20"/>
  <c r="E36" i="20" s="1"/>
  <c r="H28" i="12" s="1"/>
  <c r="D35" i="20"/>
  <c r="E35" i="20" s="1"/>
  <c r="H27" i="12" s="1"/>
  <c r="D34" i="20"/>
  <c r="E34" i="20" s="1"/>
  <c r="H26" i="12" s="1"/>
  <c r="D33" i="20"/>
  <c r="E33" i="20" s="1"/>
  <c r="H25" i="12" s="1"/>
  <c r="D32" i="20"/>
  <c r="E32" i="20" s="1"/>
  <c r="H24" i="12" s="1"/>
  <c r="D31" i="20"/>
  <c r="E31" i="20" s="1"/>
  <c r="H23" i="12" s="1"/>
  <c r="E30" i="20"/>
  <c r="H22" i="12" s="1"/>
  <c r="D30" i="20"/>
  <c r="D29" i="20"/>
  <c r="E29" i="20" s="1"/>
  <c r="H21" i="12" s="1"/>
  <c r="D28" i="20"/>
  <c r="E28" i="20" s="1"/>
  <c r="H20" i="12" s="1"/>
  <c r="D27" i="20"/>
  <c r="E27" i="20" s="1"/>
  <c r="H19" i="12" s="1"/>
  <c r="D26" i="20"/>
  <c r="E26" i="20" s="1"/>
  <c r="H18" i="12" s="1"/>
  <c r="J25" i="20"/>
  <c r="D25" i="20"/>
  <c r="E25" i="20" s="1"/>
  <c r="H17" i="12" s="1"/>
  <c r="J24" i="20"/>
  <c r="D24" i="20"/>
  <c r="E24" i="20" s="1"/>
  <c r="H16" i="12" s="1"/>
  <c r="J23" i="20"/>
  <c r="E23" i="20"/>
  <c r="H15" i="12" s="1"/>
  <c r="D23" i="20"/>
  <c r="J22" i="20"/>
  <c r="D22" i="20"/>
  <c r="E22" i="20" s="1"/>
  <c r="H14" i="12" s="1"/>
  <c r="J21" i="20"/>
  <c r="D21" i="20"/>
  <c r="E21" i="20" s="1"/>
  <c r="H13" i="12" s="1"/>
  <c r="J20" i="20"/>
  <c r="E20" i="20"/>
  <c r="H12" i="12" s="1"/>
  <c r="D20" i="20"/>
  <c r="J19" i="20"/>
  <c r="D19" i="20"/>
  <c r="E19" i="20" s="1"/>
  <c r="H11" i="12" s="1"/>
  <c r="J18" i="20"/>
  <c r="D18" i="20"/>
  <c r="E18" i="20" s="1"/>
  <c r="J17" i="20"/>
  <c r="D17" i="20"/>
  <c r="E17" i="20" s="1"/>
  <c r="H9" i="12" s="1"/>
  <c r="J16" i="20"/>
  <c r="D16" i="20"/>
  <c r="E16" i="20" s="1"/>
  <c r="H8" i="12" s="1"/>
  <c r="J15" i="20"/>
  <c r="D15" i="20"/>
  <c r="E15" i="20" s="1"/>
  <c r="H7" i="12" s="1"/>
  <c r="J14" i="20"/>
  <c r="D14" i="20"/>
  <c r="E14" i="20" s="1"/>
  <c r="H6" i="12" s="1"/>
  <c r="D13" i="20"/>
  <c r="E13" i="20" s="1"/>
  <c r="H5" i="12" s="1"/>
  <c r="D13" i="19"/>
  <c r="E13" i="19" s="1"/>
  <c r="O13" i="19"/>
  <c r="D14" i="19"/>
  <c r="E14" i="19"/>
  <c r="O14" i="19"/>
  <c r="D15" i="19"/>
  <c r="E15" i="19" s="1"/>
  <c r="O15" i="19"/>
  <c r="D16" i="19"/>
  <c r="E16" i="19" s="1"/>
  <c r="O16" i="19"/>
  <c r="D17" i="19"/>
  <c r="E17" i="19" s="1"/>
  <c r="O17" i="19"/>
  <c r="D18" i="19"/>
  <c r="E18" i="19" s="1"/>
  <c r="O18" i="19"/>
  <c r="D19" i="19"/>
  <c r="E19" i="19" s="1"/>
  <c r="F11" i="12" s="1"/>
  <c r="O19" i="19"/>
  <c r="D20" i="19"/>
  <c r="E20" i="19"/>
  <c r="F12" i="12" s="1"/>
  <c r="O20" i="19"/>
  <c r="D21" i="19"/>
  <c r="E21" i="19"/>
  <c r="O21" i="19"/>
  <c r="D22" i="19"/>
  <c r="E22" i="19"/>
  <c r="F14" i="12" s="1"/>
  <c r="O22" i="19"/>
  <c r="D23" i="19"/>
  <c r="E23" i="19" s="1"/>
  <c r="O23" i="19"/>
  <c r="D24" i="19"/>
  <c r="E24" i="19" s="1"/>
  <c r="O24" i="19"/>
  <c r="D25" i="19"/>
  <c r="E25" i="19" s="1"/>
  <c r="O25" i="19"/>
  <c r="D26" i="19"/>
  <c r="E26" i="19" s="1"/>
  <c r="O26" i="19"/>
  <c r="D27" i="19"/>
  <c r="E27" i="19" s="1"/>
  <c r="O27" i="19"/>
  <c r="D28" i="19"/>
  <c r="E28" i="19"/>
  <c r="O28" i="19"/>
  <c r="D29" i="19"/>
  <c r="E29" i="19" s="1"/>
  <c r="O29" i="19"/>
  <c r="D30" i="19"/>
  <c r="E30" i="19"/>
  <c r="O30" i="19"/>
  <c r="D31" i="19"/>
  <c r="E31" i="19" s="1"/>
  <c r="O31" i="19"/>
  <c r="D32" i="19"/>
  <c r="E32" i="19" s="1"/>
  <c r="F24" i="12" s="1"/>
  <c r="O32" i="19"/>
  <c r="D33" i="19"/>
  <c r="E33" i="19" s="1"/>
  <c r="F25" i="12" s="1"/>
  <c r="O33" i="19"/>
  <c r="D34" i="19"/>
  <c r="E34" i="19" s="1"/>
  <c r="O34" i="19"/>
  <c r="D35" i="19"/>
  <c r="E35" i="19" s="1"/>
  <c r="O35" i="19"/>
  <c r="D36" i="19"/>
  <c r="E36" i="19"/>
  <c r="F28" i="12" s="1"/>
  <c r="O36" i="19"/>
  <c r="D37" i="19"/>
  <c r="E37" i="19" s="1"/>
  <c r="O37" i="19"/>
  <c r="D38" i="19"/>
  <c r="E38" i="19"/>
  <c r="O38" i="19"/>
  <c r="D39" i="19"/>
  <c r="E39" i="19"/>
  <c r="F31" i="12" s="1"/>
  <c r="O39" i="19"/>
  <c r="D40" i="19"/>
  <c r="E40" i="19" s="1"/>
  <c r="O40" i="19"/>
  <c r="D41" i="19"/>
  <c r="E41" i="19"/>
  <c r="O41" i="19"/>
  <c r="D42" i="19"/>
  <c r="E42" i="19"/>
  <c r="F34" i="12" s="1"/>
  <c r="O42" i="19"/>
  <c r="D43" i="19"/>
  <c r="E43" i="19" s="1"/>
  <c r="D44" i="19"/>
  <c r="E44" i="19"/>
  <c r="D45" i="19"/>
  <c r="E45" i="19" s="1"/>
  <c r="D46" i="19"/>
  <c r="E46" i="19"/>
  <c r="F38" i="12" s="1"/>
  <c r="D47" i="19"/>
  <c r="E47" i="19" s="1"/>
  <c r="D48" i="19"/>
  <c r="E48" i="19" s="1"/>
  <c r="D49" i="19"/>
  <c r="E49" i="19" s="1"/>
  <c r="D50" i="19"/>
  <c r="E50" i="19"/>
  <c r="D51" i="19"/>
  <c r="E51" i="19"/>
  <c r="D52" i="19"/>
  <c r="E52" i="19"/>
  <c r="D53" i="19"/>
  <c r="E53" i="19" s="1"/>
  <c r="D54" i="19"/>
  <c r="E54" i="19"/>
  <c r="D55" i="19"/>
  <c r="E55" i="19" s="1"/>
  <c r="D56" i="19"/>
  <c r="E56" i="19"/>
  <c r="D57" i="19"/>
  <c r="E57" i="19" s="1"/>
  <c r="D58" i="19"/>
  <c r="E58" i="19" s="1"/>
  <c r="F50" i="12" s="1"/>
  <c r="D59" i="19"/>
  <c r="E59" i="19"/>
  <c r="D60" i="19"/>
  <c r="E60" i="19" s="1"/>
  <c r="D61" i="19"/>
  <c r="E61" i="19"/>
  <c r="F53" i="12" s="1"/>
  <c r="D62" i="19"/>
  <c r="E62" i="19" s="1"/>
  <c r="D63" i="19"/>
  <c r="E63" i="19"/>
  <c r="D64" i="19"/>
  <c r="E64" i="19" s="1"/>
  <c r="D65" i="19"/>
  <c r="E65" i="19"/>
  <c r="D66" i="19"/>
  <c r="E66" i="19" s="1"/>
  <c r="D67" i="19"/>
  <c r="E67" i="19" s="1"/>
  <c r="D68" i="19"/>
  <c r="E68" i="19" s="1"/>
  <c r="D69" i="19"/>
  <c r="E69" i="19" s="1"/>
  <c r="D70" i="19"/>
  <c r="E70" i="19" s="1"/>
  <c r="D71" i="19"/>
  <c r="E71" i="19" s="1"/>
  <c r="D72" i="19"/>
  <c r="E72" i="19" s="1"/>
  <c r="D73" i="19"/>
  <c r="E73" i="19" s="1"/>
  <c r="D74" i="19"/>
  <c r="E74" i="19" s="1"/>
  <c r="D75" i="19"/>
  <c r="E75" i="19" s="1"/>
  <c r="D76" i="19"/>
  <c r="E76" i="19"/>
  <c r="D77" i="19"/>
  <c r="E77" i="19" s="1"/>
  <c r="D78" i="19"/>
  <c r="E78" i="19" s="1"/>
  <c r="F70" i="12" s="1"/>
  <c r="D79" i="19"/>
  <c r="E79" i="19" s="1"/>
  <c r="D80" i="19"/>
  <c r="E80" i="19"/>
  <c r="F72" i="12" s="1"/>
  <c r="D81" i="19"/>
  <c r="E81" i="19" s="1"/>
  <c r="D82" i="19"/>
  <c r="E82" i="19"/>
  <c r="D83" i="19"/>
  <c r="E83" i="19" s="1"/>
  <c r="D84" i="19"/>
  <c r="E84" i="19"/>
  <c r="F76" i="12" s="1"/>
  <c r="D5" i="18"/>
  <c r="E5" i="18" s="1"/>
  <c r="D5" i="12" s="1"/>
  <c r="D6" i="18"/>
  <c r="E6" i="18" s="1"/>
  <c r="D6" i="12" s="1"/>
  <c r="D7" i="18"/>
  <c r="E7" i="18"/>
  <c r="D7" i="12" s="1"/>
  <c r="D8" i="18"/>
  <c r="E8" i="18"/>
  <c r="D9" i="18"/>
  <c r="E9" i="18"/>
  <c r="D9" i="12" s="1"/>
  <c r="D10" i="18"/>
  <c r="E10" i="18" s="1"/>
  <c r="D10" i="12" s="1"/>
  <c r="D11" i="18"/>
  <c r="E11" i="18" s="1"/>
  <c r="D11" i="12" s="1"/>
  <c r="D12" i="18"/>
  <c r="E12" i="18"/>
  <c r="D12" i="12" s="1"/>
  <c r="D13" i="18"/>
  <c r="E13" i="18" s="1"/>
  <c r="D13" i="12" s="1"/>
  <c r="D14" i="18"/>
  <c r="E14" i="18" s="1"/>
  <c r="D14" i="12" s="1"/>
  <c r="D15" i="18"/>
  <c r="E15" i="18" s="1"/>
  <c r="D15" i="12" s="1"/>
  <c r="D16" i="18"/>
  <c r="E16" i="18"/>
  <c r="D16" i="12" s="1"/>
  <c r="D17" i="18"/>
  <c r="E17" i="18"/>
  <c r="D17" i="12" s="1"/>
  <c r="D18" i="18"/>
  <c r="E18" i="18" s="1"/>
  <c r="D18" i="12" s="1"/>
  <c r="D19" i="18"/>
  <c r="E19" i="18"/>
  <c r="D20" i="18"/>
  <c r="E20" i="18" s="1"/>
  <c r="D20" i="12" s="1"/>
  <c r="D21" i="18"/>
  <c r="E21" i="18" s="1"/>
  <c r="D21" i="12" s="1"/>
  <c r="D22" i="18"/>
  <c r="E22" i="18"/>
  <c r="D22" i="12" s="1"/>
  <c r="D23" i="18"/>
  <c r="E23" i="18"/>
  <c r="D23" i="12" s="1"/>
  <c r="D24" i="18"/>
  <c r="E24" i="18" s="1"/>
  <c r="D24" i="12" s="1"/>
  <c r="D25" i="18"/>
  <c r="E25" i="18" s="1"/>
  <c r="D25" i="12" s="1"/>
  <c r="D26" i="18"/>
  <c r="E26" i="18"/>
  <c r="D26" i="12" s="1"/>
  <c r="D27" i="18"/>
  <c r="E27" i="18" s="1"/>
  <c r="D27" i="12" s="1"/>
  <c r="D28" i="18"/>
  <c r="E28" i="18"/>
  <c r="D28" i="12" s="1"/>
  <c r="D29" i="18"/>
  <c r="E29" i="18" s="1"/>
  <c r="D29" i="12" s="1"/>
  <c r="D30" i="18"/>
  <c r="E30" i="18"/>
  <c r="D30" i="12" s="1"/>
  <c r="D31" i="18"/>
  <c r="E31" i="18" s="1"/>
  <c r="D31" i="12" s="1"/>
  <c r="D32" i="18"/>
  <c r="E32" i="18" s="1"/>
  <c r="D33" i="18"/>
  <c r="E33" i="18"/>
  <c r="D34" i="18"/>
  <c r="E34" i="18"/>
  <c r="D34" i="12" s="1"/>
  <c r="D35" i="18"/>
  <c r="E35" i="18" s="1"/>
  <c r="D35" i="12" s="1"/>
  <c r="D36" i="18"/>
  <c r="E36" i="18" s="1"/>
  <c r="D36" i="12" s="1"/>
  <c r="D37" i="18"/>
  <c r="E37" i="18"/>
  <c r="D37" i="12" s="1"/>
  <c r="D38" i="18"/>
  <c r="E38" i="18"/>
  <c r="D38" i="12" s="1"/>
  <c r="D39" i="18"/>
  <c r="E39" i="18" s="1"/>
  <c r="D39" i="12" s="1"/>
  <c r="D40" i="18"/>
  <c r="E40" i="18" s="1"/>
  <c r="D40" i="12" s="1"/>
  <c r="D41" i="18"/>
  <c r="E41" i="18"/>
  <c r="D41" i="12" s="1"/>
  <c r="D42" i="18"/>
  <c r="E42" i="18"/>
  <c r="D42" i="12" s="1"/>
  <c r="D43" i="18"/>
  <c r="E43" i="18"/>
  <c r="D43" i="12" s="1"/>
  <c r="D44" i="18"/>
  <c r="E44" i="18" s="1"/>
  <c r="D44" i="12" s="1"/>
  <c r="D45" i="18"/>
  <c r="E45" i="18" s="1"/>
  <c r="D45" i="12" s="1"/>
  <c r="D46" i="18"/>
  <c r="E46" i="18"/>
  <c r="D46" i="12" s="1"/>
  <c r="D47" i="18"/>
  <c r="E47" i="18" s="1"/>
  <c r="D47" i="12" s="1"/>
  <c r="D48" i="18"/>
  <c r="E48" i="18" s="1"/>
  <c r="D48" i="12" s="1"/>
  <c r="D49" i="18"/>
  <c r="E49" i="18"/>
  <c r="D49" i="12" s="1"/>
  <c r="D50" i="18"/>
  <c r="E50" i="18"/>
  <c r="D50" i="12" s="1"/>
  <c r="D51" i="18"/>
  <c r="E51" i="18"/>
  <c r="D51" i="12" s="1"/>
  <c r="D52" i="18"/>
  <c r="E52" i="18" s="1"/>
  <c r="D52" i="12" s="1"/>
  <c r="D53" i="18"/>
  <c r="E53" i="18"/>
  <c r="D53" i="12" s="1"/>
  <c r="D54" i="18"/>
  <c r="E54" i="18" s="1"/>
  <c r="D54" i="12" s="1"/>
  <c r="D55" i="18"/>
  <c r="E55" i="18"/>
  <c r="D55" i="12" s="1"/>
  <c r="D56" i="18"/>
  <c r="E56" i="18" s="1"/>
  <c r="D57" i="18"/>
  <c r="E57" i="18"/>
  <c r="D57" i="12" s="1"/>
  <c r="D58" i="18"/>
  <c r="E58" i="18" s="1"/>
  <c r="D58" i="12" s="1"/>
  <c r="D59" i="18"/>
  <c r="E59" i="18"/>
  <c r="D59" i="12" s="1"/>
  <c r="D60" i="18"/>
  <c r="E60" i="18"/>
  <c r="D60" i="12" s="1"/>
  <c r="D61" i="18"/>
  <c r="E61" i="18"/>
  <c r="D61" i="12" s="1"/>
  <c r="D62" i="18"/>
  <c r="E62" i="18" s="1"/>
  <c r="D62" i="12" s="1"/>
  <c r="D63" i="18"/>
  <c r="E63" i="18" s="1"/>
  <c r="D63" i="12" s="1"/>
  <c r="D64" i="18"/>
  <c r="E64" i="18"/>
  <c r="D65" i="18"/>
  <c r="E65" i="18" s="1"/>
  <c r="D65" i="12" s="1"/>
  <c r="D66" i="18"/>
  <c r="E66" i="18" s="1"/>
  <c r="D66" i="12" s="1"/>
  <c r="D67" i="18"/>
  <c r="E67" i="18" s="1"/>
  <c r="D67" i="12" s="1"/>
  <c r="D68" i="18"/>
  <c r="E68" i="18" s="1"/>
  <c r="D68" i="12" s="1"/>
  <c r="D69" i="18"/>
  <c r="E69" i="18"/>
  <c r="D69" i="12" s="1"/>
  <c r="D70" i="18"/>
  <c r="E70" i="18" s="1"/>
  <c r="D70" i="12" s="1"/>
  <c r="D71" i="18"/>
  <c r="E71" i="18" s="1"/>
  <c r="D71" i="12" s="1"/>
  <c r="D72" i="18"/>
  <c r="E72" i="18"/>
  <c r="D72" i="12" s="1"/>
  <c r="D73" i="18"/>
  <c r="E73" i="18"/>
  <c r="D73" i="12" s="1"/>
  <c r="D74" i="18"/>
  <c r="E74" i="18"/>
  <c r="D74" i="12" s="1"/>
  <c r="D75" i="18"/>
  <c r="E75" i="18" s="1"/>
  <c r="D75" i="12" s="1"/>
  <c r="D76" i="18"/>
  <c r="E76" i="18"/>
  <c r="D76" i="12" s="1"/>
  <c r="E76" i="17"/>
  <c r="C76" i="12" s="1"/>
  <c r="D76" i="17"/>
  <c r="D75" i="17"/>
  <c r="E75" i="17" s="1"/>
  <c r="C75" i="12" s="1"/>
  <c r="E74" i="17"/>
  <c r="C74" i="12" s="1"/>
  <c r="D74" i="17"/>
  <c r="D73" i="17"/>
  <c r="E73" i="17" s="1"/>
  <c r="C73" i="12" s="1"/>
  <c r="E72" i="17"/>
  <c r="C72" i="12" s="1"/>
  <c r="D72" i="17"/>
  <c r="D71" i="17"/>
  <c r="E71" i="17" s="1"/>
  <c r="C71" i="12" s="1"/>
  <c r="D70" i="17"/>
  <c r="E70" i="17" s="1"/>
  <c r="C70" i="12" s="1"/>
  <c r="D69" i="17"/>
  <c r="E69" i="17" s="1"/>
  <c r="C69" i="12" s="1"/>
  <c r="D68" i="17"/>
  <c r="E68" i="17" s="1"/>
  <c r="C68" i="12" s="1"/>
  <c r="E67" i="17"/>
  <c r="C67" i="12" s="1"/>
  <c r="D67" i="17"/>
  <c r="D66" i="17"/>
  <c r="E66" i="17" s="1"/>
  <c r="C66" i="12" s="1"/>
  <c r="D65" i="17"/>
  <c r="E65" i="17" s="1"/>
  <c r="C65" i="12" s="1"/>
  <c r="D64" i="17"/>
  <c r="E64" i="17" s="1"/>
  <c r="C64" i="12" s="1"/>
  <c r="D63" i="17"/>
  <c r="E63" i="17" s="1"/>
  <c r="C63" i="12" s="1"/>
  <c r="D62" i="17"/>
  <c r="E62" i="17" s="1"/>
  <c r="C62" i="12" s="1"/>
  <c r="D61" i="17"/>
  <c r="E61" i="17" s="1"/>
  <c r="C61" i="12" s="1"/>
  <c r="D60" i="17"/>
  <c r="E60" i="17" s="1"/>
  <c r="C60" i="12" s="1"/>
  <c r="D59" i="17"/>
  <c r="E59" i="17" s="1"/>
  <c r="C59" i="12" s="1"/>
  <c r="D58" i="17"/>
  <c r="E58" i="17" s="1"/>
  <c r="C58" i="12" s="1"/>
  <c r="D57" i="17"/>
  <c r="E57" i="17" s="1"/>
  <c r="C57" i="12" s="1"/>
  <c r="D56" i="17"/>
  <c r="E56" i="17" s="1"/>
  <c r="C56" i="12" s="1"/>
  <c r="D55" i="17"/>
  <c r="E55" i="17" s="1"/>
  <c r="C55" i="12" s="1"/>
  <c r="D54" i="17"/>
  <c r="E54" i="17" s="1"/>
  <c r="C54" i="12" s="1"/>
  <c r="D53" i="17"/>
  <c r="E53" i="17" s="1"/>
  <c r="C53" i="12" s="1"/>
  <c r="D52" i="17"/>
  <c r="E52" i="17" s="1"/>
  <c r="C52" i="12" s="1"/>
  <c r="D51" i="17"/>
  <c r="E51" i="17" s="1"/>
  <c r="C51" i="12" s="1"/>
  <c r="D50" i="17"/>
  <c r="E50" i="17" s="1"/>
  <c r="C50" i="12" s="1"/>
  <c r="E49" i="17"/>
  <c r="C49" i="12" s="1"/>
  <c r="D49" i="17"/>
  <c r="D48" i="17"/>
  <c r="E48" i="17" s="1"/>
  <c r="C48" i="12" s="1"/>
  <c r="E47" i="17"/>
  <c r="C47" i="12" s="1"/>
  <c r="D47" i="17"/>
  <c r="D46" i="17"/>
  <c r="E46" i="17" s="1"/>
  <c r="C46" i="12" s="1"/>
  <c r="D45" i="17"/>
  <c r="E45" i="17" s="1"/>
  <c r="C45" i="12" s="1"/>
  <c r="D44" i="17"/>
  <c r="E44" i="17" s="1"/>
  <c r="C44" i="12" s="1"/>
  <c r="D43" i="17"/>
  <c r="E43" i="17" s="1"/>
  <c r="C43" i="12" s="1"/>
  <c r="D42" i="17"/>
  <c r="E42" i="17" s="1"/>
  <c r="C42" i="12" s="1"/>
  <c r="D41" i="17"/>
  <c r="E41" i="17" s="1"/>
  <c r="C41" i="12" s="1"/>
  <c r="D40" i="17"/>
  <c r="E40" i="17" s="1"/>
  <c r="C40" i="12" s="1"/>
  <c r="D39" i="17"/>
  <c r="E39" i="17" s="1"/>
  <c r="C39" i="12" s="1"/>
  <c r="D38" i="17"/>
  <c r="E38" i="17" s="1"/>
  <c r="C38" i="12" s="1"/>
  <c r="D37" i="17"/>
  <c r="E37" i="17" s="1"/>
  <c r="C37" i="12" s="1"/>
  <c r="D36" i="17"/>
  <c r="E36" i="17" s="1"/>
  <c r="C36" i="12" s="1"/>
  <c r="D35" i="17"/>
  <c r="E35" i="17" s="1"/>
  <c r="C35" i="12" s="1"/>
  <c r="D34" i="17"/>
  <c r="E34" i="17" s="1"/>
  <c r="C34" i="12" s="1"/>
  <c r="D33" i="17"/>
  <c r="E33" i="17" s="1"/>
  <c r="C33" i="12" s="1"/>
  <c r="D32" i="17"/>
  <c r="E32" i="17" s="1"/>
  <c r="D31" i="17"/>
  <c r="E31" i="17" s="1"/>
  <c r="C31" i="12" s="1"/>
  <c r="D30" i="17"/>
  <c r="E30" i="17" s="1"/>
  <c r="C30" i="12" s="1"/>
  <c r="D29" i="17"/>
  <c r="E29" i="17" s="1"/>
  <c r="C29" i="12" s="1"/>
  <c r="D28" i="17"/>
  <c r="E28" i="17" s="1"/>
  <c r="C28" i="12" s="1"/>
  <c r="D27" i="17"/>
  <c r="E27" i="17" s="1"/>
  <c r="C27" i="12" s="1"/>
  <c r="D26" i="17"/>
  <c r="E26" i="17" s="1"/>
  <c r="C26" i="12" s="1"/>
  <c r="E25" i="17"/>
  <c r="D25" i="17"/>
  <c r="D24" i="17"/>
  <c r="E24" i="17" s="1"/>
  <c r="C24" i="12" s="1"/>
  <c r="D23" i="17"/>
  <c r="E23" i="17" s="1"/>
  <c r="C23" i="12" s="1"/>
  <c r="D22" i="17"/>
  <c r="E22" i="17" s="1"/>
  <c r="C22" i="12" s="1"/>
  <c r="D21" i="17"/>
  <c r="E21" i="17" s="1"/>
  <c r="C21" i="12" s="1"/>
  <c r="D20" i="17"/>
  <c r="E20" i="17" s="1"/>
  <c r="C20" i="12" s="1"/>
  <c r="D19" i="17"/>
  <c r="E19" i="17" s="1"/>
  <c r="C19" i="12" s="1"/>
  <c r="E18" i="17"/>
  <c r="C18" i="12" s="1"/>
  <c r="D18" i="17"/>
  <c r="D17" i="17"/>
  <c r="E17" i="17" s="1"/>
  <c r="C17" i="12" s="1"/>
  <c r="D16" i="17"/>
  <c r="E16" i="17" s="1"/>
  <c r="C16" i="12" s="1"/>
  <c r="D15" i="17"/>
  <c r="E15" i="17" s="1"/>
  <c r="C15" i="12" s="1"/>
  <c r="D14" i="17"/>
  <c r="E14" i="17" s="1"/>
  <c r="C14" i="12" s="1"/>
  <c r="D13" i="17"/>
  <c r="E13" i="17" s="1"/>
  <c r="C13" i="12" s="1"/>
  <c r="D12" i="17"/>
  <c r="E12" i="17" s="1"/>
  <c r="C12" i="12" s="1"/>
  <c r="E11" i="17"/>
  <c r="C11" i="12" s="1"/>
  <c r="D11" i="17"/>
  <c r="D10" i="17"/>
  <c r="E10" i="17" s="1"/>
  <c r="C10" i="12" s="1"/>
  <c r="E9" i="17"/>
  <c r="C9" i="12" s="1"/>
  <c r="D9" i="17"/>
  <c r="D8" i="17"/>
  <c r="E8" i="17" s="1"/>
  <c r="C8" i="12" s="1"/>
  <c r="D7" i="17"/>
  <c r="E7" i="17" s="1"/>
  <c r="C7" i="12" s="1"/>
  <c r="D6" i="17"/>
  <c r="E6" i="17" s="1"/>
  <c r="C6" i="12" s="1"/>
  <c r="E5" i="17"/>
  <c r="C5" i="12" s="1"/>
  <c r="D5" i="17"/>
  <c r="D14" i="16"/>
  <c r="E14" i="16" s="1"/>
  <c r="B5" i="12" s="1"/>
  <c r="D15" i="16"/>
  <c r="E15" i="16"/>
  <c r="B6" i="12" s="1"/>
  <c r="D16" i="16"/>
  <c r="E16" i="16" s="1"/>
  <c r="B7" i="12" s="1"/>
  <c r="D17" i="16"/>
  <c r="E17" i="16" s="1"/>
  <c r="B8" i="12" s="1"/>
  <c r="D18" i="16"/>
  <c r="E18" i="16" s="1"/>
  <c r="B9" i="12" s="1"/>
  <c r="D19" i="16"/>
  <c r="E19" i="16" s="1"/>
  <c r="B10" i="12" s="1"/>
  <c r="D20" i="16"/>
  <c r="E20" i="16"/>
  <c r="B11" i="12" s="1"/>
  <c r="D21" i="16"/>
  <c r="E21" i="16"/>
  <c r="B12" i="12" s="1"/>
  <c r="D22" i="16"/>
  <c r="E22" i="16"/>
  <c r="B13" i="12" s="1"/>
  <c r="D23" i="16"/>
  <c r="E23" i="16"/>
  <c r="B14" i="12" s="1"/>
  <c r="D24" i="16"/>
  <c r="E24" i="16"/>
  <c r="B15" i="12" s="1"/>
  <c r="D25" i="16"/>
  <c r="E25" i="16" s="1"/>
  <c r="D26" i="16"/>
  <c r="E26" i="16" s="1"/>
  <c r="D27" i="16"/>
  <c r="E27" i="16" s="1"/>
  <c r="B18" i="12" s="1"/>
  <c r="D28" i="16"/>
  <c r="E28" i="16"/>
  <c r="B19" i="12" s="1"/>
  <c r="D29" i="16"/>
  <c r="E29" i="16" s="1"/>
  <c r="B20" i="12" s="1"/>
  <c r="D30" i="16"/>
  <c r="E30" i="16"/>
  <c r="B21" i="12" s="1"/>
  <c r="D31" i="16"/>
  <c r="E31" i="16" s="1"/>
  <c r="B22" i="12" s="1"/>
  <c r="D32" i="16"/>
  <c r="E32" i="16" s="1"/>
  <c r="B23" i="12" s="1"/>
  <c r="D33" i="16"/>
  <c r="E33" i="16"/>
  <c r="B24" i="12" s="1"/>
  <c r="D34" i="16"/>
  <c r="E34" i="16" s="1"/>
  <c r="B25" i="12" s="1"/>
  <c r="D35" i="16"/>
  <c r="E35" i="16" s="1"/>
  <c r="B26" i="12" s="1"/>
  <c r="D36" i="16"/>
  <c r="E36" i="16"/>
  <c r="B27" i="12" s="1"/>
  <c r="D37" i="16"/>
  <c r="E37" i="16"/>
  <c r="B28" i="12" s="1"/>
  <c r="D38" i="16"/>
  <c r="E38" i="16"/>
  <c r="B29" i="12" s="1"/>
  <c r="D39" i="16"/>
  <c r="E39" i="16" s="1"/>
  <c r="B30" i="12" s="1"/>
  <c r="D40" i="16"/>
  <c r="E40" i="16"/>
  <c r="B31" i="12" s="1"/>
  <c r="D41" i="16"/>
  <c r="E41" i="16" s="1"/>
  <c r="B32" i="12" s="1"/>
  <c r="D42" i="16"/>
  <c r="E42" i="16"/>
  <c r="B33" i="12" s="1"/>
  <c r="D43" i="16"/>
  <c r="E43" i="16" s="1"/>
  <c r="B34" i="12" s="1"/>
  <c r="D44" i="16"/>
  <c r="E44" i="16" s="1"/>
  <c r="B35" i="12" s="1"/>
  <c r="D45" i="16"/>
  <c r="E45" i="16" s="1"/>
  <c r="B36" i="12" s="1"/>
  <c r="M45" i="16"/>
  <c r="D46" i="16"/>
  <c r="E46" i="16"/>
  <c r="B37" i="12" s="1"/>
  <c r="M46" i="16"/>
  <c r="D47" i="16"/>
  <c r="E47" i="16" s="1"/>
  <c r="B38" i="12" s="1"/>
  <c r="M47" i="16"/>
  <c r="D48" i="16"/>
  <c r="E48" i="16"/>
  <c r="B39" i="12" s="1"/>
  <c r="M48" i="16"/>
  <c r="D49" i="16"/>
  <c r="E49" i="16" s="1"/>
  <c r="B40" i="12" s="1"/>
  <c r="M49" i="16"/>
  <c r="D50" i="16"/>
  <c r="E50" i="16"/>
  <c r="B41" i="12" s="1"/>
  <c r="M50" i="16"/>
  <c r="D51" i="16"/>
  <c r="E51" i="16" s="1"/>
  <c r="B42" i="12" s="1"/>
  <c r="M51" i="16"/>
  <c r="D52" i="16"/>
  <c r="E52" i="16" s="1"/>
  <c r="B43" i="12" s="1"/>
  <c r="M52" i="16"/>
  <c r="D53" i="16"/>
  <c r="E53" i="16" s="1"/>
  <c r="B44" i="12" s="1"/>
  <c r="M53" i="16"/>
  <c r="D54" i="16"/>
  <c r="E54" i="16" s="1"/>
  <c r="B45" i="12" s="1"/>
  <c r="M54" i="16"/>
  <c r="D55" i="16"/>
  <c r="E55" i="16" s="1"/>
  <c r="B46" i="12" s="1"/>
  <c r="M55" i="16"/>
  <c r="D56" i="16"/>
  <c r="E56" i="16" s="1"/>
  <c r="B47" i="12" s="1"/>
  <c r="M56" i="16"/>
  <c r="D57" i="16"/>
  <c r="E57" i="16" s="1"/>
  <c r="B48" i="12" s="1"/>
  <c r="M57" i="16"/>
  <c r="D58" i="16"/>
  <c r="E58" i="16" s="1"/>
  <c r="B49" i="12" s="1"/>
  <c r="M58" i="16"/>
  <c r="D59" i="16"/>
  <c r="E59" i="16" s="1"/>
  <c r="B50" i="12" s="1"/>
  <c r="M59" i="16"/>
  <c r="D60" i="16"/>
  <c r="E60" i="16" s="1"/>
  <c r="B51" i="12" s="1"/>
  <c r="M60" i="16"/>
  <c r="D61" i="16"/>
  <c r="E61" i="16" s="1"/>
  <c r="B52" i="12" s="1"/>
  <c r="M61" i="16"/>
  <c r="D62" i="16"/>
  <c r="E62" i="16" s="1"/>
  <c r="B53" i="12" s="1"/>
  <c r="M62" i="16"/>
  <c r="D63" i="16"/>
  <c r="E63" i="16"/>
  <c r="B54" i="12" s="1"/>
  <c r="M63" i="16"/>
  <c r="D64" i="16"/>
  <c r="E64" i="16"/>
  <c r="B55" i="12" s="1"/>
  <c r="M64" i="16"/>
  <c r="D65" i="16"/>
  <c r="E65" i="16" s="1"/>
  <c r="D66" i="16"/>
  <c r="E66" i="16"/>
  <c r="B57" i="12" s="1"/>
  <c r="D67" i="16"/>
  <c r="E67" i="16" s="1"/>
  <c r="B58" i="12" s="1"/>
  <c r="D68" i="16"/>
  <c r="E68" i="16"/>
  <c r="B59" i="12" s="1"/>
  <c r="D69" i="16"/>
  <c r="E69" i="16" s="1"/>
  <c r="B60" i="12" s="1"/>
  <c r="D70" i="16"/>
  <c r="E70" i="16" s="1"/>
  <c r="B61" i="12" s="1"/>
  <c r="D71" i="16"/>
  <c r="E71" i="16" s="1"/>
  <c r="B62" i="12" s="1"/>
  <c r="D72" i="16"/>
  <c r="E72" i="16" s="1"/>
  <c r="B63" i="12" s="1"/>
  <c r="D73" i="16"/>
  <c r="E73" i="16" s="1"/>
  <c r="B64" i="12" s="1"/>
  <c r="D74" i="16"/>
  <c r="E74" i="16"/>
  <c r="B65" i="12" s="1"/>
  <c r="D75" i="16"/>
  <c r="E75" i="16" s="1"/>
  <c r="B66" i="12" s="1"/>
  <c r="D76" i="16"/>
  <c r="E76" i="16" s="1"/>
  <c r="B67" i="12" s="1"/>
  <c r="D77" i="16"/>
  <c r="E77" i="16" s="1"/>
  <c r="B68" i="12" s="1"/>
  <c r="D78" i="16"/>
  <c r="E78" i="16"/>
  <c r="B69" i="12" s="1"/>
  <c r="D79" i="16"/>
  <c r="E79" i="16"/>
  <c r="B70" i="12" s="1"/>
  <c r="D80" i="16"/>
  <c r="E80" i="16" s="1"/>
  <c r="B71" i="12" s="1"/>
  <c r="D81" i="16"/>
  <c r="E81" i="16" s="1"/>
  <c r="B72" i="12" s="1"/>
  <c r="D82" i="16"/>
  <c r="E82" i="16"/>
  <c r="B73" i="12" s="1"/>
  <c r="D83" i="16"/>
  <c r="E83" i="16" s="1"/>
  <c r="B74" i="12" s="1"/>
  <c r="D84" i="16"/>
  <c r="E84" i="16" s="1"/>
  <c r="B75" i="12" s="1"/>
  <c r="D85" i="16"/>
  <c r="E85" i="16" s="1"/>
  <c r="B76" i="12" s="1"/>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7" i="12"/>
  <c r="S8" i="12"/>
  <c r="S9" i="12"/>
  <c r="S10" i="12"/>
  <c r="S11" i="12"/>
  <c r="S12" i="12"/>
  <c r="S13" i="12"/>
  <c r="S14" i="12"/>
  <c r="S15" i="12"/>
  <c r="S16" i="12"/>
  <c r="S17" i="12"/>
  <c r="S18" i="12"/>
  <c r="S19" i="12"/>
  <c r="S20" i="12"/>
  <c r="S21" i="12"/>
  <c r="S22" i="12"/>
  <c r="S23" i="12"/>
  <c r="S24" i="12"/>
  <c r="S25" i="12"/>
  <c r="S26" i="12"/>
  <c r="S27" i="12"/>
  <c r="S28" i="12"/>
  <c r="S29" i="12"/>
  <c r="S30" i="12"/>
  <c r="S31" i="12"/>
  <c r="S32" i="12"/>
  <c r="S33" i="12"/>
  <c r="S34" i="12"/>
  <c r="S35" i="12"/>
  <c r="S36" i="12"/>
  <c r="S37" i="12"/>
  <c r="S38" i="12"/>
  <c r="S39" i="12"/>
  <c r="S40" i="12"/>
  <c r="S41" i="12"/>
  <c r="S42" i="12"/>
  <c r="S43" i="12"/>
  <c r="S44" i="12"/>
  <c r="S45" i="12"/>
  <c r="S46" i="12"/>
  <c r="S47" i="12"/>
  <c r="S48" i="12"/>
  <c r="S49" i="12"/>
  <c r="S50" i="12"/>
  <c r="S51" i="12"/>
  <c r="S52" i="12"/>
  <c r="S53" i="12"/>
  <c r="S54" i="12"/>
  <c r="S55" i="12"/>
  <c r="S56" i="12"/>
  <c r="S57" i="12"/>
  <c r="S58" i="12"/>
  <c r="S59" i="12"/>
  <c r="S60" i="12"/>
  <c r="S61" i="12"/>
  <c r="S62" i="12"/>
  <c r="S63" i="12"/>
  <c r="S64" i="12"/>
  <c r="S65" i="12"/>
  <c r="S66" i="12"/>
  <c r="S67" i="12"/>
  <c r="S68" i="12"/>
  <c r="S7" i="12"/>
  <c r="Q8" i="12"/>
  <c r="Q9" i="12"/>
  <c r="Q10" i="12"/>
  <c r="Q11" i="12"/>
  <c r="Q12" i="12"/>
  <c r="Q13" i="12"/>
  <c r="Q14" i="12"/>
  <c r="Q15" i="12"/>
  <c r="Q16" i="12"/>
  <c r="Q17" i="12"/>
  <c r="Q18" i="12"/>
  <c r="Q19" i="12"/>
  <c r="Q20" i="12"/>
  <c r="Q21" i="12"/>
  <c r="Q22" i="12"/>
  <c r="Q23" i="12"/>
  <c r="Q24" i="12"/>
  <c r="Q25" i="12"/>
  <c r="Q26" i="12"/>
  <c r="Q27" i="12"/>
  <c r="Q28" i="12"/>
  <c r="Q29" i="12"/>
  <c r="Q30" i="12"/>
  <c r="Q31" i="12"/>
  <c r="Q32" i="12"/>
  <c r="Q33" i="12"/>
  <c r="Q34" i="12"/>
  <c r="Q35" i="12"/>
  <c r="Q36" i="12"/>
  <c r="Q37" i="12"/>
  <c r="Q38" i="12"/>
  <c r="Q39" i="12"/>
  <c r="Q40" i="12"/>
  <c r="Q41" i="12"/>
  <c r="Q42" i="12"/>
  <c r="Q43" i="12"/>
  <c r="Q44" i="12"/>
  <c r="Q45" i="12"/>
  <c r="Q46" i="12"/>
  <c r="Q47" i="12"/>
  <c r="Q48" i="12"/>
  <c r="Q49" i="12"/>
  <c r="Q50" i="12"/>
  <c r="Q51" i="12"/>
  <c r="Q52" i="12"/>
  <c r="Q53" i="12"/>
  <c r="Q54" i="12"/>
  <c r="Q55" i="12"/>
  <c r="Q56" i="12"/>
  <c r="Q57" i="12"/>
  <c r="Q58" i="12"/>
  <c r="Q59" i="12"/>
  <c r="Q60" i="12"/>
  <c r="Q61" i="12"/>
  <c r="Q62" i="12"/>
  <c r="Q63" i="12"/>
  <c r="Q64" i="12"/>
  <c r="Q65" i="12"/>
  <c r="Q66" i="12"/>
  <c r="Q67" i="12"/>
  <c r="Q68" i="12"/>
  <c r="Q7" i="12"/>
  <c r="G62" i="15"/>
  <c r="G50" i="15"/>
  <c r="G38" i="15"/>
  <c r="G26" i="15"/>
  <c r="G14" i="15"/>
  <c r="Y8" i="12"/>
  <c r="Y9" i="12"/>
  <c r="Y10" i="12"/>
  <c r="Y16" i="12"/>
  <c r="Y17" i="12"/>
  <c r="Y18" i="12"/>
  <c r="Y24" i="12"/>
  <c r="Y25" i="12"/>
  <c r="Y26" i="12"/>
  <c r="C28" i="14"/>
  <c r="Y30" i="12" s="1"/>
  <c r="C27" i="14"/>
  <c r="Y29" i="12" s="1"/>
  <c r="C26" i="14"/>
  <c r="Y28" i="12" s="1"/>
  <c r="C25" i="14"/>
  <c r="Y27" i="12" s="1"/>
  <c r="C24" i="14"/>
  <c r="C23" i="14"/>
  <c r="C22" i="14"/>
  <c r="C21" i="14"/>
  <c r="Y23" i="12" s="1"/>
  <c r="C20" i="14"/>
  <c r="Y22" i="12" s="1"/>
  <c r="C19" i="14"/>
  <c r="Y21" i="12" s="1"/>
  <c r="C18" i="14"/>
  <c r="Y20" i="12" s="1"/>
  <c r="C17" i="14"/>
  <c r="Y19" i="12" s="1"/>
  <c r="C16" i="14"/>
  <c r="C15" i="14"/>
  <c r="C14" i="14"/>
  <c r="C13" i="14"/>
  <c r="Y15" i="12" s="1"/>
  <c r="C12" i="14"/>
  <c r="Y14" i="12" s="1"/>
  <c r="C11" i="14"/>
  <c r="Y13" i="12" s="1"/>
  <c r="C10" i="14"/>
  <c r="Y12" i="12" s="1"/>
  <c r="C9" i="14"/>
  <c r="Y11" i="12" s="1"/>
  <c r="C8" i="14"/>
  <c r="C7" i="14"/>
  <c r="C6" i="14"/>
  <c r="C5" i="14"/>
  <c r="Y7" i="12" s="1"/>
  <c r="P7" i="12"/>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L86" i="12"/>
  <c r="L87" i="12" s="1"/>
  <c r="AB18" i="6" s="1"/>
  <c r="L85" i="12"/>
  <c r="L84" i="12"/>
  <c r="L83" i="12"/>
  <c r="L82" i="12"/>
  <c r="L81" i="12"/>
  <c r="P76" i="12"/>
  <c r="N76" i="12"/>
  <c r="P75" i="12"/>
  <c r="N75" i="12"/>
  <c r="P74" i="12"/>
  <c r="N74" i="12"/>
  <c r="F74" i="12"/>
  <c r="P73" i="12"/>
  <c r="N73" i="12"/>
  <c r="P72" i="12"/>
  <c r="N72" i="12"/>
  <c r="P71" i="12"/>
  <c r="N71" i="12"/>
  <c r="P70" i="12"/>
  <c r="N70" i="12"/>
  <c r="P69" i="12"/>
  <c r="N69" i="12"/>
  <c r="P68" i="12"/>
  <c r="N68" i="12"/>
  <c r="F68" i="12"/>
  <c r="P67" i="12"/>
  <c r="N67" i="12"/>
  <c r="P66" i="12"/>
  <c r="N66" i="12"/>
  <c r="P65" i="12"/>
  <c r="N65" i="12"/>
  <c r="P64" i="12"/>
  <c r="N64" i="12"/>
  <c r="P63" i="12"/>
  <c r="N63" i="12"/>
  <c r="P62" i="12"/>
  <c r="N62" i="12"/>
  <c r="P61" i="12"/>
  <c r="N61" i="12"/>
  <c r="P60" i="12"/>
  <c r="N60" i="12"/>
  <c r="P59" i="12"/>
  <c r="N59" i="12"/>
  <c r="P58" i="12"/>
  <c r="N58" i="12"/>
  <c r="P57" i="12"/>
  <c r="N57" i="12"/>
  <c r="F57" i="12"/>
  <c r="P56" i="12"/>
  <c r="N56" i="12"/>
  <c r="P55" i="12"/>
  <c r="N55" i="12"/>
  <c r="F55" i="12"/>
  <c r="P54" i="12"/>
  <c r="N54" i="12"/>
  <c r="P53" i="12"/>
  <c r="N53" i="12"/>
  <c r="P52" i="12"/>
  <c r="N52" i="12"/>
  <c r="P51" i="12"/>
  <c r="N51" i="12"/>
  <c r="F51" i="12"/>
  <c r="P50" i="12"/>
  <c r="N50" i="12"/>
  <c r="P49" i="12"/>
  <c r="N49" i="12"/>
  <c r="P48" i="12"/>
  <c r="N48" i="12"/>
  <c r="P47" i="12"/>
  <c r="N47" i="12"/>
  <c r="P46" i="12"/>
  <c r="N46" i="12"/>
  <c r="P45" i="12"/>
  <c r="N45" i="12"/>
  <c r="P44" i="12"/>
  <c r="N44" i="12"/>
  <c r="P43" i="12"/>
  <c r="N43" i="12"/>
  <c r="F43" i="12"/>
  <c r="P42" i="12"/>
  <c r="N42" i="12"/>
  <c r="F42" i="12"/>
  <c r="P41" i="12"/>
  <c r="N41" i="12"/>
  <c r="P40" i="12"/>
  <c r="N40" i="12"/>
  <c r="F40" i="12"/>
  <c r="P39" i="12"/>
  <c r="N39" i="12"/>
  <c r="P38" i="12"/>
  <c r="N38" i="12"/>
  <c r="P37" i="12"/>
  <c r="N37" i="12"/>
  <c r="P36" i="12"/>
  <c r="N36" i="12"/>
  <c r="F36" i="12"/>
  <c r="P35" i="12"/>
  <c r="N35" i="12"/>
  <c r="P34" i="12"/>
  <c r="N34" i="12"/>
  <c r="P33" i="12"/>
  <c r="N33" i="12"/>
  <c r="P32" i="12"/>
  <c r="N32" i="12"/>
  <c r="P31" i="12"/>
  <c r="N31" i="12"/>
  <c r="P30" i="12"/>
  <c r="N30" i="12"/>
  <c r="P29" i="12"/>
  <c r="N29" i="12"/>
  <c r="P28" i="12"/>
  <c r="N28" i="12"/>
  <c r="P27" i="12"/>
  <c r="N27" i="12"/>
  <c r="P26" i="12"/>
  <c r="N26" i="12"/>
  <c r="P25" i="12"/>
  <c r="N25" i="12"/>
  <c r="P24" i="12"/>
  <c r="N24" i="12"/>
  <c r="P23" i="12"/>
  <c r="N23" i="12"/>
  <c r="P22" i="12"/>
  <c r="N22" i="12"/>
  <c r="P21" i="12"/>
  <c r="N21" i="12"/>
  <c r="P20" i="12"/>
  <c r="N20" i="12"/>
  <c r="F20" i="12"/>
  <c r="P19" i="12"/>
  <c r="N19" i="12"/>
  <c r="P18" i="12"/>
  <c r="N18" i="12"/>
  <c r="P17" i="12"/>
  <c r="N17" i="12"/>
  <c r="P16" i="12"/>
  <c r="N16" i="12"/>
  <c r="P15" i="12"/>
  <c r="N15" i="12"/>
  <c r="P14" i="12"/>
  <c r="N14" i="12"/>
  <c r="P13" i="12"/>
  <c r="N13" i="12"/>
  <c r="F13" i="12"/>
  <c r="P12" i="12"/>
  <c r="N12" i="12"/>
  <c r="P11" i="12"/>
  <c r="N11" i="12"/>
  <c r="P10" i="12"/>
  <c r="N10" i="12"/>
  <c r="P9" i="12"/>
  <c r="N9" i="12"/>
  <c r="P8" i="12"/>
  <c r="N8" i="12"/>
  <c r="N7" i="12"/>
  <c r="P6" i="12"/>
  <c r="N6" i="12"/>
  <c r="F6" i="12"/>
  <c r="P5" i="12"/>
  <c r="N5" i="12"/>
  <c r="P4" i="12"/>
  <c r="N4" i="12"/>
  <c r="E86" i="12" l="1"/>
  <c r="E87" i="12" s="1"/>
  <c r="K25" i="20"/>
  <c r="F74" i="21"/>
  <c r="G55" i="12"/>
  <c r="G66" i="18"/>
  <c r="D56" i="12"/>
  <c r="G30" i="18"/>
  <c r="D19" i="12"/>
  <c r="D86" i="12" s="1"/>
  <c r="D87" i="12" s="1"/>
  <c r="C36" i="8"/>
  <c r="O62" i="16"/>
  <c r="Q42" i="19"/>
  <c r="M37" i="21"/>
  <c r="E81" i="12"/>
  <c r="S11" i="6" s="1"/>
  <c r="E85" i="12"/>
  <c r="W11" i="6" s="1"/>
  <c r="E82" i="12"/>
  <c r="T11" i="6" s="1"/>
  <c r="E83" i="12"/>
  <c r="U11" i="6" s="1"/>
  <c r="U10" i="6" s="1"/>
  <c r="E84" i="12"/>
  <c r="V11" i="6" s="1"/>
  <c r="L44" i="22"/>
  <c r="M34" i="23"/>
  <c r="G67" i="24"/>
  <c r="D84" i="12"/>
  <c r="V9" i="6" s="1"/>
  <c r="C85" i="12"/>
  <c r="W8" i="6" s="1"/>
  <c r="D85" i="12"/>
  <c r="W9" i="6" s="1"/>
  <c r="D83" i="12"/>
  <c r="U9" i="6" s="1"/>
  <c r="C35" i="8"/>
  <c r="AD18" i="6"/>
  <c r="D81" i="12"/>
  <c r="S9" i="6" s="1"/>
  <c r="C83" i="12"/>
  <c r="U8" i="6" s="1"/>
  <c r="C86" i="12"/>
  <c r="C87" i="12" s="1"/>
  <c r="C84" i="12"/>
  <c r="V8" i="6" s="1"/>
  <c r="C82" i="12"/>
  <c r="T8" i="6" s="1"/>
  <c r="G19" i="24"/>
  <c r="G31" i="24"/>
  <c r="G43" i="24"/>
  <c r="G55" i="24"/>
  <c r="B83" i="12"/>
  <c r="U7" i="6" s="1"/>
  <c r="C81" i="12"/>
  <c r="S8" i="6" s="1"/>
  <c r="B85" i="12"/>
  <c r="W7" i="6" s="1"/>
  <c r="B86" i="12"/>
  <c r="B87" i="12" s="1"/>
  <c r="B82" i="12"/>
  <c r="T7" i="6" s="1"/>
  <c r="B84" i="12"/>
  <c r="V7" i="6" s="1"/>
  <c r="B81" i="12"/>
  <c r="S7" i="6" s="1"/>
  <c r="H41" i="23"/>
  <c r="H42" i="23" s="1"/>
  <c r="I47" i="23"/>
  <c r="F38" i="21"/>
  <c r="E90" i="21"/>
  <c r="F90" i="21" s="1"/>
  <c r="F62" i="21"/>
  <c r="F50" i="21"/>
  <c r="G82" i="12"/>
  <c r="T14" i="6" s="1"/>
  <c r="U68" i="12"/>
  <c r="F26" i="21"/>
  <c r="F62" i="20"/>
  <c r="F74" i="20"/>
  <c r="E87" i="20"/>
  <c r="F87" i="20" s="1"/>
  <c r="F38" i="20"/>
  <c r="F50" i="20"/>
  <c r="F26" i="20"/>
  <c r="F45" i="12"/>
  <c r="F39" i="12"/>
  <c r="F23" i="12"/>
  <c r="F16" i="12"/>
  <c r="F7" i="12"/>
  <c r="D86" i="19"/>
  <c r="E86" i="19" s="1"/>
  <c r="J26" i="19"/>
  <c r="F67" i="12"/>
  <c r="F63" i="12"/>
  <c r="F59" i="12"/>
  <c r="J74" i="19"/>
  <c r="F56" i="12"/>
  <c r="F73" i="12"/>
  <c r="F35" i="12"/>
  <c r="F29" i="12"/>
  <c r="F27" i="12"/>
  <c r="F18" i="12"/>
  <c r="F9" i="12"/>
  <c r="F47" i="12"/>
  <c r="F62" i="12"/>
  <c r="F41" i="12"/>
  <c r="F69" i="12"/>
  <c r="F66" i="12"/>
  <c r="F58" i="12"/>
  <c r="F15" i="12"/>
  <c r="F75" i="12"/>
  <c r="F65" i="12"/>
  <c r="F61" i="12"/>
  <c r="F37" i="12"/>
  <c r="F26" i="12"/>
  <c r="F17" i="12"/>
  <c r="F8" i="12"/>
  <c r="F49" i="12"/>
  <c r="J50" i="19"/>
  <c r="F32" i="12"/>
  <c r="F71" i="12"/>
  <c r="F64" i="12"/>
  <c r="F60" i="12"/>
  <c r="F21" i="12"/>
  <c r="F19" i="12"/>
  <c r="J38" i="19"/>
  <c r="F10" i="12"/>
  <c r="F5" i="12"/>
  <c r="F33" i="12"/>
  <c r="F48" i="12"/>
  <c r="F22" i="12"/>
  <c r="F30" i="12"/>
  <c r="F46" i="12"/>
  <c r="F54" i="12"/>
  <c r="J62" i="19"/>
  <c r="F44" i="12"/>
  <c r="F52" i="12"/>
  <c r="U15" i="12"/>
  <c r="U47" i="12"/>
  <c r="U31" i="12"/>
  <c r="U23" i="12"/>
  <c r="U39" i="12"/>
  <c r="G42" i="18"/>
  <c r="G18" i="18"/>
  <c r="G54" i="18"/>
  <c r="G54" i="17"/>
  <c r="G30" i="17"/>
  <c r="G18" i="17"/>
  <c r="G66" i="17"/>
  <c r="G42" i="17"/>
  <c r="U55" i="12"/>
  <c r="U62" i="12"/>
  <c r="H63" i="16"/>
  <c r="H51" i="16"/>
  <c r="H39" i="16"/>
  <c r="U21" i="12"/>
  <c r="U37" i="12"/>
  <c r="U53" i="12"/>
  <c r="H75" i="16"/>
  <c r="U45" i="12"/>
  <c r="H27" i="16"/>
  <c r="U13" i="12"/>
  <c r="U29" i="12"/>
  <c r="U61" i="12"/>
  <c r="U63" i="12"/>
  <c r="U14" i="12"/>
  <c r="U22" i="12"/>
  <c r="U30" i="12"/>
  <c r="U38" i="12"/>
  <c r="U46" i="12"/>
  <c r="U54" i="12"/>
  <c r="U12" i="12"/>
  <c r="U20" i="12"/>
  <c r="U28" i="12"/>
  <c r="U36" i="12"/>
  <c r="U44" i="12"/>
  <c r="U52" i="12"/>
  <c r="U60" i="12"/>
  <c r="U57" i="12"/>
  <c r="U8" i="12"/>
  <c r="U49" i="12"/>
  <c r="U64" i="12"/>
  <c r="U17" i="12"/>
  <c r="U41" i="12"/>
  <c r="U9" i="12"/>
  <c r="U33" i="12"/>
  <c r="U25" i="12"/>
  <c r="U65" i="12"/>
  <c r="U10" i="12"/>
  <c r="U18" i="12"/>
  <c r="U26" i="12"/>
  <c r="U34" i="12"/>
  <c r="U42" i="12"/>
  <c r="U50" i="12"/>
  <c r="U58" i="12"/>
  <c r="U66" i="12"/>
  <c r="U11" i="12"/>
  <c r="U43" i="12"/>
  <c r="U16" i="12"/>
  <c r="U24" i="12"/>
  <c r="U32" i="12"/>
  <c r="U40" i="12"/>
  <c r="U48" i="12"/>
  <c r="U56" i="12"/>
  <c r="U51" i="12"/>
  <c r="U67" i="12"/>
  <c r="U27" i="12"/>
  <c r="U7" i="12"/>
  <c r="U19" i="12"/>
  <c r="U35" i="12"/>
  <c r="U59" i="12"/>
  <c r="F7" i="13"/>
  <c r="Y82" i="12"/>
  <c r="Y81" i="12"/>
  <c r="T8" i="12"/>
  <c r="I84" i="12"/>
  <c r="K84" i="12"/>
  <c r="V16" i="6" s="1"/>
  <c r="G83" i="12"/>
  <c r="U14" i="6" s="1"/>
  <c r="F55" i="13"/>
  <c r="F63" i="13"/>
  <c r="F14" i="13"/>
  <c r="F61" i="13"/>
  <c r="F53" i="13"/>
  <c r="F8" i="13"/>
  <c r="F65" i="13"/>
  <c r="F10" i="13"/>
  <c r="F18" i="13"/>
  <c r="F26" i="13"/>
  <c r="F34" i="13"/>
  <c r="F42" i="13"/>
  <c r="F50" i="13"/>
  <c r="F58" i="13"/>
  <c r="F66" i="13"/>
  <c r="F22" i="13"/>
  <c r="F30" i="13"/>
  <c r="F38" i="13"/>
  <c r="F46" i="13"/>
  <c r="V54" i="12"/>
  <c r="F9" i="13"/>
  <c r="F17" i="13"/>
  <c r="F25" i="13"/>
  <c r="F33" i="13"/>
  <c r="F41" i="13"/>
  <c r="F49" i="13"/>
  <c r="F57" i="13"/>
  <c r="V62" i="12"/>
  <c r="F13" i="13"/>
  <c r="F21" i="13"/>
  <c r="F29" i="13"/>
  <c r="F37" i="13"/>
  <c r="F45" i="13"/>
  <c r="F16" i="13"/>
  <c r="F24" i="13"/>
  <c r="F32" i="13"/>
  <c r="F40" i="13"/>
  <c r="F48" i="13"/>
  <c r="F56" i="13"/>
  <c r="F64" i="13"/>
  <c r="F12" i="13"/>
  <c r="F20" i="13"/>
  <c r="F28" i="13"/>
  <c r="F36" i="13"/>
  <c r="F44" i="13"/>
  <c r="F52" i="13"/>
  <c r="F60" i="13"/>
  <c r="F15" i="13"/>
  <c r="F23" i="13"/>
  <c r="F31" i="13"/>
  <c r="F39" i="13"/>
  <c r="F47" i="13"/>
  <c r="F11" i="13"/>
  <c r="F19" i="13"/>
  <c r="F27" i="13"/>
  <c r="F35" i="13"/>
  <c r="F43" i="13"/>
  <c r="F51" i="13"/>
  <c r="F59" i="13"/>
  <c r="F62" i="13"/>
  <c r="F54" i="13"/>
  <c r="T38" i="12"/>
  <c r="T46" i="12"/>
  <c r="V14" i="12"/>
  <c r="V30" i="12"/>
  <c r="O75" i="12"/>
  <c r="V41" i="12"/>
  <c r="V16" i="12"/>
  <c r="T24" i="12"/>
  <c r="V56" i="12"/>
  <c r="T64" i="12"/>
  <c r="V20" i="12"/>
  <c r="V36" i="12"/>
  <c r="V60" i="12"/>
  <c r="V68" i="12"/>
  <c r="V57" i="12"/>
  <c r="V65" i="12"/>
  <c r="V55" i="12"/>
  <c r="V34" i="12"/>
  <c r="T42" i="12"/>
  <c r="T18" i="12"/>
  <c r="V13" i="12"/>
  <c r="V29" i="12"/>
  <c r="V45" i="12"/>
  <c r="V53" i="12"/>
  <c r="V61" i="12"/>
  <c r="V11" i="12"/>
  <c r="V19" i="12"/>
  <c r="V27" i="12"/>
  <c r="V35" i="12"/>
  <c r="V43" i="12"/>
  <c r="V51" i="12"/>
  <c r="V59" i="12"/>
  <c r="V67" i="12"/>
  <c r="V58" i="12"/>
  <c r="V9" i="12"/>
  <c r="V25" i="12"/>
  <c r="V33" i="12"/>
  <c r="V49" i="12"/>
  <c r="T23" i="12"/>
  <c r="V47" i="12"/>
  <c r="T63" i="12"/>
  <c r="O22" i="12"/>
  <c r="V42" i="12"/>
  <c r="O68" i="12"/>
  <c r="Y68" i="12" s="1"/>
  <c r="T40" i="12"/>
  <c r="T54" i="12"/>
  <c r="T56" i="12"/>
  <c r="T58" i="12"/>
  <c r="T60" i="12"/>
  <c r="T62" i="12"/>
  <c r="T67" i="12"/>
  <c r="V23" i="12"/>
  <c r="T22" i="12"/>
  <c r="V32" i="12"/>
  <c r="T34" i="12"/>
  <c r="O8" i="12"/>
  <c r="T10" i="12"/>
  <c r="V10" i="12"/>
  <c r="N82" i="12"/>
  <c r="T21" i="12"/>
  <c r="T31" i="12"/>
  <c r="V31" i="12"/>
  <c r="T32" i="12"/>
  <c r="T35" i="12"/>
  <c r="T36" i="12"/>
  <c r="V37" i="12"/>
  <c r="V38" i="12"/>
  <c r="T52" i="12"/>
  <c r="V52" i="12"/>
  <c r="V63" i="12"/>
  <c r="V64" i="12"/>
  <c r="T65" i="12"/>
  <c r="O74" i="12"/>
  <c r="O5" i="12"/>
  <c r="T50" i="12"/>
  <c r="V50" i="12"/>
  <c r="T48" i="12"/>
  <c r="V48" i="12"/>
  <c r="T12" i="12"/>
  <c r="V17" i="12"/>
  <c r="V46" i="12"/>
  <c r="O16" i="12"/>
  <c r="V18" i="12"/>
  <c r="V28" i="12"/>
  <c r="T15" i="12"/>
  <c r="V15" i="12"/>
  <c r="O24" i="12"/>
  <c r="T26" i="12"/>
  <c r="V26" i="12"/>
  <c r="T44" i="12"/>
  <c r="V44" i="12"/>
  <c r="O70" i="12"/>
  <c r="T30" i="12"/>
  <c r="T9" i="12"/>
  <c r="O15" i="12"/>
  <c r="T17" i="12"/>
  <c r="G81" i="12"/>
  <c r="S14" i="6" s="1"/>
  <c r="G86" i="12"/>
  <c r="G87" i="12" s="1"/>
  <c r="O14" i="12"/>
  <c r="T16" i="12"/>
  <c r="H81" i="12"/>
  <c r="S15" i="6" s="1"/>
  <c r="H86" i="12"/>
  <c r="H87" i="12" s="1"/>
  <c r="V7" i="12"/>
  <c r="V8" i="12"/>
  <c r="O13" i="12"/>
  <c r="K82" i="12"/>
  <c r="T16" i="6" s="1"/>
  <c r="O21" i="12"/>
  <c r="V24" i="12"/>
  <c r="O29" i="12"/>
  <c r="T37" i="12"/>
  <c r="O39" i="12"/>
  <c r="Y39" i="12" s="1"/>
  <c r="V40" i="12"/>
  <c r="O71" i="12"/>
  <c r="T13" i="12"/>
  <c r="O27" i="12"/>
  <c r="T29" i="12"/>
  <c r="H83" i="12"/>
  <c r="U15" i="6" s="1"/>
  <c r="O33" i="12"/>
  <c r="Y33" i="12" s="1"/>
  <c r="T39" i="12"/>
  <c r="O41" i="12"/>
  <c r="Y41" i="12" s="1"/>
  <c r="O43" i="12"/>
  <c r="Y43" i="12" s="1"/>
  <c r="O45" i="12"/>
  <c r="Y45" i="12" s="1"/>
  <c r="O47" i="12"/>
  <c r="Y47" i="12" s="1"/>
  <c r="O49" i="12"/>
  <c r="Y49" i="12" s="1"/>
  <c r="O51" i="12"/>
  <c r="Y51" i="12" s="1"/>
  <c r="O53" i="12"/>
  <c r="Y53" i="12" s="1"/>
  <c r="O55" i="12"/>
  <c r="Y55" i="12" s="1"/>
  <c r="O57" i="12"/>
  <c r="Y57" i="12" s="1"/>
  <c r="O59" i="12"/>
  <c r="Y59" i="12" s="1"/>
  <c r="O61" i="12"/>
  <c r="Y61" i="12" s="1"/>
  <c r="O12" i="12"/>
  <c r="O20" i="12"/>
  <c r="V22" i="12"/>
  <c r="T20" i="12"/>
  <c r="V21" i="12"/>
  <c r="O26" i="12"/>
  <c r="T28" i="12"/>
  <c r="I83" i="12"/>
  <c r="O38" i="12"/>
  <c r="Y38" i="12" s="1"/>
  <c r="V39" i="12"/>
  <c r="T14" i="12"/>
  <c r="O63" i="12"/>
  <c r="Y63" i="12" s="1"/>
  <c r="O6" i="12"/>
  <c r="O9" i="12"/>
  <c r="T11" i="12"/>
  <c r="V12" i="12"/>
  <c r="O17" i="12"/>
  <c r="T19" i="12"/>
  <c r="O25" i="12"/>
  <c r="T27" i="12"/>
  <c r="K83" i="12"/>
  <c r="U16" i="6" s="1"/>
  <c r="O32" i="12"/>
  <c r="Y32" i="12" s="1"/>
  <c r="T33" i="12"/>
  <c r="O35" i="12"/>
  <c r="Y35" i="12" s="1"/>
  <c r="T41" i="12"/>
  <c r="T43" i="12"/>
  <c r="T45" i="12"/>
  <c r="T47" i="12"/>
  <c r="T49" i="12"/>
  <c r="T51" i="12"/>
  <c r="T53" i="12"/>
  <c r="T55" i="12"/>
  <c r="T57" i="12"/>
  <c r="T59" i="12"/>
  <c r="T61" i="12"/>
  <c r="O28" i="12"/>
  <c r="O11" i="12"/>
  <c r="O19" i="12"/>
  <c r="N86" i="12"/>
  <c r="N81" i="12"/>
  <c r="K86" i="12"/>
  <c r="K87" i="12" s="1"/>
  <c r="AB17" i="6" s="1"/>
  <c r="K81" i="12"/>
  <c r="S16" i="6" s="1"/>
  <c r="O10" i="12"/>
  <c r="O18" i="12"/>
  <c r="O7" i="12"/>
  <c r="O40" i="12"/>
  <c r="Y40" i="12" s="1"/>
  <c r="I81" i="12"/>
  <c r="I86" i="12"/>
  <c r="I87" i="12" s="1"/>
  <c r="O23" i="12"/>
  <c r="N83" i="12"/>
  <c r="O31" i="12"/>
  <c r="Y31" i="12" s="1"/>
  <c r="O37" i="12"/>
  <c r="Y37" i="12" s="1"/>
  <c r="N84" i="12"/>
  <c r="O42" i="12"/>
  <c r="Y42" i="12" s="1"/>
  <c r="G84" i="12"/>
  <c r="V14" i="6" s="1"/>
  <c r="O44" i="12"/>
  <c r="Y44" i="12" s="1"/>
  <c r="O46" i="12"/>
  <c r="Y46" i="12" s="1"/>
  <c r="O48" i="12"/>
  <c r="Y48" i="12" s="1"/>
  <c r="O50" i="12"/>
  <c r="Y50" i="12" s="1"/>
  <c r="O52" i="12"/>
  <c r="Y52" i="12" s="1"/>
  <c r="N85" i="12"/>
  <c r="O54" i="12"/>
  <c r="Y54" i="12" s="1"/>
  <c r="G85" i="12"/>
  <c r="W14" i="6" s="1"/>
  <c r="O56" i="12"/>
  <c r="Y56" i="12" s="1"/>
  <c r="O58" i="12"/>
  <c r="Y58" i="12" s="1"/>
  <c r="O60" i="12"/>
  <c r="Y60" i="12" s="1"/>
  <c r="O62" i="12"/>
  <c r="Y62" i="12" s="1"/>
  <c r="V66" i="12"/>
  <c r="O36" i="12"/>
  <c r="Y36" i="12" s="1"/>
  <c r="H82" i="12"/>
  <c r="T15" i="6" s="1"/>
  <c r="T25" i="12"/>
  <c r="T7" i="12"/>
  <c r="I82" i="12"/>
  <c r="O30" i="12"/>
  <c r="O34" i="12"/>
  <c r="Y34" i="12" s="1"/>
  <c r="H84" i="12"/>
  <c r="V15" i="6" s="1"/>
  <c r="H85" i="12"/>
  <c r="W15" i="6" s="1"/>
  <c r="O66" i="12"/>
  <c r="Y66" i="12" s="1"/>
  <c r="I85" i="12"/>
  <c r="O65" i="12"/>
  <c r="Y65" i="12" s="1"/>
  <c r="T66" i="12"/>
  <c r="O69" i="12"/>
  <c r="K85" i="12"/>
  <c r="W16" i="6" s="1"/>
  <c r="O76" i="12"/>
  <c r="O64" i="12"/>
  <c r="Y64" i="12" s="1"/>
  <c r="O67" i="12"/>
  <c r="Y67" i="12" s="1"/>
  <c r="T68" i="12"/>
  <c r="O73" i="12"/>
  <c r="O72" i="12"/>
  <c r="T6" i="6"/>
  <c r="S6" i="6"/>
  <c r="X6" i="6" s="1"/>
  <c r="M308" i="2"/>
  <c r="W6" i="6" s="1"/>
  <c r="M296" i="2"/>
  <c r="V6" i="6" s="1"/>
  <c r="M284" i="2"/>
  <c r="U6" i="6" s="1"/>
  <c r="M272" i="2"/>
  <c r="M260" i="2"/>
  <c r="D82" i="12" l="1"/>
  <c r="T9" i="6" s="1"/>
  <c r="X9" i="6" s="1"/>
  <c r="W10" i="6"/>
  <c r="X7" i="6"/>
  <c r="S10" i="6"/>
  <c r="X11" i="6"/>
  <c r="J18" i="18"/>
  <c r="X15" i="6"/>
  <c r="AB8" i="6" s="1"/>
  <c r="J19" i="24"/>
  <c r="X14" i="6"/>
  <c r="AB7" i="6" s="1"/>
  <c r="T10" i="6"/>
  <c r="X16" i="6"/>
  <c r="AC17" i="6"/>
  <c r="AD17" i="6"/>
  <c r="V10" i="6"/>
  <c r="N87" i="12"/>
  <c r="AB13" i="6" s="1"/>
  <c r="AC13" i="6" s="1"/>
  <c r="C45" i="8"/>
  <c r="X8" i="6"/>
  <c r="F85" i="12"/>
  <c r="W13" i="6" s="1"/>
  <c r="F81" i="12"/>
  <c r="F86" i="12"/>
  <c r="F87" i="12" s="1"/>
  <c r="F84" i="12"/>
  <c r="V13" i="6" s="1"/>
  <c r="F83" i="12"/>
  <c r="U13" i="6" s="1"/>
  <c r="F82" i="12"/>
  <c r="T13" i="6" s="1"/>
  <c r="H48" i="23"/>
  <c r="H47" i="23"/>
  <c r="E91" i="21"/>
  <c r="E92" i="21"/>
  <c r="E90" i="20"/>
  <c r="E89" i="20"/>
  <c r="D89" i="19"/>
  <c r="D88" i="19"/>
  <c r="J18" i="17"/>
  <c r="U85" i="12"/>
  <c r="U83" i="12"/>
  <c r="U82" i="12"/>
  <c r="U81" i="12"/>
  <c r="U86" i="12"/>
  <c r="U87" i="12" s="1"/>
  <c r="U84" i="12"/>
  <c r="Y83" i="12"/>
  <c r="V82" i="12"/>
  <c r="V84" i="12"/>
  <c r="T83" i="12"/>
  <c r="V83" i="12"/>
  <c r="T82" i="12"/>
  <c r="Y85" i="12"/>
  <c r="Y84" i="12"/>
  <c r="V85" i="12"/>
  <c r="T84" i="12"/>
  <c r="T86" i="12"/>
  <c r="T87" i="12" s="1"/>
  <c r="AC19" i="6" s="1"/>
  <c r="AC20" i="6" s="1"/>
  <c r="T81" i="12"/>
  <c r="V86" i="12"/>
  <c r="V87" i="12" s="1"/>
  <c r="AD19" i="6" s="1"/>
  <c r="V81" i="12"/>
  <c r="T85" i="12"/>
  <c r="AR29" i="1"/>
  <c r="AR28" i="1"/>
  <c r="AR27" i="1"/>
  <c r="AR21" i="1"/>
  <c r="AR20" i="1"/>
  <c r="AR19" i="1"/>
  <c r="AR13" i="1"/>
  <c r="AR12" i="1"/>
  <c r="AR11" i="1"/>
  <c r="AR5" i="1"/>
  <c r="O242" i="2"/>
  <c r="O243" i="2"/>
  <c r="O244" i="2"/>
  <c r="O245" i="2"/>
  <c r="O24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247" i="2"/>
  <c r="L363" i="2"/>
  <c r="AO14" i="6" s="1"/>
  <c r="L351" i="2"/>
  <c r="AN14" i="6" s="1"/>
  <c r="L339" i="2"/>
  <c r="AM14" i="6" s="1"/>
  <c r="L327" i="2"/>
  <c r="AL14" i="6" s="1"/>
  <c r="AP14" i="6" s="1"/>
  <c r="AT17" i="6" s="1"/>
  <c r="L315" i="2"/>
  <c r="AR30" i="1" s="1"/>
  <c r="L303" i="2"/>
  <c r="L291" i="2"/>
  <c r="L279" i="2"/>
  <c r="L267" i="2"/>
  <c r="AR26" i="1" s="1"/>
  <c r="L255" i="2"/>
  <c r="AR25" i="1" s="1"/>
  <c r="L243" i="2"/>
  <c r="AR24" i="1" s="1"/>
  <c r="L231" i="2"/>
  <c r="AR23" i="1" s="1"/>
  <c r="L219" i="2"/>
  <c r="AR22" i="1" s="1"/>
  <c r="L207" i="2"/>
  <c r="L195" i="2"/>
  <c r="L183" i="2"/>
  <c r="L171" i="2"/>
  <c r="AR18" i="1" s="1"/>
  <c r="L159" i="2"/>
  <c r="AR17" i="1" s="1"/>
  <c r="L147" i="2"/>
  <c r="AR16" i="1" s="1"/>
  <c r="L135" i="2"/>
  <c r="AR15" i="1" s="1"/>
  <c r="L123" i="2"/>
  <c r="AR14" i="1" s="1"/>
  <c r="L111" i="2"/>
  <c r="L99" i="2"/>
  <c r="L87" i="2"/>
  <c r="L75" i="2"/>
  <c r="AR10" i="1" s="1"/>
  <c r="L63" i="2"/>
  <c r="AR9" i="1" s="1"/>
  <c r="L51" i="2"/>
  <c r="AR8" i="1" s="1"/>
  <c r="L39" i="2"/>
  <c r="AR7" i="1" s="1"/>
  <c r="L27" i="2"/>
  <c r="AR6" i="1" s="1"/>
  <c r="L15" i="2"/>
  <c r="AC8" i="6" l="1"/>
  <c r="AD8" i="6"/>
  <c r="P351" i="2"/>
  <c r="AS33" i="1" s="1"/>
  <c r="X10" i="6"/>
  <c r="P303" i="2"/>
  <c r="AS29" i="1" s="1"/>
  <c r="P279" i="2"/>
  <c r="AS27" i="1" s="1"/>
  <c r="U19" i="6"/>
  <c r="U18" i="6"/>
  <c r="U20" i="6"/>
  <c r="U12" i="6"/>
  <c r="AR31" i="1"/>
  <c r="AD20" i="6"/>
  <c r="S20" i="6"/>
  <c r="S19" i="6"/>
  <c r="S18" i="6"/>
  <c r="X13" i="6"/>
  <c r="S12" i="6"/>
  <c r="V19" i="6"/>
  <c r="V20" i="6"/>
  <c r="V18" i="6"/>
  <c r="V12" i="6"/>
  <c r="AR32" i="1"/>
  <c r="AR36" i="1" s="1"/>
  <c r="W19" i="6"/>
  <c r="W18" i="6"/>
  <c r="W20" i="6"/>
  <c r="W12" i="6"/>
  <c r="AV17" i="6"/>
  <c r="AV24" i="6" s="1"/>
  <c r="AU17" i="6"/>
  <c r="AU24" i="6" s="1"/>
  <c r="AT24" i="6"/>
  <c r="T18" i="6"/>
  <c r="T20" i="6"/>
  <c r="T19" i="6"/>
  <c r="T12" i="6"/>
  <c r="P327" i="2"/>
  <c r="AS31" i="1" s="1"/>
  <c r="P363" i="2"/>
  <c r="AS34" i="1" s="1"/>
  <c r="P339" i="2"/>
  <c r="AS32" i="1" s="1"/>
  <c r="P255" i="2"/>
  <c r="AS25" i="1" s="1"/>
  <c r="AR33" i="1"/>
  <c r="AC7" i="6"/>
  <c r="AD7" i="6"/>
  <c r="P315" i="2"/>
  <c r="AS30" i="1" s="1"/>
  <c r="P291" i="2"/>
  <c r="AS28" i="1" s="1"/>
  <c r="P267" i="2"/>
  <c r="AS26" i="1" s="1"/>
  <c r="AR34" i="1"/>
  <c r="AD13" i="6"/>
  <c r="AB19" i="6"/>
  <c r="Y86" i="12"/>
  <c r="Y87" i="12" s="1"/>
  <c r="AB11" i="6" s="1"/>
  <c r="AR37" i="1" l="1"/>
  <c r="M5" i="6" s="1"/>
  <c r="AR38" i="1"/>
  <c r="F5" i="6" s="1"/>
  <c r="X20" i="6"/>
  <c r="X19" i="6"/>
  <c r="X18" i="6"/>
  <c r="AB6" i="6"/>
  <c r="X12" i="6"/>
  <c r="AB20" i="6"/>
  <c r="C39" i="8" s="1"/>
  <c r="AC11" i="6"/>
  <c r="AD11" i="6"/>
  <c r="D15" i="2"/>
  <c r="AD6" i="6" l="1"/>
  <c r="AB9" i="6"/>
  <c r="AC6" i="6"/>
  <c r="AC9" i="6" s="1"/>
  <c r="C32" i="8"/>
  <c r="C42" i="8"/>
  <c r="I8" i="5"/>
  <c r="C64" i="8" s="1"/>
  <c r="D8" i="5"/>
  <c r="C63" i="8" s="1"/>
  <c r="C29" i="8" l="1"/>
  <c r="AD9" i="6"/>
  <c r="C51" i="8" s="1"/>
  <c r="F255" i="2"/>
  <c r="BD25" i="1" s="1"/>
  <c r="AQ5" i="1" l="1"/>
  <c r="BE38" i="1" l="1"/>
  <c r="BA38" i="1"/>
  <c r="AW38" i="1"/>
  <c r="BE37" i="1"/>
  <c r="BC37" i="1"/>
  <c r="BB37" i="1"/>
  <c r="BA37" i="1"/>
  <c r="AZ37" i="1"/>
  <c r="AY37" i="1"/>
  <c r="AX37" i="1"/>
  <c r="AW37" i="1"/>
  <c r="F363" i="2"/>
  <c r="BD34" i="1" s="1"/>
  <c r="D363" i="2"/>
  <c r="AQ34" i="1" s="1"/>
  <c r="F351" i="2"/>
  <c r="BD33" i="1" s="1"/>
  <c r="D351" i="2"/>
  <c r="AQ33" i="1" s="1"/>
  <c r="F339" i="2"/>
  <c r="BD32" i="1" s="1"/>
  <c r="D339" i="2"/>
  <c r="AQ32" i="1" s="1"/>
  <c r="F327" i="2"/>
  <c r="BD31" i="1" s="1"/>
  <c r="D327" i="2"/>
  <c r="AQ31" i="1" s="1"/>
  <c r="F315" i="2"/>
  <c r="BD30" i="1" s="1"/>
  <c r="D315" i="2"/>
  <c r="AQ30" i="1" s="1"/>
  <c r="H308" i="2"/>
  <c r="G308" i="2"/>
  <c r="F303" i="2"/>
  <c r="BD29" i="1" s="1"/>
  <c r="D303" i="2"/>
  <c r="AQ29" i="1" s="1"/>
  <c r="H296" i="2"/>
  <c r="G296" i="2"/>
  <c r="F291" i="2"/>
  <c r="BD28" i="1" s="1"/>
  <c r="D291" i="2"/>
  <c r="AQ28" i="1" s="1"/>
  <c r="H284" i="2"/>
  <c r="G284" i="2"/>
  <c r="F279" i="2"/>
  <c r="BD27" i="1" s="1"/>
  <c r="D279" i="2"/>
  <c r="AQ27" i="1" s="1"/>
  <c r="H272" i="2"/>
  <c r="G272" i="2"/>
  <c r="F267" i="2"/>
  <c r="BD26" i="1" s="1"/>
  <c r="D267" i="2"/>
  <c r="AQ26" i="1" s="1"/>
  <c r="H260" i="2"/>
  <c r="G260" i="2"/>
  <c r="D255" i="2"/>
  <c r="AQ25" i="1" s="1"/>
  <c r="F243" i="2"/>
  <c r="BD24" i="1" s="1"/>
  <c r="D243" i="2"/>
  <c r="AQ24" i="1" s="1"/>
  <c r="F231" i="2"/>
  <c r="BD23" i="1" s="1"/>
  <c r="D231" i="2"/>
  <c r="AQ23" i="1" s="1"/>
  <c r="F219" i="2"/>
  <c r="BD22" i="1" s="1"/>
  <c r="D219" i="2"/>
  <c r="AQ22" i="1" s="1"/>
  <c r="F207" i="2"/>
  <c r="BD21" i="1" s="1"/>
  <c r="D207" i="2"/>
  <c r="AQ21" i="1" s="1"/>
  <c r="F195" i="2"/>
  <c r="BD20" i="1" s="1"/>
  <c r="D195" i="2"/>
  <c r="AQ20" i="1" s="1"/>
  <c r="F183" i="2"/>
  <c r="BD19" i="1" s="1"/>
  <c r="D183" i="2"/>
  <c r="AQ19" i="1" s="1"/>
  <c r="F171" i="2"/>
  <c r="BD18" i="1" s="1"/>
  <c r="D171" i="2"/>
  <c r="AQ18" i="1" s="1"/>
  <c r="F159" i="2"/>
  <c r="BD17" i="1" s="1"/>
  <c r="D159" i="2"/>
  <c r="AQ17" i="1" s="1"/>
  <c r="F147" i="2"/>
  <c r="BD16" i="1" s="1"/>
  <c r="D147" i="2"/>
  <c r="AQ16" i="1" s="1"/>
  <c r="F135" i="2"/>
  <c r="BD15" i="1" s="1"/>
  <c r="D135" i="2"/>
  <c r="AQ15" i="1" s="1"/>
  <c r="F123" i="2"/>
  <c r="BD14" i="1" s="1"/>
  <c r="D123" i="2"/>
  <c r="AQ14" i="1" s="1"/>
  <c r="F111" i="2"/>
  <c r="BD13" i="1" s="1"/>
  <c r="D111" i="2"/>
  <c r="AQ13" i="1" s="1"/>
  <c r="F99" i="2"/>
  <c r="BD12" i="1" s="1"/>
  <c r="D99" i="2"/>
  <c r="AQ12" i="1" s="1"/>
  <c r="F87" i="2"/>
  <c r="BD11" i="1" s="1"/>
  <c r="D87" i="2"/>
  <c r="AQ11" i="1" s="1"/>
  <c r="F75" i="2"/>
  <c r="BD10" i="1" s="1"/>
  <c r="D75" i="2"/>
  <c r="AQ10" i="1" s="1"/>
  <c r="F63" i="2"/>
  <c r="BD9" i="1" s="1"/>
  <c r="D63" i="2"/>
  <c r="AQ9" i="1" s="1"/>
  <c r="F51" i="2"/>
  <c r="BD8" i="1" s="1"/>
  <c r="D51" i="2"/>
  <c r="AQ8" i="1" s="1"/>
  <c r="F39" i="2"/>
  <c r="BD7" i="1" s="1"/>
  <c r="D39" i="2"/>
  <c r="AQ7" i="1" s="1"/>
  <c r="F27" i="2"/>
  <c r="BD6" i="1" s="1"/>
  <c r="D27" i="2"/>
  <c r="AQ6" i="1" s="1"/>
  <c r="F15" i="2"/>
  <c r="BD5" i="1" s="1"/>
  <c r="AM34" i="1"/>
  <c r="AJ34" i="1"/>
  <c r="AI34" i="1"/>
  <c r="AH34" i="1"/>
  <c r="AE34" i="1"/>
  <c r="AD34" i="1"/>
  <c r="AC34" i="1"/>
  <c r="AB34" i="1"/>
  <c r="X34" i="1"/>
  <c r="Y34" i="1" s="1"/>
  <c r="U34" i="1"/>
  <c r="T34" i="1"/>
  <c r="AU34" i="1" s="1"/>
  <c r="AM33" i="1"/>
  <c r="AL33" i="1"/>
  <c r="AJ33" i="1"/>
  <c r="AI33" i="1"/>
  <c r="AH33" i="1"/>
  <c r="AE33" i="1"/>
  <c r="AD33" i="1"/>
  <c r="AC33" i="1"/>
  <c r="AB33" i="1"/>
  <c r="X33" i="1"/>
  <c r="W33" i="1"/>
  <c r="U33" i="1"/>
  <c r="T33" i="1"/>
  <c r="AO32" i="1"/>
  <c r="AM32" i="1"/>
  <c r="AL32" i="1"/>
  <c r="AJ32" i="1"/>
  <c r="AI32" i="1"/>
  <c r="AH32" i="1"/>
  <c r="AE32" i="1"/>
  <c r="AD32" i="1"/>
  <c r="AC32" i="1"/>
  <c r="AB32" i="1"/>
  <c r="X32" i="1"/>
  <c r="Y32" i="1" s="1"/>
  <c r="W32" i="1"/>
  <c r="U32" i="1"/>
  <c r="BI32" i="1" s="1"/>
  <c r="T32" i="1"/>
  <c r="B29" i="35" s="1"/>
  <c r="AO31" i="1"/>
  <c r="AM31" i="1"/>
  <c r="AL31" i="1"/>
  <c r="AJ31" i="1"/>
  <c r="AI31" i="1"/>
  <c r="AH31" i="1"/>
  <c r="AE31" i="1"/>
  <c r="AD31" i="1"/>
  <c r="AC31" i="1"/>
  <c r="AB31" i="1"/>
  <c r="X31" i="1"/>
  <c r="Y31" i="1" s="1"/>
  <c r="W31" i="1"/>
  <c r="U31" i="1"/>
  <c r="T31" i="1"/>
  <c r="AO30" i="1"/>
  <c r="AM30" i="1"/>
  <c r="AL30" i="1"/>
  <c r="AJ30" i="1"/>
  <c r="AI30" i="1"/>
  <c r="AH30" i="1"/>
  <c r="AE30" i="1"/>
  <c r="AD30" i="1"/>
  <c r="AC30" i="1"/>
  <c r="AB30" i="1"/>
  <c r="X30" i="1"/>
  <c r="W30" i="1"/>
  <c r="U30" i="1"/>
  <c r="T30" i="1"/>
  <c r="AO29" i="1"/>
  <c r="AM29" i="1"/>
  <c r="AL29" i="1"/>
  <c r="AJ29" i="1"/>
  <c r="AI29" i="1"/>
  <c r="AH29" i="1"/>
  <c r="AE29" i="1"/>
  <c r="AD29" i="1"/>
  <c r="AC29" i="1"/>
  <c r="AB29" i="1"/>
  <c r="X29" i="1"/>
  <c r="W29" i="1"/>
  <c r="U29" i="1"/>
  <c r="T29" i="1"/>
  <c r="AO28" i="1"/>
  <c r="AM28" i="1"/>
  <c r="AL28" i="1"/>
  <c r="AJ28" i="1"/>
  <c r="AI28" i="1"/>
  <c r="AH28" i="1"/>
  <c r="AE28" i="1"/>
  <c r="AD28" i="1"/>
  <c r="AC28" i="1"/>
  <c r="AB28" i="1"/>
  <c r="X28" i="1"/>
  <c r="Y28" i="1" s="1"/>
  <c r="W28" i="1"/>
  <c r="U28" i="1"/>
  <c r="T28" i="1"/>
  <c r="AO27" i="1"/>
  <c r="AM27" i="1"/>
  <c r="AL27" i="1"/>
  <c r="AJ27" i="1"/>
  <c r="AI27" i="1"/>
  <c r="AH27" i="1"/>
  <c r="AE27" i="1"/>
  <c r="AD27" i="1"/>
  <c r="AC27" i="1"/>
  <c r="AB27" i="1"/>
  <c r="X27" i="1"/>
  <c r="Y27" i="1" s="1"/>
  <c r="W27" i="1"/>
  <c r="U27" i="1"/>
  <c r="T27" i="1"/>
  <c r="AO26" i="1"/>
  <c r="AM26" i="1"/>
  <c r="AL26" i="1"/>
  <c r="AJ26" i="1"/>
  <c r="AI26" i="1"/>
  <c r="AH26" i="1"/>
  <c r="AD26" i="1"/>
  <c r="AC26" i="1"/>
  <c r="AB26" i="1"/>
  <c r="X26" i="1"/>
  <c r="W26" i="1"/>
  <c r="U26" i="1"/>
  <c r="T26" i="1"/>
  <c r="AO25" i="1"/>
  <c r="AM25" i="1"/>
  <c r="AL25" i="1"/>
  <c r="AJ25" i="1"/>
  <c r="AI25" i="1"/>
  <c r="AH25" i="1"/>
  <c r="AD25" i="1"/>
  <c r="AB25" i="1"/>
  <c r="X25" i="1"/>
  <c r="W25" i="1"/>
  <c r="U25" i="1"/>
  <c r="T25" i="1"/>
  <c r="AO24" i="1"/>
  <c r="AM24" i="1"/>
  <c r="AL24" i="1"/>
  <c r="AJ24" i="1"/>
  <c r="AI24" i="1"/>
  <c r="AH24" i="1"/>
  <c r="AD24" i="1"/>
  <c r="AB24" i="1"/>
  <c r="X24" i="1"/>
  <c r="W24" i="1"/>
  <c r="U24" i="1"/>
  <c r="T24" i="1"/>
  <c r="AO23" i="1"/>
  <c r="AM23" i="1"/>
  <c r="AL23" i="1"/>
  <c r="AJ23" i="1"/>
  <c r="AI23" i="1"/>
  <c r="AH23" i="1"/>
  <c r="AE23" i="1"/>
  <c r="AD23" i="1"/>
  <c r="AB23" i="1"/>
  <c r="X23" i="1"/>
  <c r="W23" i="1"/>
  <c r="U23" i="1"/>
  <c r="T23" i="1"/>
  <c r="AO22" i="1"/>
  <c r="AM22" i="1"/>
  <c r="AL22" i="1"/>
  <c r="AK22" i="1" s="1"/>
  <c r="AJ22" i="1"/>
  <c r="AI22" i="1"/>
  <c r="AH22" i="1"/>
  <c r="AE22" i="1"/>
  <c r="AD22" i="1"/>
  <c r="AB22" i="1"/>
  <c r="X22" i="1"/>
  <c r="W22" i="1"/>
  <c r="U22" i="1"/>
  <c r="T22" i="1"/>
  <c r="B19" i="35" s="1"/>
  <c r="AO21" i="1"/>
  <c r="AM21" i="1"/>
  <c r="AJ21" i="1"/>
  <c r="AI21" i="1"/>
  <c r="AH21" i="1"/>
  <c r="AE21" i="1"/>
  <c r="AD21" i="1"/>
  <c r="AB21" i="1"/>
  <c r="X21" i="1"/>
  <c r="W21" i="1"/>
  <c r="U21" i="1"/>
  <c r="T21" i="1"/>
  <c r="AO20" i="1"/>
  <c r="AM20" i="1"/>
  <c r="AJ20" i="1"/>
  <c r="AI20" i="1"/>
  <c r="AH20" i="1"/>
  <c r="AE20" i="1"/>
  <c r="AD20" i="1"/>
  <c r="AB20" i="1"/>
  <c r="X20" i="1"/>
  <c r="W20" i="1"/>
  <c r="U20" i="1"/>
  <c r="T20" i="1"/>
  <c r="AO19" i="1"/>
  <c r="AM19" i="1"/>
  <c r="AJ19" i="1"/>
  <c r="AI19" i="1"/>
  <c r="AH19" i="1"/>
  <c r="AE19" i="1"/>
  <c r="AD19" i="1"/>
  <c r="AB19" i="1"/>
  <c r="X19" i="1"/>
  <c r="W19" i="1"/>
  <c r="U19" i="1"/>
  <c r="T19" i="1"/>
  <c r="B16" i="35" s="1"/>
  <c r="AO18" i="1"/>
  <c r="AM18" i="1"/>
  <c r="AJ18" i="1"/>
  <c r="AI18" i="1"/>
  <c r="AH18" i="1"/>
  <c r="AE18" i="1"/>
  <c r="AD18" i="1"/>
  <c r="AB18" i="1"/>
  <c r="AF18" i="1" s="1"/>
  <c r="W18" i="1"/>
  <c r="U18" i="1"/>
  <c r="T18" i="1"/>
  <c r="B15" i="35" s="1"/>
  <c r="AO17" i="1"/>
  <c r="AJ17" i="1"/>
  <c r="AI17" i="1"/>
  <c r="AH17" i="1"/>
  <c r="AE17" i="1"/>
  <c r="AD17" i="1"/>
  <c r="AB17" i="1"/>
  <c r="W17" i="1"/>
  <c r="U17" i="1"/>
  <c r="T17" i="1"/>
  <c r="AO16" i="1"/>
  <c r="AJ16" i="1"/>
  <c r="AI16" i="1"/>
  <c r="AH16" i="1"/>
  <c r="AE16" i="1"/>
  <c r="AD16" i="1"/>
  <c r="AB16" i="1"/>
  <c r="W16" i="1"/>
  <c r="V16" i="1"/>
  <c r="U16" i="1"/>
  <c r="T16" i="1"/>
  <c r="B13" i="35" s="1"/>
  <c r="AO15" i="1"/>
  <c r="AJ15" i="1"/>
  <c r="AI15" i="1"/>
  <c r="AH15" i="1"/>
  <c r="AD15" i="1"/>
  <c r="AB15" i="1"/>
  <c r="W15" i="1"/>
  <c r="V15" i="1"/>
  <c r="U15" i="1"/>
  <c r="T15" i="1"/>
  <c r="B12" i="35" s="1"/>
  <c r="AO14" i="1"/>
  <c r="AJ14" i="1"/>
  <c r="AI14" i="1"/>
  <c r="AH14" i="1"/>
  <c r="AD14" i="1"/>
  <c r="AB14" i="1"/>
  <c r="W14" i="1"/>
  <c r="V14" i="1"/>
  <c r="U14" i="1"/>
  <c r="T14" i="1"/>
  <c r="AO13" i="1"/>
  <c r="AJ13" i="1"/>
  <c r="AI13" i="1"/>
  <c r="AH13" i="1"/>
  <c r="AD13" i="1"/>
  <c r="AB13" i="1"/>
  <c r="W13" i="1"/>
  <c r="V13" i="1"/>
  <c r="U13" i="1"/>
  <c r="T13" i="1"/>
  <c r="AO12" i="1"/>
  <c r="AJ12" i="1"/>
  <c r="AI12" i="1"/>
  <c r="AH12" i="1"/>
  <c r="AE12" i="1"/>
  <c r="AD12" i="1"/>
  <c r="AB12" i="1"/>
  <c r="W12" i="1"/>
  <c r="V12" i="1"/>
  <c r="U12" i="1"/>
  <c r="T12" i="1"/>
  <c r="AO11" i="1"/>
  <c r="AJ11" i="1"/>
  <c r="AI11" i="1"/>
  <c r="AH11" i="1"/>
  <c r="AE11" i="1"/>
  <c r="AD11" i="1"/>
  <c r="AB11" i="1"/>
  <c r="W11" i="1"/>
  <c r="V11" i="1"/>
  <c r="U11" i="1"/>
  <c r="T11" i="1"/>
  <c r="B8" i="35" s="1"/>
  <c r="AO10" i="1"/>
  <c r="AJ10" i="1"/>
  <c r="AI10" i="1"/>
  <c r="AH10" i="1"/>
  <c r="W10" i="1"/>
  <c r="V10" i="1"/>
  <c r="U10" i="1"/>
  <c r="T10" i="1"/>
  <c r="AO9" i="1"/>
  <c r="AJ9" i="1"/>
  <c r="AI9" i="1"/>
  <c r="AH9" i="1"/>
  <c r="W9" i="1"/>
  <c r="V9" i="1"/>
  <c r="U9" i="1"/>
  <c r="T9" i="1"/>
  <c r="AO8" i="1"/>
  <c r="AJ8" i="1"/>
  <c r="AH8" i="1"/>
  <c r="W8" i="1"/>
  <c r="U8" i="1"/>
  <c r="T8" i="1"/>
  <c r="AO7" i="1"/>
  <c r="AJ7" i="1"/>
  <c r="AH7" i="1"/>
  <c r="AB7" i="1"/>
  <c r="W7" i="1"/>
  <c r="V7" i="1"/>
  <c r="U7" i="1"/>
  <c r="T7" i="1"/>
  <c r="B4" i="35" s="1"/>
  <c r="AO6" i="1"/>
  <c r="AJ6" i="1"/>
  <c r="AH6" i="1"/>
  <c r="AB6" i="1"/>
  <c r="W6" i="1"/>
  <c r="V6" i="1"/>
  <c r="U6" i="1"/>
  <c r="T6" i="1"/>
  <c r="AO5" i="1"/>
  <c r="AJ5" i="1"/>
  <c r="AH5" i="1"/>
  <c r="AB5" i="1"/>
  <c r="W5" i="1"/>
  <c r="V5" i="1"/>
  <c r="U5" i="1"/>
  <c r="T5" i="1"/>
  <c r="AU21" i="1" l="1"/>
  <c r="B18" i="35"/>
  <c r="AU28" i="1"/>
  <c r="B25" i="35"/>
  <c r="B2" i="35"/>
  <c r="BG5" i="1"/>
  <c r="BG6" i="1"/>
  <c r="B3" i="35"/>
  <c r="B5" i="35"/>
  <c r="AU24" i="1"/>
  <c r="B21" i="35"/>
  <c r="AU26" i="1"/>
  <c r="B23" i="35"/>
  <c r="B9" i="35"/>
  <c r="AU29" i="1"/>
  <c r="B26" i="35"/>
  <c r="AU33" i="1"/>
  <c r="B30" i="35"/>
  <c r="B10" i="35"/>
  <c r="B22" i="35"/>
  <c r="BH5" i="1"/>
  <c r="AF5" i="1"/>
  <c r="B14" i="35"/>
  <c r="AF22" i="1"/>
  <c r="AN22" i="1" s="1"/>
  <c r="BL22" i="1" s="1"/>
  <c r="AU27" i="1"/>
  <c r="B24" i="35"/>
  <c r="AU31" i="1"/>
  <c r="B28" i="35"/>
  <c r="AU23" i="1"/>
  <c r="B20" i="35"/>
  <c r="B6" i="35"/>
  <c r="B7" i="35"/>
  <c r="BG10" i="1"/>
  <c r="BH14" i="1"/>
  <c r="B11" i="35"/>
  <c r="AU20" i="1"/>
  <c r="B17" i="35"/>
  <c r="Z5" i="1"/>
  <c r="AA5" i="1"/>
  <c r="AU30" i="1"/>
  <c r="B27" i="35"/>
  <c r="AK26" i="1"/>
  <c r="Y22" i="1"/>
  <c r="Y29" i="1"/>
  <c r="Y33" i="1"/>
  <c r="Y20" i="1"/>
  <c r="BI20" i="1"/>
  <c r="BD38" i="1"/>
  <c r="F17" i="6" s="1"/>
  <c r="BG19" i="1"/>
  <c r="Y30" i="1"/>
  <c r="Y24" i="1"/>
  <c r="Y26" i="1"/>
  <c r="Z15" i="1"/>
  <c r="Y19" i="1"/>
  <c r="Y21" i="1"/>
  <c r="Y23" i="1"/>
  <c r="Y25" i="1"/>
  <c r="BH9" i="1"/>
  <c r="BH7" i="1"/>
  <c r="BI25" i="1"/>
  <c r="BH16" i="1"/>
  <c r="AF17" i="1"/>
  <c r="AF23" i="1"/>
  <c r="BH25" i="1"/>
  <c r="BJ25" i="1" s="1"/>
  <c r="AF32" i="1"/>
  <c r="BI11" i="1"/>
  <c r="AF16" i="1"/>
  <c r="BI19" i="1"/>
  <c r="W38" i="1"/>
  <c r="F8" i="6" s="1"/>
  <c r="BH8" i="1"/>
  <c r="BH12" i="1"/>
  <c r="BI21" i="1"/>
  <c r="BI33" i="1"/>
  <c r="BI8" i="1"/>
  <c r="W37" i="1"/>
  <c r="M8" i="6" s="1"/>
  <c r="AF27" i="1"/>
  <c r="Z29" i="1"/>
  <c r="AK29" i="1"/>
  <c r="AK33" i="1"/>
  <c r="Z21" i="1"/>
  <c r="BI24" i="1"/>
  <c r="BI16" i="1"/>
  <c r="AF26" i="1"/>
  <c r="AN26" i="1" s="1"/>
  <c r="BL26" i="1" s="1"/>
  <c r="AQ36" i="1"/>
  <c r="AF6" i="1"/>
  <c r="AF7" i="1"/>
  <c r="BI13" i="1"/>
  <c r="BI18" i="1"/>
  <c r="AL37" i="1"/>
  <c r="M20" i="6" s="1"/>
  <c r="Z13" i="1"/>
  <c r="X37" i="1"/>
  <c r="M9" i="6" s="1"/>
  <c r="BH24" i="1"/>
  <c r="AK25" i="1"/>
  <c r="AK31" i="1"/>
  <c r="BG15" i="1"/>
  <c r="AI38" i="1"/>
  <c r="F15" i="6" s="1"/>
  <c r="Z11" i="1"/>
  <c r="BG27" i="1"/>
  <c r="Z34" i="1"/>
  <c r="AT34" i="1"/>
  <c r="U38" i="1"/>
  <c r="F7" i="6" s="1"/>
  <c r="Z14" i="1"/>
  <c r="BG20" i="1"/>
  <c r="BH32" i="1"/>
  <c r="BJ32" i="1" s="1"/>
  <c r="AU32" i="1"/>
  <c r="BH20" i="1"/>
  <c r="T37" i="1"/>
  <c r="M6" i="6" s="1"/>
  <c r="AU22" i="1"/>
  <c r="AK28" i="1"/>
  <c r="AJ37" i="1"/>
  <c r="M18" i="6" s="1"/>
  <c r="Z24" i="1"/>
  <c r="AK27" i="1"/>
  <c r="Z28" i="1"/>
  <c r="AA6" i="1"/>
  <c r="BH15" i="1"/>
  <c r="Z23" i="1"/>
  <c r="AK23" i="1"/>
  <c r="AT25" i="1"/>
  <c r="AU25" i="1"/>
  <c r="AT30" i="1"/>
  <c r="AM37" i="1"/>
  <c r="AO37" i="1"/>
  <c r="M21" i="6" s="1"/>
  <c r="AO38" i="1"/>
  <c r="AJ38" i="1"/>
  <c r="F16" i="6" s="1"/>
  <c r="BG7" i="1"/>
  <c r="AE37" i="1"/>
  <c r="AT20" i="1"/>
  <c r="AD37" i="1"/>
  <c r="M14" i="6" s="1"/>
  <c r="AD38" i="1"/>
  <c r="AT26" i="1"/>
  <c r="AT23" i="1"/>
  <c r="BG28" i="1"/>
  <c r="AT29" i="1"/>
  <c r="AT24" i="1"/>
  <c r="BG31" i="1"/>
  <c r="BD37" i="1"/>
  <c r="AT27" i="1"/>
  <c r="BG11" i="1"/>
  <c r="AT21" i="1"/>
  <c r="AQ38" i="1"/>
  <c r="AE38" i="1"/>
  <c r="AH37" i="1"/>
  <c r="M16" i="6" s="1"/>
  <c r="AQ37" i="1"/>
  <c r="Z6" i="1"/>
  <c r="AA7" i="1"/>
  <c r="BG9" i="1"/>
  <c r="AA12" i="1"/>
  <c r="BI14" i="1"/>
  <c r="AA20" i="1"/>
  <c r="AA23" i="1"/>
  <c r="BH27" i="1"/>
  <c r="AA29" i="1"/>
  <c r="AA30" i="1"/>
  <c r="AA31" i="1"/>
  <c r="AI37" i="1"/>
  <c r="M17" i="6" s="1"/>
  <c r="AT33" i="1"/>
  <c r="BI6" i="1"/>
  <c r="AA11" i="1"/>
  <c r="BH13" i="1"/>
  <c r="BJ13" i="1" s="1"/>
  <c r="AA17" i="1"/>
  <c r="AA19" i="1"/>
  <c r="AF21" i="1"/>
  <c r="BG22" i="1"/>
  <c r="Z27" i="1"/>
  <c r="AA32" i="1"/>
  <c r="AB37" i="1"/>
  <c r="M12" i="6" s="1"/>
  <c r="AT32" i="1"/>
  <c r="BG14" i="1"/>
  <c r="BI17" i="1"/>
  <c r="BH21" i="1"/>
  <c r="AF24" i="1"/>
  <c r="AF25" i="1"/>
  <c r="AA27" i="1"/>
  <c r="AA28" i="1"/>
  <c r="AC37" i="1"/>
  <c r="M13" i="6" s="1"/>
  <c r="AB38" i="1"/>
  <c r="F10" i="6" s="1"/>
  <c r="AT31" i="1"/>
  <c r="AT22" i="1"/>
  <c r="U37" i="1"/>
  <c r="BI10" i="1"/>
  <c r="AF14" i="1"/>
  <c r="BH19" i="1"/>
  <c r="BJ19" i="1" s="1"/>
  <c r="BI23" i="1"/>
  <c r="BH23" i="1"/>
  <c r="BI29" i="1"/>
  <c r="BH30" i="1"/>
  <c r="BH31" i="1"/>
  <c r="AG32" i="1"/>
  <c r="AG27" i="1"/>
  <c r="BI7" i="1"/>
  <c r="BJ7" i="1" s="1"/>
  <c r="BH11" i="1"/>
  <c r="BI12" i="1"/>
  <c r="BG13" i="1"/>
  <c r="AA15" i="1"/>
  <c r="BI26" i="1"/>
  <c r="BI30" i="1"/>
  <c r="BI31" i="1"/>
  <c r="BH34" i="1"/>
  <c r="T38" i="1"/>
  <c r="F6" i="6" s="1"/>
  <c r="AT28" i="1"/>
  <c r="BI5" i="1"/>
  <c r="AA13" i="1"/>
  <c r="Z22" i="1"/>
  <c r="AK24" i="1"/>
  <c r="BI27" i="1"/>
  <c r="AK30" i="1"/>
  <c r="BH33" i="1"/>
  <c r="AH38" i="1"/>
  <c r="F14" i="6" s="1"/>
  <c r="Z17" i="1"/>
  <c r="BG21" i="1"/>
  <c r="AG28" i="1"/>
  <c r="AG29" i="1"/>
  <c r="BH18" i="1"/>
  <c r="BG29" i="1"/>
  <c r="BG30" i="1"/>
  <c r="BG34" i="1"/>
  <c r="BG33" i="1"/>
  <c r="BG23" i="1"/>
  <c r="BG18" i="1"/>
  <c r="BG12" i="1"/>
  <c r="BG8" i="1"/>
  <c r="BJ14" i="1"/>
  <c r="AA22" i="1"/>
  <c r="AF15" i="1"/>
  <c r="Z16" i="1"/>
  <c r="BG17" i="1"/>
  <c r="Z18" i="1"/>
  <c r="BI22" i="1"/>
  <c r="Z25" i="1"/>
  <c r="Z26" i="1"/>
  <c r="BG26" i="1"/>
  <c r="BI28" i="1"/>
  <c r="AF30" i="1"/>
  <c r="Z32" i="1"/>
  <c r="BH10" i="1"/>
  <c r="AF20" i="1"/>
  <c r="BI15" i="1"/>
  <c r="AA16" i="1"/>
  <c r="AA18" i="1"/>
  <c r="AA21" i="1"/>
  <c r="AA24" i="1"/>
  <c r="AA25" i="1"/>
  <c r="AA26" i="1"/>
  <c r="BH26" i="1"/>
  <c r="AG30" i="1"/>
  <c r="AF33" i="1"/>
  <c r="AF34" i="1"/>
  <c r="BG24" i="1"/>
  <c r="BG25" i="1"/>
  <c r="BH28" i="1"/>
  <c r="BH17" i="1"/>
  <c r="BI9" i="1"/>
  <c r="Z12" i="1"/>
  <c r="AF13" i="1"/>
  <c r="AA14" i="1"/>
  <c r="AF19" i="1"/>
  <c r="Z20" i="1"/>
  <c r="AF28" i="1"/>
  <c r="BH29" i="1"/>
  <c r="BJ29" i="1" s="1"/>
  <c r="Z30" i="1"/>
  <c r="BG32" i="1"/>
  <c r="AG33" i="1"/>
  <c r="AG34" i="1"/>
  <c r="AF12" i="1"/>
  <c r="BH22" i="1"/>
  <c r="AF11" i="1"/>
  <c r="AF31" i="1"/>
  <c r="AK32" i="1"/>
  <c r="Z33" i="1"/>
  <c r="BG16" i="1"/>
  <c r="AA33" i="1"/>
  <c r="Z7" i="1"/>
  <c r="Z19" i="1"/>
  <c r="AF29" i="1"/>
  <c r="Z31" i="1"/>
  <c r="AG31" i="1"/>
  <c r="BH6" i="1"/>
  <c r="BJ18" i="1" l="1"/>
  <c r="BJ5" i="1"/>
  <c r="AN23" i="1"/>
  <c r="BL23" i="1" s="1"/>
  <c r="AN28" i="1"/>
  <c r="BL28" i="1" s="1"/>
  <c r="BJ20" i="1"/>
  <c r="Y37" i="1"/>
  <c r="M10" i="6" s="1"/>
  <c r="BJ9" i="1"/>
  <c r="BJ21" i="1"/>
  <c r="BJ12" i="1"/>
  <c r="C19" i="8"/>
  <c r="M7" i="6"/>
  <c r="C22" i="8" s="1"/>
  <c r="BJ23" i="1"/>
  <c r="AU36" i="1"/>
  <c r="C9" i="8" s="1"/>
  <c r="BJ27" i="1"/>
  <c r="N12" i="6"/>
  <c r="N16" i="6"/>
  <c r="C16" i="8"/>
  <c r="BJ16" i="1"/>
  <c r="BJ17" i="1"/>
  <c r="BJ10" i="1"/>
  <c r="BJ8" i="1"/>
  <c r="AN27" i="1"/>
  <c r="BL27" i="1" s="1"/>
  <c r="AN32" i="1"/>
  <c r="BL32" i="1" s="1"/>
  <c r="BJ33" i="1"/>
  <c r="BJ11" i="1"/>
  <c r="BJ24" i="1"/>
  <c r="AN33" i="1"/>
  <c r="BL33" i="1" s="1"/>
  <c r="AN30" i="1"/>
  <c r="BL30" i="1" s="1"/>
  <c r="AN31" i="1"/>
  <c r="BL31" i="1" s="1"/>
  <c r="AN29" i="1"/>
  <c r="BL29" i="1" s="1"/>
  <c r="BJ15" i="1"/>
  <c r="AN25" i="1"/>
  <c r="BL25" i="1" s="1"/>
  <c r="BJ6" i="1"/>
  <c r="BJ31" i="1"/>
  <c r="AN24" i="1"/>
  <c r="BL24" i="1" s="1"/>
  <c r="AK37" i="1"/>
  <c r="M19" i="6" s="1"/>
  <c r="BI37" i="1"/>
  <c r="Z37" i="1"/>
  <c r="BJ30" i="1"/>
  <c r="AA38" i="1"/>
  <c r="F9" i="6" s="1"/>
  <c r="AG37" i="1"/>
  <c r="BI38" i="1"/>
  <c r="AF37" i="1"/>
  <c r="M15" i="6" s="1"/>
  <c r="Z38" i="1"/>
  <c r="BG37" i="1"/>
  <c r="BH38" i="1"/>
  <c r="F12" i="6" s="1"/>
  <c r="BG38" i="1"/>
  <c r="AF38" i="1"/>
  <c r="F11" i="6" s="1"/>
  <c r="AA37" i="1"/>
  <c r="BJ26" i="1"/>
  <c r="BH37" i="1"/>
  <c r="BJ28" i="1"/>
  <c r="BJ22" i="1"/>
  <c r="O10" i="6" l="1"/>
  <c r="C6" i="8"/>
  <c r="O8" i="6"/>
  <c r="O15" i="6"/>
  <c r="O7" i="6"/>
  <c r="C23" i="8"/>
  <c r="M11" i="6"/>
  <c r="O11" i="6" s="1"/>
  <c r="AN37" i="1"/>
  <c r="C57" i="8" s="1"/>
  <c r="BJ37" i="1"/>
  <c r="BJ38" i="1"/>
  <c r="F13" i="6" s="1"/>
  <c r="G7" i="13" l="1"/>
  <c r="G12" i="13"/>
  <c r="G13" i="13"/>
  <c r="G20" i="13"/>
  <c r="G21" i="13"/>
  <c r="G28" i="13"/>
  <c r="G36" i="13"/>
  <c r="G44" i="13"/>
  <c r="G52" i="13"/>
  <c r="G60" i="13"/>
  <c r="G63" i="13" l="1"/>
  <c r="G55" i="13"/>
  <c r="G47" i="13"/>
  <c r="G39" i="13"/>
  <c r="G31" i="13"/>
  <c r="G23" i="13"/>
  <c r="G15" i="13"/>
  <c r="G58" i="13"/>
  <c r="G65" i="13"/>
  <c r="G57" i="13"/>
  <c r="G49" i="13"/>
  <c r="G41" i="13"/>
  <c r="G33" i="13"/>
  <c r="G25" i="13"/>
  <c r="G17" i="13"/>
  <c r="G9" i="13"/>
  <c r="G50" i="13"/>
  <c r="G66" i="13"/>
  <c r="G62" i="13"/>
  <c r="G54" i="13"/>
  <c r="G46" i="13"/>
  <c r="G38" i="13"/>
  <c r="G30" i="13"/>
  <c r="G59" i="13"/>
  <c r="G51" i="13"/>
  <c r="G43" i="13"/>
  <c r="G35" i="13"/>
  <c r="G27" i="13"/>
  <c r="G19" i="13"/>
  <c r="G11" i="13"/>
  <c r="G42" i="13"/>
  <c r="G34" i="13"/>
  <c r="G26" i="13"/>
  <c r="G18" i="13"/>
  <c r="G10" i="13"/>
  <c r="G64" i="13"/>
  <c r="G56" i="13"/>
  <c r="G48" i="13"/>
  <c r="G40" i="13"/>
  <c r="G32" i="13"/>
  <c r="G24" i="13"/>
  <c r="G16" i="13"/>
  <c r="G8" i="13"/>
  <c r="G22" i="13"/>
  <c r="G14" i="13"/>
  <c r="G61" i="13"/>
  <c r="G53" i="13"/>
  <c r="G45" i="13"/>
  <c r="G37" i="13"/>
  <c r="G29" i="13"/>
  <c r="X81" i="12" l="1"/>
  <c r="X85" i="12"/>
  <c r="X84" i="12"/>
  <c r="X83" i="12"/>
  <c r="X82" i="12"/>
  <c r="X86" i="12" l="1"/>
  <c r="X87" i="12" s="1"/>
  <c r="AB10" i="6" s="1"/>
  <c r="AB12" i="6" s="1"/>
  <c r="AB14" i="6" s="1"/>
  <c r="C48" i="8" s="1"/>
  <c r="AC10" i="6" l="1"/>
  <c r="AC12" i="6" s="1"/>
  <c r="AC14" i="6" s="1"/>
  <c r="AD10" i="6"/>
  <c r="AD12" i="6" s="1"/>
  <c r="AD14" i="6" s="1"/>
</calcChain>
</file>

<file path=xl/sharedStrings.xml><?xml version="1.0" encoding="utf-8"?>
<sst xmlns="http://schemas.openxmlformats.org/spreadsheetml/2006/main" count="1590" uniqueCount="456">
  <si>
    <t>Colorado River</t>
  </si>
  <si>
    <t>Paria River</t>
  </si>
  <si>
    <t xml:space="preserve">Little Colorado River </t>
  </si>
  <si>
    <t>Little Colorado River</t>
  </si>
  <si>
    <t>Kanab Creek</t>
  </si>
  <si>
    <t>Havasu Creek</t>
  </si>
  <si>
    <t>Diamond Creek</t>
  </si>
  <si>
    <t>Virgin River</t>
  </si>
  <si>
    <t>Las Vegas Wash</t>
  </si>
  <si>
    <t>all gains above Grand Canyon gage, incl. Paria and LCR</t>
  </si>
  <si>
    <t>gains above Grand Canyon gage within Grand Canyon</t>
  </si>
  <si>
    <t>all ungaged gains above Diamond Creek gage</t>
  </si>
  <si>
    <t>ungaged gains above Diamond Creek gage</t>
  </si>
  <si>
    <t>Virgin gains/ losses</t>
  </si>
  <si>
    <t>total gains</t>
  </si>
  <si>
    <t>Glen Canyon Dam releases</t>
  </si>
  <si>
    <t>natural flow Colorado River</t>
  </si>
  <si>
    <t>gains above Grand Canyon gage</t>
  </si>
  <si>
    <t>gains above Hoover</t>
  </si>
  <si>
    <t>Hoover Dam releases</t>
  </si>
  <si>
    <t>gains</t>
  </si>
  <si>
    <t>tributary inflow</t>
  </si>
  <si>
    <t>blw Glen Canyon Dam</t>
  </si>
  <si>
    <t>@ Lees Ferry</t>
  </si>
  <si>
    <t>nr Desert View</t>
  </si>
  <si>
    <t>nr Cameron</t>
  </si>
  <si>
    <t>nr Grand Canyon</t>
  </si>
  <si>
    <t>nr Supai</t>
  </si>
  <si>
    <t>@ Supai</t>
  </si>
  <si>
    <t>nr Peach Springs</t>
  </si>
  <si>
    <t>@ Littlefield</t>
  </si>
  <si>
    <t>nr Overton</t>
  </si>
  <si>
    <t>nr Boulder City</t>
  </si>
  <si>
    <t>blw Hoover Dam</t>
  </si>
  <si>
    <t>GC-Paria-Cameron-Lees Ferry</t>
  </si>
  <si>
    <t>DC-GC</t>
  </si>
  <si>
    <t>not including Kanab and Havasu</t>
  </si>
  <si>
    <t>GC gage to Hoover, blw Littlefield</t>
  </si>
  <si>
    <t>Glen Canyon Dam to Lees Ferry</t>
  </si>
  <si>
    <t>all gains Lees Ferry to Diamond Creek</t>
  </si>
  <si>
    <t>Paria + LCR-Cameron</t>
  </si>
  <si>
    <t>gains within GC</t>
  </si>
  <si>
    <t>DC-GC+DC+L-O</t>
  </si>
  <si>
    <t>2007-2018 average</t>
  </si>
  <si>
    <t>Colorado River nr Grand Canyon</t>
  </si>
  <si>
    <t>O</t>
  </si>
  <si>
    <t>N</t>
  </si>
  <si>
    <t>D</t>
  </si>
  <si>
    <t>Ja</t>
  </si>
  <si>
    <t>F</t>
  </si>
  <si>
    <t>Mar</t>
  </si>
  <si>
    <t>Ap</t>
  </si>
  <si>
    <t>May</t>
  </si>
  <si>
    <t>Jun</t>
  </si>
  <si>
    <t>Jul</t>
  </si>
  <si>
    <t>Au</t>
  </si>
  <si>
    <t>S</t>
  </si>
  <si>
    <t>1990-2018 average</t>
  </si>
  <si>
    <t>Reclamation</t>
  </si>
  <si>
    <t>USGS</t>
  </si>
  <si>
    <t>Year</t>
  </si>
  <si>
    <t>Month</t>
  </si>
  <si>
    <t>1:1 line</t>
  </si>
  <si>
    <t>Lake Powell</t>
  </si>
  <si>
    <t>Lake Mead</t>
  </si>
  <si>
    <t>09380000 </t>
  </si>
  <si>
    <t>09421500 </t>
  </si>
  <si>
    <t>09328920 </t>
  </si>
  <si>
    <t>09415250 </t>
  </si>
  <si>
    <t>09185600 </t>
  </si>
  <si>
    <t>09404208 </t>
  </si>
  <si>
    <t>09379500 </t>
  </si>
  <si>
    <t>09404200 </t>
  </si>
  <si>
    <t>09337500 </t>
  </si>
  <si>
    <t>ungage area</t>
  </si>
  <si>
    <t>Data source:</t>
  </si>
  <si>
    <t>09333500 </t>
  </si>
  <si>
    <t>USGS 09421500 COLORADO RV BLW HOOVER DAM, AZ-NV</t>
  </si>
  <si>
    <t>USGS 09415250 VIRGIN RV ABV LAKE MEAD NR OVERTON, NV</t>
  </si>
  <si>
    <t>USGS 09404208 DIAMOND CREEK NEAR PEACH SPRINGS, AZ</t>
  </si>
  <si>
    <t>USGS 09404200 COLORADO RVR ABV DIAMOND CREEK NR PEACH SPRINGS AZ</t>
  </si>
  <si>
    <t>USGS 09419756 LAS VEGAS WASH OVERFLOW AT LAKE LAS VEGAS INLET</t>
  </si>
  <si>
    <t>square miles</t>
  </si>
  <si>
    <t>Water Accounting Reports</t>
  </si>
  <si>
    <t>Hydrologic Database</t>
  </si>
  <si>
    <t>https://waterdata.usgs.gov/az/nwis/inventory/?site_no=09379910&amp;agency_cd=USGS</t>
  </si>
  <si>
    <t>https://waterdata.usgs.gov/ut/nwis/inventory/?site_no=09328920&amp;agency_cd=USGS</t>
  </si>
  <si>
    <t>https://waterdata.usgs.gov/nwis/inventory/?site_no=09185600&amp;agency_cd=USGS</t>
  </si>
  <si>
    <t>https://waterdata.usgs.gov/ut/nwis/inventory/?site_no=09379500&amp;agency_cd=USGS</t>
  </si>
  <si>
    <t>https://waterdata.usgs.gov/nwis/annual/?referred_module=sw&amp;amp;site_no=09337500&amp;amp;por_09337500_143192=448685,00060,143192,1911,2020&amp;amp;year_type=W&amp;amp;format=html_table&amp;amp;date_format=YYYY-MM-DD&amp;amp;rdb_compression=file&amp;amp;submitted_form=parameter_selection_list</t>
  </si>
  <si>
    <t>https://waterdata.usgs.gov/nwis/inventory/?site_no=09333500&amp;agency_cd=USGS</t>
  </si>
  <si>
    <t>Analysis of data demonstrating seepage around Glen Canyon Dam</t>
  </si>
  <si>
    <t>Section</t>
  </si>
  <si>
    <t>Glen Canyon Dam releases reported by Reclamation (Water Accounting Reports)</t>
  </si>
  <si>
    <t>Hoover Dam releases reported by Reclamation (Water Accounting Reports)</t>
  </si>
  <si>
    <t>Glen Canyon Dam releases reported by Reclamation (Hydrologic Database)</t>
  </si>
  <si>
    <t>Glen Canyon Dam releases reported by Reclamation (24MS)</t>
  </si>
  <si>
    <t>UNIT</t>
  </si>
  <si>
    <t>acre-feet</t>
  </si>
  <si>
    <t>1000 acre-feet</t>
  </si>
  <si>
    <r>
      <rPr>
        <b/>
        <sz val="11"/>
        <rFont val="Calibri"/>
        <family val="2"/>
        <scheme val="minor"/>
      </rPr>
      <t>Water Accounting Reports, available at</t>
    </r>
    <r>
      <rPr>
        <b/>
        <sz val="11"/>
        <color theme="10"/>
        <rFont val="Calibri"/>
        <family val="2"/>
        <scheme val="minor"/>
      </rPr>
      <t xml:space="preserve"> </t>
    </r>
    <r>
      <rPr>
        <u/>
        <sz val="11"/>
        <color theme="10"/>
        <rFont val="Calibri"/>
        <family val="2"/>
        <scheme val="minor"/>
      </rPr>
      <t>https://www.usbr.gov/lc/region/g4000/wtracct.html</t>
    </r>
  </si>
  <si>
    <r>
      <rPr>
        <b/>
        <sz val="11"/>
        <rFont val="Calibri"/>
        <family val="2"/>
        <scheme val="minor"/>
      </rPr>
      <t>Hydrologic Database, available at</t>
    </r>
    <r>
      <rPr>
        <u/>
        <sz val="11"/>
        <color theme="10"/>
        <rFont val="Calibri"/>
        <family val="2"/>
        <scheme val="minor"/>
      </rPr>
      <t xml:space="preserve"> https://www.usbr.gov/uc/water/hydrodata/reservoir_data/site_map.html#</t>
    </r>
  </si>
  <si>
    <r>
      <rPr>
        <b/>
        <sz val="11"/>
        <rFont val="Calibri"/>
        <family val="2"/>
        <scheme val="minor"/>
      </rPr>
      <t xml:space="preserve">24 MS available at </t>
    </r>
    <r>
      <rPr>
        <u/>
        <sz val="11"/>
        <color theme="10"/>
        <rFont val="Calibri"/>
        <family val="2"/>
        <scheme val="minor"/>
      </rPr>
      <t>https://www.usbr.gov/lc/region/g4000/24mo/index.html</t>
    </r>
  </si>
  <si>
    <t>24 MS</t>
  </si>
  <si>
    <t>-</t>
  </si>
  <si>
    <t>difference between GCD releases (Water Account Reports) and Lees Ferry data</t>
  </si>
  <si>
    <t>difference between GCD releases (Hydrologic Database) and Lees Ferry data</t>
  </si>
  <si>
    <t>USGS data (unit cfs)</t>
  </si>
  <si>
    <t>USGS data (acre-feet)</t>
  </si>
  <si>
    <t xml:space="preserve">Figure 4. Graph showing difference between annual release from Lake Powell reported by Reclamation (Water Accounting Reports) and annual stream flow at Lees Ferry reported by the USGS since 2005. </t>
  </si>
  <si>
    <t xml:space="preserve">Figure 3. Graph showing difference between annual release from Lake Powell reported by Reclamation (24 Month Study and Hydrologic Database) and annual stream flow at Lees Ferry reported by the USGS since 2005. </t>
  </si>
  <si>
    <t xml:space="preserve">The average annual increase in stream flow between Glen Canyon Dam and Lees Ferry is ~150,000 af/yr between WY2005 and WY2019 </t>
  </si>
  <si>
    <t>2005-2019 average</t>
  </si>
  <si>
    <t>Description</t>
  </si>
  <si>
    <t>Value</t>
  </si>
  <si>
    <t>Water Year</t>
  </si>
  <si>
    <t>Measurement location</t>
  </si>
  <si>
    <t>Reporting agency</t>
  </si>
  <si>
    <t>USGS gage number</t>
  </si>
  <si>
    <t>Gage number in Figure 1</t>
  </si>
  <si>
    <t>Average total annual flow (maf/yr)</t>
  </si>
  <si>
    <t>Colorado River at Lees Ferry</t>
  </si>
  <si>
    <t>Paria River at Lees Ferry</t>
  </si>
  <si>
    <t>Little Colorado River nr Cameron</t>
  </si>
  <si>
    <r>
      <t xml:space="preserve">ungaged inflows to Colorado River within Grand Canyon (Lees Ferry to Grand Canyon gage) </t>
    </r>
    <r>
      <rPr>
        <vertAlign val="superscript"/>
        <sz val="9"/>
        <color rgb="FF000000"/>
        <rFont val="Times New Roman"/>
        <family val="1"/>
      </rPr>
      <t>1</t>
    </r>
  </si>
  <si>
    <r>
      <t>Colorado River nr Grand Canyon</t>
    </r>
    <r>
      <rPr>
        <vertAlign val="superscript"/>
        <sz val="9"/>
        <color rgb="FF000000"/>
        <rFont val="Times New Roman"/>
        <family val="1"/>
      </rPr>
      <t>1</t>
    </r>
  </si>
  <si>
    <r>
      <t xml:space="preserve">ungaged inflows to Colorado River within Grand Canyon (Grand Canyon gage to Diamond Creek) </t>
    </r>
    <r>
      <rPr>
        <vertAlign val="superscript"/>
        <sz val="9"/>
        <color rgb="FF000000"/>
        <rFont val="Times New Roman"/>
        <family val="1"/>
      </rPr>
      <t>1</t>
    </r>
  </si>
  <si>
    <t>total ungaged inflows (Lees Ferry to Diamond Creek)</t>
  </si>
  <si>
    <t>total ungaged inflows that arise within Grand Canyon (Lees Ferry to Diamond Creek)</t>
  </si>
  <si>
    <t>Colorado River nr Peach Springs</t>
  </si>
  <si>
    <r>
      <t>Diamond Creek nr Peach Springs</t>
    </r>
    <r>
      <rPr>
        <vertAlign val="superscript"/>
        <sz val="9"/>
        <color rgb="FF000000"/>
        <rFont val="Times New Roman"/>
        <family val="1"/>
      </rPr>
      <t>2</t>
    </r>
  </si>
  <si>
    <t>Virgin River @ Littlefield</t>
  </si>
  <si>
    <t>Table 2. Average annual flows between Lake Powell and Hoover Dam between 1990 and 2018.</t>
  </si>
  <si>
    <t xml:space="preserve">This value is 1.7% of the average annual reported release from Lake Powell during this period. </t>
  </si>
  <si>
    <t>Intervening Inflows to the Colorado River downstream from Lees Ferry</t>
  </si>
  <si>
    <t>af to maf</t>
  </si>
  <si>
    <r>
      <t>1</t>
    </r>
    <r>
      <rPr>
        <sz val="9"/>
        <color rgb="FF000000"/>
        <rFont val="Times New Roman"/>
        <family val="1"/>
      </rPr>
      <t xml:space="preserve"> does not include WY1993-1995</t>
    </r>
  </si>
  <si>
    <r>
      <t>2</t>
    </r>
    <r>
      <rPr>
        <sz val="9"/>
        <color rgb="FF000000"/>
        <rFont val="Times New Roman"/>
        <family val="1"/>
      </rPr>
      <t xml:space="preserve"> annual flows not reported in WY1990-1993</t>
    </r>
  </si>
  <si>
    <t>Agency</t>
  </si>
  <si>
    <t>Total gains between Lees Ferry and indicated location (maf/yr)</t>
  </si>
  <si>
    <t>Percentage of all gains from indicated source</t>
  </si>
  <si>
    <t>Little Colorado River nr Desert View</t>
  </si>
  <si>
    <t>Little Colorado River within Grand Canyon</t>
  </si>
  <si>
    <t>ungaged inflows to Colorado River, not including Paria or Little Colorado River</t>
  </si>
  <si>
    <t>Kanab Creek nr Supai</t>
  </si>
  <si>
    <t>Havasu Creek nr Supai</t>
  </si>
  <si>
    <t>inflows to Colorado River abv Diamond Creek, including Kanab and Havasu Creeks</t>
  </si>
  <si>
    <t>Diamond Creek nr Peach Springs</t>
  </si>
  <si>
    <t>ungaged inlows to Virgin River blw Littlefield</t>
  </si>
  <si>
    <t>Virgin River nr Overton</t>
  </si>
  <si>
    <t>Table 3. Average annual flows between Lake Powell and Hoover Dam between 2007 and 2018.</t>
  </si>
  <si>
    <t>Reclamation Natural Flow Database (acre-feet)</t>
  </si>
  <si>
    <t>gains in Little Colorado River within Grand Canyon</t>
  </si>
  <si>
    <t xml:space="preserve">Between those years, ~99% of the gaged inflow to Lake Mead came from the Colorado River, based on measurements of the Colorado River above Diamond Creek (Table 3). </t>
  </si>
  <si>
    <t>Of the total delivered to Lake Mead by the Colorado River, ~92% was released from the Glen Canyon Dam or seep around the dam</t>
  </si>
  <si>
    <t xml:space="preserve">Sources of intervening inflow from within the Grand Canyon, including inflows into the lower Little Colorado River, contributed an average of 710,000 af/yr, and only 114,000 af/yr came from the Paria River or from the Little Colorado River upstream from the Cameron gage. </t>
  </si>
  <si>
    <t>Value1</t>
  </si>
  <si>
    <t>Value2</t>
  </si>
  <si>
    <t>A Water Budget for Lake Mead</t>
  </si>
  <si>
    <t>Period</t>
  </si>
  <si>
    <t>3/2010 to 2/2011 (maf/yr)</t>
  </si>
  <si>
    <t>3/2011 to 2/2012 (maf/yr)</t>
  </si>
  <si>
    <t>3/2012 to 2/2013 (maf/yr)</t>
  </si>
  <si>
    <t>3/2013 to 2/2014 (maf/yr)</t>
  </si>
  <si>
    <t>Colorado River @ Lees Ferry</t>
  </si>
  <si>
    <t>Paria River @ Lees Ferry</t>
  </si>
  <si>
    <t>ungaged inflows abv Grand Canyon gage, not including Paria or Little Colorado River</t>
  </si>
  <si>
    <t>ungaged inflows</t>
  </si>
  <si>
    <t>Colorado River abv Diamond Creek nr Peach Springs</t>
  </si>
  <si>
    <t xml:space="preserve">Hoover Dam releases </t>
  </si>
  <si>
    <t>3/2014 to 2/2015 (maf/yr)</t>
  </si>
  <si>
    <t>Average (maf/yr)</t>
  </si>
  <si>
    <t>Table 4. Annual reservoir releases and streamflow in the Grand Canyon region between March 2010 and February 2015</t>
  </si>
  <si>
    <t>Colorado River above Diamond Creek</t>
  </si>
  <si>
    <t>Virgin River @ Overton</t>
  </si>
  <si>
    <t>Colorado River blw Hoover Dam</t>
  </si>
  <si>
    <t>From CRSS</t>
  </si>
  <si>
    <t>name</t>
  </si>
  <si>
    <t>09404200</t>
  </si>
  <si>
    <t>90404208</t>
  </si>
  <si>
    <t>09415000</t>
  </si>
  <si>
    <t>90419800</t>
  </si>
  <si>
    <t>09421500</t>
  </si>
  <si>
    <t>Nevada withdraw</t>
  </si>
  <si>
    <t>Mead evelation</t>
  </si>
  <si>
    <t>Mead storage</t>
  </si>
  <si>
    <t>change storage</t>
  </si>
  <si>
    <t>Mead area</t>
  </si>
  <si>
    <t>EvapRateFromMoreo-Min</t>
  </si>
  <si>
    <t>EvapRateFromMoreo-Max</t>
  </si>
  <si>
    <t>Evaporation-min</t>
  </si>
  <si>
    <t>Evaporation-max</t>
  </si>
  <si>
    <t>precipitation</t>
  </si>
  <si>
    <t>change of bank storage</t>
  </si>
  <si>
    <t>elevation</t>
  </si>
  <si>
    <t>storage</t>
  </si>
  <si>
    <t>area</t>
  </si>
  <si>
    <t>unit</t>
  </si>
  <si>
    <t>ac-ft</t>
  </si>
  <si>
    <t>feet</t>
  </si>
  <si>
    <t>acre</t>
  </si>
  <si>
    <t>positive when water flows into bank storage from the lake</t>
  </si>
  <si>
    <t>nagtive  when water flows back to the reservoir</t>
  </si>
  <si>
    <t>change of Mead storage</t>
  </si>
  <si>
    <t>3/10 to 2/11</t>
  </si>
  <si>
    <t>3/11 to 2/12</t>
  </si>
  <si>
    <t>3/12 to 2/13</t>
  </si>
  <si>
    <t>3/13 to 2/14</t>
  </si>
  <si>
    <t>3/14 to 2/15</t>
  </si>
  <si>
    <t>3/10 to 2/15</t>
  </si>
  <si>
    <t>Jan</t>
  </si>
  <si>
    <t>Feb</t>
  </si>
  <si>
    <t>Apr</t>
  </si>
  <si>
    <t>Aug</t>
  </si>
  <si>
    <t>Sep</t>
  </si>
  <si>
    <t>Oct</t>
  </si>
  <si>
    <t>Nov</t>
  </si>
  <si>
    <t>Dec</t>
  </si>
  <si>
    <t>https://water.weather.gov/precip/index.php</t>
  </si>
  <si>
    <t>Mead Area</t>
  </si>
  <si>
    <t>Mead Precip</t>
  </si>
  <si>
    <t>inches</t>
  </si>
  <si>
    <t>MAR</t>
  </si>
  <si>
    <t>APR</t>
  </si>
  <si>
    <t>MAY</t>
  </si>
  <si>
    <t>JUN</t>
  </si>
  <si>
    <t>JUL</t>
  </si>
  <si>
    <t>AUG</t>
  </si>
  <si>
    <t>SEP</t>
  </si>
  <si>
    <t>OCT</t>
  </si>
  <si>
    <t>NOV</t>
  </si>
  <si>
    <t>DEC</t>
  </si>
  <si>
    <t>JAN</t>
  </si>
  <si>
    <t>FEB</t>
  </si>
  <si>
    <t>bank storage</t>
  </si>
  <si>
    <t>million cubic meters</t>
  </si>
  <si>
    <t>Monthly energy-balance corrected evaporation data, Lake Mead, March 2010 through April 2015.</t>
  </si>
  <si>
    <t>Study year</t>
  </si>
  <si>
    <t>Month and year</t>
  </si>
  <si>
    <t>Evaporation, probable minimum (feet)</t>
  </si>
  <si>
    <t>Evaporation, most probable (feet)</t>
  </si>
  <si>
    <t>Evaporation, probable maximum (feet)</t>
  </si>
  <si>
    <t>3/10 to 2/15 average</t>
  </si>
  <si>
    <t>EvapRateFromMoreo-MostProbabal</t>
  </si>
  <si>
    <t>Evaporation-mostProbable</t>
  </si>
  <si>
    <t>acre feet</t>
  </si>
  <si>
    <t>cubic feet</t>
  </si>
  <si>
    <t>days</t>
  </si>
  <si>
    <t>cfs</t>
  </si>
  <si>
    <t>lees ferry</t>
  </si>
  <si>
    <t>cubic feet per second</t>
  </si>
  <si>
    <t>https://waterdata.usgs.gov/az/nwis/monthly/?referred_module=sw&amp;amp;site_no=09380000&amp;amp;por_09380000_236239=19133,00060,236239,1921-10,2020-04&amp;amp;format=html_table&amp;amp;date_format=YYYY-MM-DD&amp;amp;rdb_compression=file&amp;amp;submitted_form=parameter_selection_list</t>
  </si>
  <si>
    <t>USGS 09380000 COLORADO RIVER AT LEES FERRY, AZ</t>
  </si>
  <si>
    <t>annual data</t>
  </si>
  <si>
    <t>https://waterdata.usgs.gov/nwis/monthly/?referred_module=sw&amp;amp;site_no=09404200&amp;amp;por_09404200_5370=19350,00060,5370,1983-08,2020-02&amp;amp;format=html_table&amp;amp;date_format=YYYY-MM-DD&amp;amp;rdb_compression=file&amp;amp;submitted_form=parameter_selection_list</t>
  </si>
  <si>
    <t>https://waterdata.usgs.gov/nwis/monthly/?referred_module=sw&amp;amp;site_no=09415250&amp;amp;por_09415250_102194=171973,00060,102194,2006-04,2019-05&amp;amp;format=html_table&amp;amp;date_format=YYYY-MM-DD&amp;amp;rdb_compression=file&amp;amp;submitted_form=parameter_selection_list</t>
  </si>
  <si>
    <t>https://waterdata.usgs.gov/nwis/monthly/?referred_module=sw&amp;amp;site_no=09404208&amp;amp;por_09404208_5373=19351,00060,5373,1993-05,2020-01&amp;amp;format=html_table&amp;amp;date_format=YYYY-MM-DD&amp;amp;rdb_compression=file&amp;amp;submitted_form=parameter_selection_list</t>
  </si>
  <si>
    <t>USGS 09419800 LV WASH BLW LAKE LAS VEGAS NR BOULDER CITY, NV</t>
  </si>
  <si>
    <t>https://waterdata.usgs.gov/nv/nwis/uv/?site_no=09419800&amp;PARAmeter_cd=00065,00060</t>
  </si>
  <si>
    <t>https://waterdata.usgs.gov/nwis/monthly/?referred_module=sw&amp;amp;site_no=09421500&amp;amp;por_09421500_102357=172091,00060,102357,1934-04,2017-09&amp;amp;format=html_table&amp;amp;date_format=YYYY-MM-DD&amp;amp;rdb_compression=file&amp;amp;submitted_form=parameter_selection_list</t>
  </si>
  <si>
    <t>reported by BoR</t>
  </si>
  <si>
    <t>COLORADO RIVER AT LEES FERRY</t>
  </si>
  <si>
    <t xml:space="preserve">Colorado River nr Grand Canyon </t>
  </si>
  <si>
    <t>Item</t>
  </si>
  <si>
    <t>Reported value (maf/yr)</t>
  </si>
  <si>
    <t>Uncertainty (minimum value) (maf/yr)</t>
  </si>
  <si>
    <t>Uncertainty (maximum value) (maf/yr)</t>
  </si>
  <si>
    <r>
      <t>Assumed uncertainty (</t>
    </r>
    <r>
      <rPr>
        <u/>
        <sz val="9"/>
        <color rgb="FF000000"/>
        <rFont val="Times New Roman"/>
        <family val="1"/>
      </rPr>
      <t>+</t>
    </r>
    <r>
      <rPr>
        <sz val="9"/>
        <color rgb="FF000000"/>
        <rFont val="Times New Roman"/>
        <family val="1"/>
      </rPr>
      <t>)</t>
    </r>
  </si>
  <si>
    <t>Inputs</t>
  </si>
  <si>
    <t>Colorado River above Diamond Creek near Peach Springs</t>
  </si>
  <si>
    <t>Diamond Creek near Peach Springs</t>
  </si>
  <si>
    <t>Virgin River above Lake Mead near Overton</t>
  </si>
  <si>
    <t>Gage inflows</t>
  </si>
  <si>
    <t>Precipitation</t>
  </si>
  <si>
    <t>Ground water entering reservoir (bank storage)</t>
  </si>
  <si>
    <t>Gage inflows and other inputs</t>
  </si>
  <si>
    <t>Change in reservoir storage</t>
  </si>
  <si>
    <t>Total inflows and other inputs, including change in storage</t>
  </si>
  <si>
    <t>Outputs</t>
  </si>
  <si>
    <t xml:space="preserve">Colorado River below Hoover Dam </t>
  </si>
  <si>
    <r>
      <t>Nevada consumptive uses</t>
    </r>
    <r>
      <rPr>
        <vertAlign val="superscript"/>
        <sz val="9"/>
        <color rgb="FF000000"/>
        <rFont val="Times New Roman"/>
        <family val="1"/>
      </rPr>
      <t>1</t>
    </r>
  </si>
  <si>
    <t>Evaporation</t>
  </si>
  <si>
    <t>All outflows including losses</t>
  </si>
  <si>
    <t>Table 5. A water budget for Lake Mead between March 2010 and February 2015</t>
  </si>
  <si>
    <t xml:space="preserve">Based on this assumption, the uncertainty of annual flows of the Colorado River upstream from Diamond Creek for the study period was~ 405,000 af/yr, </t>
  </si>
  <si>
    <t>Approximately 92% of the outflows from Lake Mead occurred by Hoover Dam releases</t>
  </si>
  <si>
    <t xml:space="preserve">They determined that the most probable values of the annual evaporation rate were between 5.7 ft/yr and 6.8 ft/yr in the different years of their study. </t>
  </si>
  <si>
    <t>ValueMin</t>
  </si>
  <si>
    <t>ValueMax</t>
  </si>
  <si>
    <t xml:space="preserve">For the 5 years considered here, evaporation losses were ~559,000 af/yr and were 5.4% of the total outflows and losses from Lake Mead. </t>
  </si>
  <si>
    <t>Nevada’s consumptive uses of Lake Mead were approximately 230,000 af/yr and were only 2.2% of the total outflows and losses from the reservoir.</t>
  </si>
  <si>
    <t>Lake Mead decreased in reservoir storage by ~1.254 maf</t>
  </si>
  <si>
    <t xml:space="preserve">average total annual inflows (including gage inflow, precipitation, ground water entering reservoir) plus the change in reservoir storage exceeded the total outflows (Hoover Dam releases, net Nevada withdrawals, and evaporation) by 280,000 af/yr during this 5-year period, approximately equal to the annual consumptive uses of Nevada. </t>
  </si>
  <si>
    <t>Figure 9. Graph showing annual intervening flows between Lees Ferry and the Grand Canyon gage calculated from USGS gaging data and reported by Reclamation in the Natural Flow Data base.</t>
  </si>
  <si>
    <t>Figure 10. Graph showing annual intervening flows between the Grand Canyon gage and Hoover Dam calculated from USGS gaging data and reported by Reclamation in the Natural Flow Data base.</t>
  </si>
  <si>
    <t>How the Natural Flow Data Base and CRSS consider the hydrology of the southern Colorado Plateau</t>
  </si>
  <si>
    <t xml:space="preserve">The estimated intervening flows calculated from the USGS gaging data was always higher than the intervening flows reported in the Natural Flow Data base from WY 2007 to WY 2018 (Fig. 10), and the actual intervening inflows exceeded those reported in the Natural Flows database averaged 260,000 af/yr. </t>
  </si>
  <si>
    <t>A Water Budget for Lake Powell</t>
  </si>
  <si>
    <t xml:space="preserve">Intervening flows calculated with USGS data minus intervening flows in the Natural Flow Data base  </t>
  </si>
  <si>
    <t>Reclamation GCD release data (acre-feet)</t>
  </si>
  <si>
    <t>Gage</t>
  </si>
  <si>
    <t>Source</t>
  </si>
  <si>
    <t>WY2017 (maf/yr)</t>
  </si>
  <si>
    <t>WY2018 (maf/yr)</t>
  </si>
  <si>
    <t>WY2019 (maf/yr)</t>
  </si>
  <si>
    <t>Colorado River near Cisco</t>
  </si>
  <si>
    <t>Colorado River at Potash</t>
  </si>
  <si>
    <t>Green River at Green River</t>
  </si>
  <si>
    <t>San Rafael River near Green River</t>
  </si>
  <si>
    <t>Green River at Mineral Bottom</t>
  </si>
  <si>
    <t>Dirty Devil River above Poison Springs Wash near Hanksville</t>
  </si>
  <si>
    <t>Escalante River near Escalante</t>
  </si>
  <si>
    <t>San Juan River near Bluff</t>
  </si>
  <si>
    <t>Glen Canyon Dam release</t>
  </si>
  <si>
    <t>WY2016 (maf/yr)</t>
  </si>
  <si>
    <t>Table 6. Annual streamflow to Lake Powell between October 2015 and September 2019</t>
  </si>
  <si>
    <t>USGS 09180500 COLORADO RIVER NEAR CISCO, UT</t>
  </si>
  <si>
    <t>https://waterdata.usgs.gov/usa/nwis/uv?09180500</t>
  </si>
  <si>
    <t>（OCT 1913， JAN 2020）</t>
  </si>
  <si>
    <t>https://waterdata.usgs.gov/nwis/annual/?referred_module=sw&amp;amp;site_no=09180500&amp;amp;por_09180500_142741=448304,00060,142741,1914,2020&amp;amp;year_type=W&amp;amp;format=html_table&amp;amp;date_format=YYYY-MM-DD&amp;amp;rdb_compression=file&amp;amp;submitted_form=parameter_selection_list</t>
  </si>
  <si>
    <t>WY</t>
  </si>
  <si>
    <t>Calculated (maf/yr)</t>
  </si>
  <si>
    <t>Annual published</t>
  </si>
  <si>
    <t>seconds per day</t>
  </si>
  <si>
    <t>converted from annually(maf/yr)</t>
  </si>
  <si>
    <t>average</t>
  </si>
  <si>
    <t>USGS 09185600 COLORADO RIVER AT POTASH, UT</t>
  </si>
  <si>
    <t>https://waterdata.usgs.gov/nwis/monthly/?referred_module=sw&amp;amp;site_no=09185600&amp;amp;por_09185600_142765=2698801,00060,142765,2014-10,2020-03&amp;amp;format=html_table&amp;amp;date_format=YYYY-MM-DD&amp;amp;rdb_compression=file&amp;amp;submitted_form=parameter_selection_list</t>
  </si>
  <si>
    <t>https://waterdata.usgs.gov/nwis/annual/?referred_module=sw&amp;amp;site_no=09185600&amp;amp;por_09185600_142765=2698801,00060,142765,2015,2020&amp;amp;year_type=W&amp;amp;format=html_table&amp;amp;date_format=YYYY-MM-DD&amp;amp;rdb_compression=file&amp;amp;submitted_form=parameter_selection_list</t>
  </si>
  <si>
    <t xml:space="preserve">gap between gage 09185600 and 09180500 </t>
  </si>
  <si>
    <t>USGS 09315000 GREEN RIVER AT GREEN RIVER, UT</t>
  </si>
  <si>
    <t>https://waterdata.usgs.gov/nwis/monthly/?referred_module=sw&amp;amp;site_no=09315000&amp;amp;por_09315000_143107=448593,00060,143107,1894-10,2020-02&amp;amp;format=html_table&amp;amp;date_format=YYYY-MM-DD&amp;amp;rdb_compression=file&amp;amp;submitted_form=parameter_selection_list</t>
  </si>
  <si>
    <t>（Oct 1894- Jan 2020）</t>
  </si>
  <si>
    <t>https://waterdata.usgs.gov/nwis/annual/?referred_module=sw&amp;amp;site_no=09315000&amp;amp;por_09315000_143107=448593,00060,143107,1895,2020&amp;amp;year_type=W&amp;amp;format=html_table&amp;amp;date_format=YYYY-MM-DD&amp;amp;rdb_compression=file&amp;amp;submitted_form=parameter_selection_list</t>
  </si>
  <si>
    <t>Calculated from monthly(maf/yr)</t>
  </si>
  <si>
    <t>USGS 09328500 SAN RAFAEL RIVER NEAR GREEN RIVER, UT</t>
  </si>
  <si>
    <t>https://waterdata.usgs.gov/nwis/monthly/?referred_module=sw&amp;amp;site_no=09328500&amp;amp;por_09328500_143149=448642,00060,143149,1909-10,2020-04&amp;amp;format=html_table&amp;amp;date_format=YYYY-MM-DD&amp;amp;rdb_compression=file&amp;amp;submitted_form=parameter_selection_list</t>
  </si>
  <si>
    <t>https://waterdata.usgs.gov/nwis/annual/?referred_module=sw&amp;amp;site_no=09328500&amp;amp;por_09328500_143149=448642,00060,143149,1910,2020&amp;amp;year_type=W&amp;amp;format=html_table&amp;amp;date_format=YYYY-MM-DD&amp;amp;rdb_compression=file&amp;amp;submitted_form=parameter_selection_list</t>
  </si>
  <si>
    <t>maf/yr</t>
  </si>
  <si>
    <t>USGS 09328920 GREEN RIVER AT MINERAL BOTTOM NR CYNLNDS NTL PARK</t>
  </si>
  <si>
    <t>https://waterdata.usgs.gov/ut/nwis/monthly/?referred_module=sw&amp;amp;site_no=09328920&amp;amp;por_09328920_143156=2674131,00060,143156,2014-03,2020-04&amp;amp;format=html_table&amp;amp;date_format=YYYY-MM-DD&amp;amp;rdb_compression=file&amp;amp;submitted_form=parameter_selection_list</t>
  </si>
  <si>
    <t>https://waterdata.usgs.gov/ut/nwis/annual/?referred_module=sw&amp;amp;site_no=09328920&amp;amp;por_09328920_143156=2674131,00060,143156,2014,2020&amp;amp;year_type=W&amp;amp;format=html_table&amp;amp;date_format=YYYY-MM-DD&amp;amp;rdb_compression=file&amp;amp;submitted_form=parameter_selection_list</t>
  </si>
  <si>
    <t>gap between gage 09328920 and 09315000</t>
  </si>
  <si>
    <t>gap between gage 09328920 and sum of 09315000 and 09328500</t>
  </si>
  <si>
    <t>USGS 09333500 DIRTY DEVIL R AB POISON SP WSH NR HANKSVILLE UT</t>
  </si>
  <si>
    <t>https://waterdata.usgs.gov/nwis/monthly/?referred_module=sw&amp;amp;site_no=09333500&amp;amp;por_09333500_143180=448672,00060,143180,1948-06,2020-05&amp;amp;format=html_table&amp;amp;date_format=YYYY-MM-DD&amp;amp;rdb_compression=file&amp;amp;submitted_form=parameter_selection_list</t>
  </si>
  <si>
    <t>https://waterdata.usgs.gov/nwis/annual/?referred_module=sw&amp;amp;site_no=09333500&amp;amp;por_09333500_143180=448672,00060,143180,1948,2020&amp;amp;year_type=W&amp;amp;format=html_table&amp;amp;date_format=YYYY-MM-DD&amp;amp;rdb_compression=file&amp;amp;submitted_form=parameter_selection_list</t>
  </si>
  <si>
    <t>USGS 09337500 ESCALANTE RIVER NEAR ESCALANTE, UT</t>
  </si>
  <si>
    <t>https://waterdata.usgs.gov/nwis/monthly/?referred_module=sw&amp;amp;site_no=09337500&amp;amp;por_09337500_143192=448685,00060,143192,1911-01,2020-01&amp;amp;format=html_table&amp;amp;date_format=YYYY-MM-DD&amp;amp;rdb_compression=file&amp;amp;submitted_form=parameter_selection_list</t>
  </si>
  <si>
    <t>（1942，）</t>
  </si>
  <si>
    <t>USGS 09379500 SAN JUAN RIVER NEAR BLUFF, UT</t>
  </si>
  <si>
    <t>https://waterdata.usgs.gov/ut/nwis/monthly/?referred_module=sw&amp;amp;site_no=09379500&amp;amp;por_09379500_163674=448709,00060,163674,1914-10,2019-10&amp;amp;format=html_table&amp;amp;date_format=YYYY-MM-DD&amp;amp;rdb_compression=file&amp;amp;submitted_form=parameter_selection_list</t>
  </si>
  <si>
    <t>https://waterdata.usgs.gov/ut/nwis/annual/?referred_module=sw&amp;amp;site_no=09379500&amp;amp;por_09379500_163674=448709,00060,163674,1915,2020&amp;amp;year_type=W&amp;amp;format=html_table&amp;amp;date_format=YYYY-MM-DD&amp;amp;rdb_compression=file&amp;amp;submitted_form=parameter_selection_list</t>
  </si>
  <si>
    <t xml:space="preserve">The measured flow at Potash was 4.411 maf/yr between WY 2016 and WY2019 and was 41,000 af/yr higher than the flow measured flow at Cisco (Table 6). </t>
  </si>
  <si>
    <t>For example, in WY2019, annual flow at Potash was 10,000 af/yr less than at Cisco, which is unlikely.</t>
  </si>
  <si>
    <t xml:space="preserve">The reported flow at Mineral Bottom was 4.110 maf/yr (Table 6) between WY2016 and WY2019 and was 36,000 af/yr higher than the measured flow at the Green River gage. </t>
  </si>
  <si>
    <r>
      <t xml:space="preserve">the water budget only makes physical sense if one accepts that the uncertainty of measurements of the various inflows and outflows that is </t>
    </r>
    <r>
      <rPr>
        <b/>
        <i/>
        <u/>
        <sz val="11"/>
        <color theme="1"/>
        <rFont val="Garamond"/>
        <family val="1"/>
      </rPr>
      <t>+</t>
    </r>
    <r>
      <rPr>
        <b/>
        <i/>
        <sz val="11"/>
        <color theme="1"/>
        <rFont val="Garamond"/>
        <family val="1"/>
      </rPr>
      <t xml:space="preserve">200,000 af/yr. </t>
    </r>
  </si>
  <si>
    <r>
      <t>The area draining to Lake Powell that is downstream from all of these gages is 10,255 mi</t>
    </r>
    <r>
      <rPr>
        <vertAlign val="superscript"/>
        <sz val="11"/>
        <color theme="1"/>
        <rFont val="Garamond"/>
        <family val="1"/>
      </rPr>
      <t>2</t>
    </r>
    <r>
      <rPr>
        <sz val="11"/>
        <color theme="1"/>
        <rFont val="Garamond"/>
        <family val="1"/>
      </rPr>
      <t>, and is less than the 13,986 mi</t>
    </r>
    <r>
      <rPr>
        <vertAlign val="superscript"/>
        <sz val="11"/>
        <color theme="1"/>
        <rFont val="Garamond"/>
        <family val="1"/>
      </rPr>
      <t>2</t>
    </r>
    <r>
      <rPr>
        <sz val="11"/>
        <color theme="1"/>
        <rFont val="Garamond"/>
        <family val="1"/>
      </rPr>
      <t xml:space="preserve"> of ungaged watershed that drain to Lake Mead. </t>
    </r>
  </si>
  <si>
    <r>
      <t>The reduction in uncertainty associated with estimating inflows from the San Rafael River is illustrated by the fact that the reported flow at Mineral Bottom for this period was 30,000 af/yr less than the sum of the measured flow at the Green River gage and the long-term gage on the San Rafael (USGS gage 09328500, san Rafael near Green River, drainage area 1628 mi</t>
    </r>
    <r>
      <rPr>
        <vertAlign val="superscript"/>
        <sz val="11"/>
        <color theme="1"/>
        <rFont val="Garamond"/>
        <family val="1"/>
      </rPr>
      <t>2</t>
    </r>
    <r>
      <rPr>
        <sz val="11"/>
        <color theme="1"/>
        <rFont val="Garamond"/>
        <family val="1"/>
      </rPr>
      <t>; gage number 4 in Fig. 1).</t>
    </r>
  </si>
  <si>
    <r>
      <t>assumed uncertainty (</t>
    </r>
    <r>
      <rPr>
        <u/>
        <sz val="9"/>
        <color rgb="FF000000"/>
        <rFont val="Times New Roman"/>
        <family val="1"/>
      </rPr>
      <t>+</t>
    </r>
    <r>
      <rPr>
        <sz val="9"/>
        <color rgb="FF000000"/>
        <rFont val="Times New Roman"/>
        <family val="1"/>
      </rPr>
      <t>)</t>
    </r>
  </si>
  <si>
    <t>Green River at Mineral Bottom nr Cynlnds ntl Park</t>
  </si>
  <si>
    <t>Colorado River at Potash, UT</t>
  </si>
  <si>
    <t>Dirty Devil River above Poison sp wsh nr Hanksville UT</t>
  </si>
  <si>
    <t>Escalante River near Escalante, UT</t>
  </si>
  <si>
    <t>San Juan River near Bluff, UT</t>
  </si>
  <si>
    <t>Total inflow</t>
  </si>
  <si>
    <t>All inputs</t>
  </si>
  <si>
    <t>Colorado River at Lees Ferry, AZ</t>
  </si>
  <si>
    <t>gross evaporation</t>
  </si>
  <si>
    <t>net evaporation</t>
  </si>
  <si>
    <t>Reservoir water entering Ground water (bank storage)</t>
  </si>
  <si>
    <t>Powell storage increases</t>
  </si>
  <si>
    <t>Total outflow calculated as Lees Ferry flow and gross evaporation</t>
  </si>
  <si>
    <t xml:space="preserve">Total outflow calculated as Glen Canyon Dam releases and net evaporation </t>
  </si>
  <si>
    <t>Averaged Reported (maf/yr)</t>
  </si>
  <si>
    <t>uncertainty range (min) (maf/yr)</t>
  </si>
  <si>
    <t>uncertainty range (max) (maf/yr)</t>
  </si>
  <si>
    <t>Table 7. A water budget for Lake Powell between October 2015 and September 2019</t>
  </si>
  <si>
    <t>end of month</t>
  </si>
  <si>
    <t>8% reclamation assumption</t>
  </si>
  <si>
    <t xml:space="preserve"> Historical Elevation</t>
  </si>
  <si>
    <t xml:space="preserve">Storage </t>
  </si>
  <si>
    <t xml:space="preserve">Area </t>
  </si>
  <si>
    <t>AveArea</t>
  </si>
  <si>
    <t>Precipitation rate</t>
  </si>
  <si>
    <t xml:space="preserve">Precipitation rate </t>
  </si>
  <si>
    <t>Precipiation</t>
  </si>
  <si>
    <t>change of storage</t>
  </si>
  <si>
    <t>change in bank storage</t>
  </si>
  <si>
    <t>MAX EVAP</t>
  </si>
  <si>
    <t>MIN EVAP</t>
  </si>
  <si>
    <t>NET EVAP</t>
  </si>
  <si>
    <t>Powell Gross Evap Rate from Fill Mead First report, table 2</t>
  </si>
  <si>
    <t xml:space="preserve"> (feet)</t>
  </si>
  <si>
    <t>(acre-feet)</t>
  </si>
  <si>
    <t>(acre)</t>
  </si>
  <si>
    <t xml:space="preserve"> (inches)</t>
  </si>
  <si>
    <t>(feet)</t>
  </si>
  <si>
    <t xml:space="preserve"> (acre-feet)</t>
  </si>
  <si>
    <t>Gross evap rate - max (feet)</t>
  </si>
  <si>
    <t>Gross evap rate - min (feet)</t>
  </si>
  <si>
    <t>Gross evap rate - probable (feet)</t>
  </si>
  <si>
    <t>Net evap rate  (feet)</t>
  </si>
  <si>
    <t>Elevation Area Table from CRSS</t>
  </si>
  <si>
    <t>Elevation Volume Table from CRSS</t>
  </si>
  <si>
    <t xml:space="preserve"> Elevation (feet)</t>
  </si>
  <si>
    <t>area (acre)</t>
  </si>
  <si>
    <t>Storage (acre-feet)</t>
  </si>
  <si>
    <t>Data source</t>
  </si>
  <si>
    <t>https://www.usbr.gov/rsvrWater/HistoricalApp.html</t>
  </si>
  <si>
    <t>https://water.weather.gov/precip/index.php#</t>
  </si>
  <si>
    <t>https://www.usclimatedata.com/climate/lake-powell/utah/united-states/usut0284</t>
  </si>
  <si>
    <t>water year</t>
  </si>
  <si>
    <t>2016 to 2019</t>
  </si>
  <si>
    <t>Average</t>
  </si>
  <si>
    <t>probable EVAP</t>
  </si>
  <si>
    <t>Data Source</t>
  </si>
  <si>
    <r>
      <rPr>
        <b/>
        <sz val="11"/>
        <rFont val="Calibri"/>
        <family val="2"/>
        <scheme val="minor"/>
      </rPr>
      <t xml:space="preserve">Lower Colorado River Operations. available at </t>
    </r>
    <r>
      <rPr>
        <u/>
        <sz val="11"/>
        <color theme="10"/>
        <rFont val="Calibri"/>
        <family val="2"/>
        <scheme val="minor"/>
      </rPr>
      <t>https://www.usbr.gov/lc/region/g4000/hourly/mead-elv.html</t>
    </r>
  </si>
  <si>
    <r>
      <rPr>
        <sz val="11"/>
        <rFont val="Calibri"/>
        <family val="2"/>
        <scheme val="minor"/>
      </rPr>
      <t>MeadEvaporationData201003-201504.xlsx. avaiable at:</t>
    </r>
    <r>
      <rPr>
        <b/>
        <sz val="11"/>
        <rFont val="Calibri"/>
        <family val="2"/>
        <scheme val="minor"/>
      </rPr>
      <t xml:space="preserve"> </t>
    </r>
    <r>
      <rPr>
        <u/>
        <sz val="11"/>
        <color theme="10"/>
        <rFont val="Calibri"/>
        <family val="2"/>
        <scheme val="minor"/>
      </rPr>
      <t>https://www.sciencebase.gov/catalog/item/55f6fba8e4b0477df11bff2b</t>
    </r>
  </si>
  <si>
    <t>Moreo, M.T. 2015. Evaporation data from Lake Mead and Lake Mohave, Nevada and Arizona, March 2010 through April 2015. U.S. Geological Survey Data Release, http://dx.doi.org/10.5066/F79C6VG3</t>
  </si>
  <si>
    <t xml:space="preserve">Between WY2016 and WY2019, 99% of the inflow to Lake Powell came from the upper Colorado, Green, and San Juan Rivers (Table 6). </t>
  </si>
  <si>
    <t xml:space="preserve">These estimates were based on the mass transfer method, and the annual rates for the original study period ranged from 4.1 to 7.8 ft/yr. </t>
  </si>
  <si>
    <t>This sheet shows how to calculate numbers in the mainbody of the paper</t>
  </si>
  <si>
    <t>Title</t>
  </si>
  <si>
    <t>Authors</t>
  </si>
  <si>
    <t xml:space="preserve">Figure 12. Diagram showing average annual Lake Powell gains and losses with uncertainty range, based on different assumptions that are described in the text. </t>
  </si>
  <si>
    <t xml:space="preserve"> Jian Wang (jian.wang@usu.edu)</t>
  </si>
  <si>
    <t xml:space="preserve"> John C. Schmidt (jack.schmidt@usu.edu)</t>
  </si>
  <si>
    <t>Supplemental data for Stream flow and Losses of the Colorado River in the Southern Colorado Plateau</t>
  </si>
  <si>
    <t>Tables</t>
  </si>
  <si>
    <t>Sheet name</t>
  </si>
  <si>
    <t>Figures</t>
  </si>
  <si>
    <t>Mainbody</t>
  </si>
  <si>
    <t>Other sheets</t>
  </si>
  <si>
    <t>Contents</t>
  </si>
  <si>
    <t>09419756</t>
  </si>
  <si>
    <t>USGS 09379910 COLORADO RIVER BELOW GLEN CANYON DAM, AZ</t>
  </si>
  <si>
    <t>gage name</t>
  </si>
  <si>
    <t>link</t>
  </si>
  <si>
    <t>https://waterdata.usgs.gov/nwis/inventory/?site_no=09421500&amp;agency_cd=USGS</t>
  </si>
  <si>
    <t>https://waterdata.usgs.gov/nv/nwis/inventory/?site_no=09419756&amp;agency_cd=USGS</t>
  </si>
  <si>
    <t>https://waterdata.usgs.gov/nwis/inventory/?site_no=09404200&amp;agency_cd=USGS</t>
  </si>
  <si>
    <t>https://waterdata.usgs.gov/nwis/inventory/?site_no=09404208&amp;agency_cd=USGS</t>
  </si>
  <si>
    <t>https://nwis.waterdata.usgs.gov/nwis/inventory/?site_no=09415250&amp;agency_cd=USGS</t>
  </si>
  <si>
    <t>Reclamation. 2007. Colorado River Interim Guidelines for Lower Basin Shortages and Coordinated Operations for Lake Powell and Lake Mead, Final Environmental Impact Statement. Appendix A, Table A-20</t>
  </si>
  <si>
    <t>Other sheets prepare data for "Tables", "Figures", "Mainbody" sheets</t>
  </si>
  <si>
    <t>This sheet shows how to calculate table numbers</t>
  </si>
  <si>
    <t>This sheet plots figures with supplemental data</t>
  </si>
  <si>
    <t>This supplementary file contains most of the data used in the white paper "Stream flow and Losses of the Colorado River in the Southern Colorado Plateau"</t>
  </si>
  <si>
    <t>Inflow to Mead</t>
  </si>
  <si>
    <t>Gain Glen Canyon to Mead</t>
  </si>
  <si>
    <t>Gain Colorado Lees Ferry to Mead</t>
  </si>
  <si>
    <t>Natural Flow</t>
  </si>
  <si>
    <t>CompareUSGStoNatFlow</t>
  </si>
  <si>
    <t>Created by David Rosenberg. Compares USGS gages and USBR Natural Flow for all Grand Canyon Intervening Flow Lee Ferry to Lake Mead</t>
  </si>
  <si>
    <t>March to Febur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</si>
</sst>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164" formatCode="_ * #,##0.00_ ;_ * \-#,##0.00_ ;_ * &quot;-&quot;??_ ;_ @_ "/>
    <numFmt numFmtId="165" formatCode="_(* #,##0_);_(* \(#,##0\);_(* &quot;-&quot;??_);_(@_)"/>
    <numFmt numFmtId="166" formatCode="_(* #,##0.000_);_(* \(#,##0.000\);_(* &quot;-&quot;??_);_(@_)"/>
    <numFmt numFmtId="167" formatCode="0.0000"/>
    <numFmt numFmtId="168" formatCode="0.000"/>
    <numFmt numFmtId="169" formatCode="_(* #,##0.00000_);_(* \(#,##0.00000\);_(* &quot;-&quot;??_);_(@_)"/>
    <numFmt numFmtId="170" formatCode="0.000000"/>
    <numFmt numFmtId="171" formatCode="0.00000"/>
    <numFmt numFmtId="172" formatCode="_(* #,##0.0000_);_(* \(#,##0.0000\);_(* &quot;-&quot;??_);_(@_)"/>
    <numFmt numFmtId="173" formatCode="0.0000000"/>
    <numFmt numFmtId="174" formatCode="[$-409]mmmmm\-yy;@"/>
    <numFmt numFmtId="175" formatCode="0.0%"/>
    <numFmt numFmtId="176" formatCode="#,##0.0"/>
    <numFmt numFmtId="177" formatCode="_ * #,##0.0_ ;_ * \-#,##0.0_ ;_ * &quot;-&quot;?_ ;_ @_ "/>
    <numFmt numFmtId="178" formatCode="#,##0.000000000000"/>
    <numFmt numFmtId="179" formatCode="_ * #,##0_ ;_ * \-#,##0_ ;_ * &quot;-&quot;??_ ;_ @_ "/>
    <numFmt numFmtId="180" formatCode="m/yy"/>
    <numFmt numFmtId="181" formatCode="0.0"/>
    <numFmt numFmtId="182" formatCode="mm/dd/yyyy"/>
    <numFmt numFmtId="183" formatCode="mmm\ yyyy"/>
    <numFmt numFmtId="184" formatCode="[$-409]mmm\-yyyy;@"/>
    <numFmt numFmtId="185" formatCode="[$-409]mmm\-yy;@"/>
    <numFmt numFmtId="186" formatCode="#,##0.000"/>
    <numFmt numFmtId="187" formatCode="0.000%"/>
    <numFmt numFmtId="188" formatCode="#,##0.0000"/>
    <numFmt numFmtId="189" formatCode="#,##0.00000"/>
  </numFmts>
  <fonts count="41">
    <font>
      <sz val="11"/>
      <color theme="1"/>
      <name val="Calibri"/>
      <family val="2"/>
      <scheme val="minor"/>
    </font>
    <font>
      <sz val="11"/>
      <color theme="1"/>
      <name val="Calibri"/>
      <family val="2"/>
      <charset val="134"/>
      <scheme val="minor"/>
    </font>
    <font>
      <sz val="11"/>
      <color theme="1"/>
      <name val="Calibri"/>
      <family val="2"/>
      <scheme val="minor"/>
    </font>
    <font>
      <b/>
      <sz val="12"/>
      <color theme="1"/>
      <name val="Calibri"/>
      <family val="2"/>
      <scheme val="minor"/>
    </font>
    <font>
      <b/>
      <i/>
      <sz val="12"/>
      <color theme="1"/>
      <name val="Calibri"/>
      <family val="2"/>
      <scheme val="minor"/>
    </font>
    <font>
      <b/>
      <sz val="11"/>
      <color theme="1"/>
      <name val="Calibri"/>
      <family val="2"/>
      <scheme val="minor"/>
    </font>
    <font>
      <u/>
      <sz val="11"/>
      <color theme="10"/>
      <name val="Calibri"/>
      <family val="2"/>
      <scheme val="minor"/>
    </font>
    <font>
      <b/>
      <sz val="10"/>
      <color rgb="FF000080"/>
      <name val="Verdana"/>
      <family val="2"/>
    </font>
    <font>
      <sz val="10"/>
      <color rgb="FF000000"/>
      <name val="Verdana"/>
      <family val="2"/>
    </font>
    <font>
      <sz val="12"/>
      <color theme="1"/>
      <name val="Garamond"/>
      <family val="1"/>
    </font>
    <font>
      <b/>
      <sz val="11"/>
      <color theme="10"/>
      <name val="Calibri"/>
      <family val="2"/>
      <scheme val="minor"/>
    </font>
    <font>
      <b/>
      <sz val="11"/>
      <name val="Calibri"/>
      <family val="2"/>
      <scheme val="minor"/>
    </font>
    <font>
      <sz val="11"/>
      <color theme="1"/>
      <name val="Garamond"/>
      <family val="1"/>
    </font>
    <font>
      <sz val="9"/>
      <color rgb="FF000000"/>
      <name val="Times New Roman"/>
      <family val="1"/>
    </font>
    <font>
      <vertAlign val="superscript"/>
      <sz val="9"/>
      <color rgb="FF000000"/>
      <name val="Times New Roman"/>
      <family val="1"/>
    </font>
    <font>
      <sz val="9"/>
      <color theme="1"/>
      <name val="Times New Roman"/>
      <family val="1"/>
    </font>
    <font>
      <b/>
      <sz val="10.5"/>
      <color theme="1"/>
      <name val="Calibri"/>
      <family val="2"/>
      <scheme val="minor"/>
    </font>
    <font>
      <sz val="10"/>
      <color rgb="FF333333"/>
      <name val="Arial"/>
      <family val="2"/>
    </font>
    <font>
      <b/>
      <sz val="10"/>
      <name val="Arial"/>
      <family val="2"/>
    </font>
    <font>
      <sz val="10"/>
      <name val="MS Sans Serif"/>
      <family val="2"/>
    </font>
    <font>
      <sz val="11"/>
      <name val="Calibri"/>
      <family val="2"/>
      <scheme val="minor"/>
    </font>
    <font>
      <b/>
      <i/>
      <sz val="10"/>
      <name val="Arial"/>
      <family val="2"/>
    </font>
    <font>
      <b/>
      <sz val="12"/>
      <color rgb="FF0000FF"/>
      <name val="Calibri"/>
      <family val="2"/>
      <scheme val="minor"/>
    </font>
    <font>
      <sz val="12"/>
      <color theme="1"/>
      <name val="Calibri"/>
      <family val="2"/>
      <scheme val="minor"/>
    </font>
    <font>
      <sz val="11"/>
      <name val="Calibri"/>
      <family val="2"/>
    </font>
    <font>
      <b/>
      <sz val="10"/>
      <color rgb="FF000000"/>
      <name val="Verdana"/>
      <family val="2"/>
    </font>
    <font>
      <sz val="10"/>
      <color rgb="FF000000"/>
      <name val="Verdana"/>
      <family val="2"/>
      <charset val="134"/>
    </font>
    <font>
      <b/>
      <sz val="13.5"/>
      <color rgb="FF000080"/>
      <name val="Verdana"/>
      <family val="2"/>
    </font>
    <font>
      <b/>
      <sz val="18"/>
      <color rgb="FF000080"/>
      <name val="Verdana"/>
      <family val="2"/>
    </font>
    <font>
      <b/>
      <sz val="9"/>
      <color rgb="FF000000"/>
      <name val="Times New Roman"/>
      <family val="1"/>
    </font>
    <font>
      <sz val="10.5"/>
      <color theme="1"/>
      <name val="Calibri"/>
      <family val="2"/>
      <scheme val="minor"/>
    </font>
    <font>
      <u/>
      <sz val="9"/>
      <color rgb="FF000000"/>
      <name val="Times New Roman"/>
      <family val="1"/>
    </font>
    <font>
      <b/>
      <sz val="12"/>
      <color rgb="FF595959"/>
      <name val="Calibri"/>
      <family val="2"/>
      <scheme val="minor"/>
    </font>
    <font>
      <u/>
      <sz val="11"/>
      <color theme="1"/>
      <name val="Garamond"/>
      <family val="1"/>
    </font>
    <font>
      <b/>
      <i/>
      <sz val="11"/>
      <color theme="1"/>
      <name val="Garamond"/>
      <family val="1"/>
    </font>
    <font>
      <b/>
      <i/>
      <u/>
      <sz val="11"/>
      <color theme="1"/>
      <name val="Garamond"/>
      <family val="1"/>
    </font>
    <font>
      <vertAlign val="superscript"/>
      <sz val="11"/>
      <color theme="1"/>
      <name val="Garamond"/>
      <family val="1"/>
    </font>
    <font>
      <sz val="8"/>
      <color theme="1"/>
      <name val="Calibri"/>
      <family val="2"/>
      <scheme val="minor"/>
    </font>
    <font>
      <sz val="8"/>
      <color rgb="FF337AB7"/>
      <name val="Arial"/>
      <family val="2"/>
    </font>
    <font>
      <sz val="10.5"/>
      <color theme="1"/>
      <name val="Times New Roman"/>
      <family val="1"/>
    </font>
    <font>
      <sz val="12"/>
      <color rgb="FF000000"/>
      <name val="Garamond"/>
      <family val="1"/>
    </font>
  </fonts>
  <fills count="9">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FF"/>
        <bgColor indexed="64"/>
      </patternFill>
    </fill>
    <fill>
      <patternFill patternType="solid">
        <fgColor rgb="FF92D050"/>
        <bgColor indexed="64"/>
      </patternFill>
    </fill>
    <fill>
      <patternFill patternType="solid">
        <fgColor theme="2"/>
        <bgColor indexed="64"/>
      </patternFill>
    </fill>
    <fill>
      <patternFill patternType="solid">
        <fgColor theme="2" tint="-0.249977111117893"/>
        <bgColor indexed="64"/>
      </patternFill>
    </fill>
  </fills>
  <borders count="13">
    <border>
      <left/>
      <right/>
      <top/>
      <bottom/>
      <diagonal/>
    </border>
    <border>
      <left/>
      <right/>
      <top/>
      <bottom style="thick">
        <color auto="1"/>
      </bottom>
      <diagonal/>
    </border>
    <border>
      <left/>
      <right style="thin">
        <color auto="1"/>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style="thin">
        <color rgb="FFD0D7E5"/>
      </right>
      <top/>
      <bottom/>
      <diagonal/>
    </border>
    <border>
      <left style="thin">
        <color rgb="FFD0D7E5"/>
      </left>
      <right style="thin">
        <color rgb="FFD0D7E5"/>
      </right>
      <top style="thin">
        <color rgb="FFD0D7E5"/>
      </top>
      <bottom style="thin">
        <color rgb="FFD0D7E5"/>
      </bottom>
      <diagonal/>
    </border>
    <border>
      <left style="thin">
        <color rgb="FF000000"/>
      </left>
      <right style="thin">
        <color rgb="FF000000"/>
      </right>
      <top style="thin">
        <color rgb="FF000000"/>
      </top>
      <bottom style="thin">
        <color rgb="FF000000"/>
      </bottom>
      <diagonal/>
    </border>
    <border>
      <left/>
      <right/>
      <top/>
      <bottom style="dotted">
        <color indexed="64"/>
      </bottom>
      <diagonal/>
    </border>
    <border>
      <left/>
      <right style="thin">
        <color rgb="FF000000"/>
      </right>
      <top/>
      <bottom style="thin">
        <color rgb="FF000000"/>
      </bottom>
      <diagonal/>
    </border>
    <border>
      <left style="thin">
        <color rgb="FF000000"/>
      </left>
      <right/>
      <top style="thin">
        <color rgb="FF000000"/>
      </top>
      <bottom/>
      <diagonal/>
    </border>
    <border>
      <left/>
      <right/>
      <top/>
      <bottom style="thin">
        <color rgb="FF000000"/>
      </bottom>
      <diagonal/>
    </border>
  </borders>
  <cellStyleXfs count="5">
    <xf numFmtId="0" fontId="0" fillId="0" borderId="0"/>
    <xf numFmtId="164" fontId="2" fillId="0" borderId="0" applyFon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xf numFmtId="0" fontId="19" fillId="0" borderId="0"/>
  </cellStyleXfs>
  <cellXfs count="227">
    <xf numFmtId="0" fontId="0" fillId="0" borderId="0" xfId="0"/>
    <xf numFmtId="0" fontId="0" fillId="0" borderId="0" xfId="0" applyAlignment="1">
      <alignment horizontal="center"/>
    </xf>
    <xf numFmtId="0" fontId="0" fillId="0" borderId="0" xfId="0" applyAlignment="1">
      <alignment wrapText="1"/>
    </xf>
    <xf numFmtId="0" fontId="2" fillId="0" borderId="0" xfId="0" applyFont="1" applyAlignment="1">
      <alignment horizontal="center" wrapText="1"/>
    </xf>
    <xf numFmtId="0" fontId="0" fillId="0" borderId="0" xfId="0" applyAlignment="1">
      <alignment horizontal="center" wrapText="1"/>
    </xf>
    <xf numFmtId="0" fontId="2" fillId="0" borderId="0" xfId="0" applyFont="1" applyAlignment="1">
      <alignment horizontal="center"/>
    </xf>
    <xf numFmtId="0" fontId="2" fillId="0" borderId="0" xfId="0" quotePrefix="1" applyFont="1" applyAlignment="1">
      <alignment horizontal="center"/>
    </xf>
    <xf numFmtId="0" fontId="2" fillId="0" borderId="1" xfId="0" applyFont="1" applyBorder="1" applyAlignment="1">
      <alignment horizontal="center"/>
    </xf>
    <xf numFmtId="0" fontId="2" fillId="0" borderId="2" xfId="0" applyFont="1" applyBorder="1"/>
    <xf numFmtId="165" fontId="2" fillId="0" borderId="0" xfId="1" applyNumberFormat="1" applyFont="1" applyBorder="1" applyAlignment="1"/>
    <xf numFmtId="165" fontId="0" fillId="0" borderId="0" xfId="1" applyNumberFormat="1" applyFont="1" applyAlignment="1"/>
    <xf numFmtId="165" fontId="0" fillId="0" borderId="0" xfId="1" applyNumberFormat="1" applyFont="1" applyAlignment="1">
      <alignment horizontal="center"/>
    </xf>
    <xf numFmtId="165" fontId="0" fillId="0" borderId="0" xfId="1" applyNumberFormat="1" applyFont="1"/>
    <xf numFmtId="165" fontId="0" fillId="0" borderId="0" xfId="1" applyNumberFormat="1" applyFont="1" applyFill="1"/>
    <xf numFmtId="0" fontId="2" fillId="2" borderId="2" xfId="0" applyFont="1" applyFill="1" applyBorder="1"/>
    <xf numFmtId="165" fontId="0" fillId="0" borderId="0" xfId="0" applyNumberFormat="1"/>
    <xf numFmtId="165" fontId="3" fillId="0" borderId="0" xfId="0" applyNumberFormat="1" applyFont="1" applyAlignment="1">
      <alignment wrapText="1"/>
    </xf>
    <xf numFmtId="165" fontId="3" fillId="0" borderId="0" xfId="0" applyNumberFormat="1" applyFont="1"/>
    <xf numFmtId="2" fontId="0" fillId="0" borderId="0" xfId="0" applyNumberFormat="1"/>
    <xf numFmtId="166" fontId="0" fillId="0" borderId="0" xfId="0" applyNumberFormat="1"/>
    <xf numFmtId="0" fontId="4" fillId="0" borderId="0" xfId="0" applyFont="1"/>
    <xf numFmtId="165" fontId="4" fillId="0" borderId="0" xfId="0" applyNumberFormat="1" applyFont="1"/>
    <xf numFmtId="166" fontId="0" fillId="0" borderId="0" xfId="0" applyNumberFormat="1" applyAlignment="1">
      <alignment horizontal="center" wrapText="1"/>
    </xf>
    <xf numFmtId="166" fontId="0" fillId="0" borderId="0" xfId="0" applyNumberFormat="1" applyAlignment="1">
      <alignment horizontal="center"/>
    </xf>
    <xf numFmtId="9" fontId="0" fillId="0" borderId="0" xfId="2" applyFont="1" applyAlignment="1">
      <alignment horizontal="center"/>
    </xf>
    <xf numFmtId="167" fontId="0" fillId="0" borderId="0" xfId="0" applyNumberFormat="1"/>
    <xf numFmtId="168" fontId="0" fillId="0" borderId="0" xfId="0" applyNumberFormat="1"/>
    <xf numFmtId="169" fontId="0" fillId="0" borderId="0" xfId="0" applyNumberFormat="1" applyAlignment="1">
      <alignment horizontal="center"/>
    </xf>
    <xf numFmtId="170" fontId="0" fillId="0" borderId="0" xfId="0" applyNumberFormat="1"/>
    <xf numFmtId="171" fontId="0" fillId="0" borderId="0" xfId="0" applyNumberFormat="1"/>
    <xf numFmtId="172" fontId="0" fillId="0" borderId="0" xfId="0" applyNumberFormat="1" applyAlignment="1">
      <alignment horizontal="center"/>
    </xf>
    <xf numFmtId="167" fontId="0" fillId="0" borderId="0" xfId="0" applyNumberFormat="1" applyAlignment="1">
      <alignment horizontal="center"/>
    </xf>
    <xf numFmtId="170" fontId="0" fillId="0" borderId="0" xfId="0" applyNumberFormat="1" applyAlignment="1">
      <alignment horizontal="center"/>
    </xf>
    <xf numFmtId="173" fontId="0" fillId="0" borderId="0" xfId="0" applyNumberFormat="1"/>
    <xf numFmtId="172" fontId="0" fillId="0" borderId="0" xfId="0" applyNumberFormat="1"/>
    <xf numFmtId="174" fontId="0" fillId="0" borderId="0" xfId="0" applyNumberFormat="1"/>
    <xf numFmtId="165" fontId="0" fillId="0" borderId="0" xfId="1" applyNumberFormat="1" applyFont="1" applyAlignment="1">
      <alignment wrapText="1"/>
    </xf>
    <xf numFmtId="0" fontId="4" fillId="0" borderId="0" xfId="0" applyFont="1" applyAlignment="1">
      <alignment horizontal="right"/>
    </xf>
    <xf numFmtId="9" fontId="0" fillId="0" borderId="0" xfId="0" applyNumberFormat="1"/>
    <xf numFmtId="165" fontId="5" fillId="0" borderId="0" xfId="0" applyNumberFormat="1" applyFont="1"/>
    <xf numFmtId="3" fontId="0" fillId="0" borderId="0" xfId="0" applyNumberFormat="1"/>
    <xf numFmtId="0" fontId="7" fillId="0" borderId="0" xfId="0" applyFont="1" applyAlignment="1">
      <alignment vertical="center"/>
    </xf>
    <xf numFmtId="1" fontId="8" fillId="0" borderId="0" xfId="0" applyNumberFormat="1" applyFont="1"/>
    <xf numFmtId="1" fontId="0" fillId="0" borderId="0" xfId="0" applyNumberFormat="1"/>
    <xf numFmtId="0" fontId="6" fillId="0" borderId="0" xfId="3"/>
    <xf numFmtId="165" fontId="0" fillId="3" borderId="0" xfId="0" applyNumberFormat="1" applyFill="1"/>
    <xf numFmtId="0" fontId="2" fillId="0" borderId="0" xfId="0" applyFont="1" applyAlignment="1">
      <alignment horizontal="left" vertical="center"/>
    </xf>
    <xf numFmtId="0" fontId="5" fillId="0" borderId="0" xfId="0" applyFont="1"/>
    <xf numFmtId="176" fontId="0" fillId="0" borderId="0" xfId="0" applyNumberFormat="1"/>
    <xf numFmtId="1" fontId="5" fillId="0" borderId="0" xfId="0" applyNumberFormat="1" applyFont="1"/>
    <xf numFmtId="177" fontId="0" fillId="0" borderId="0" xfId="0" applyNumberFormat="1"/>
    <xf numFmtId="165" fontId="0" fillId="0" borderId="0" xfId="1" applyNumberFormat="1" applyFont="1" applyAlignment="1">
      <alignment horizontal="center" wrapText="1"/>
    </xf>
    <xf numFmtId="0" fontId="6" fillId="0" borderId="0" xfId="3" applyAlignment="1">
      <alignment horizontal="left"/>
    </xf>
    <xf numFmtId="178" fontId="0" fillId="0" borderId="0" xfId="0" applyNumberFormat="1"/>
    <xf numFmtId="0" fontId="12" fillId="0" borderId="0" xfId="0" applyFont="1" applyAlignment="1">
      <alignment horizontal="left" vertical="center"/>
    </xf>
    <xf numFmtId="0" fontId="13" fillId="0" borderId="3" xfId="0" applyFont="1" applyBorder="1" applyAlignment="1">
      <alignment horizontal="justify" vertical="center"/>
    </xf>
    <xf numFmtId="0" fontId="13" fillId="0" borderId="3" xfId="0" applyFont="1" applyBorder="1" applyAlignment="1">
      <alignment horizontal="center" vertical="center"/>
    </xf>
    <xf numFmtId="0" fontId="13" fillId="0" borderId="3" xfId="0" applyFont="1" applyBorder="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center" vertical="center" wrapText="1"/>
    </xf>
    <xf numFmtId="0" fontId="13" fillId="0" borderId="4" xfId="0" applyFont="1" applyBorder="1" applyAlignment="1">
      <alignment horizontal="center" vertical="center"/>
    </xf>
    <xf numFmtId="0" fontId="13" fillId="0" borderId="4" xfId="0" applyFont="1" applyBorder="1" applyAlignment="1">
      <alignment horizontal="center" vertical="center" wrapText="1"/>
    </xf>
    <xf numFmtId="0" fontId="14" fillId="0" borderId="0" xfId="0" applyFont="1" applyAlignment="1">
      <alignment horizontal="left" vertical="center"/>
    </xf>
    <xf numFmtId="165" fontId="4" fillId="0" borderId="0" xfId="0" applyNumberFormat="1" applyFont="1" applyAlignment="1">
      <alignment horizontal="center"/>
    </xf>
    <xf numFmtId="168" fontId="13" fillId="0" borderId="0" xfId="0" applyNumberFormat="1" applyFont="1" applyAlignment="1">
      <alignment horizontal="center" vertical="center"/>
    </xf>
    <xf numFmtId="3" fontId="0" fillId="0" borderId="0" xfId="0" applyNumberFormat="1" applyAlignment="1">
      <alignment horizontal="center"/>
    </xf>
    <xf numFmtId="0" fontId="0" fillId="0" borderId="0" xfId="0" applyAlignment="1">
      <alignment horizontal="right"/>
    </xf>
    <xf numFmtId="9" fontId="13" fillId="0" borderId="0" xfId="0" applyNumberFormat="1"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left" vertical="center" wrapText="1"/>
    </xf>
    <xf numFmtId="0" fontId="13" fillId="0" borderId="4" xfId="0" applyFont="1" applyBorder="1" applyAlignment="1">
      <alignment horizontal="left" vertical="center"/>
    </xf>
    <xf numFmtId="2" fontId="13" fillId="0" borderId="0" xfId="0" applyNumberFormat="1" applyFont="1" applyAlignment="1">
      <alignment horizontal="center" vertical="center"/>
    </xf>
    <xf numFmtId="179" fontId="0" fillId="0" borderId="0" xfId="1" applyNumberFormat="1" applyFont="1"/>
    <xf numFmtId="0" fontId="5" fillId="0" borderId="0" xfId="0" applyFont="1" applyAlignment="1">
      <alignment horizontal="center"/>
    </xf>
    <xf numFmtId="49" fontId="16" fillId="0" borderId="0" xfId="0" applyNumberFormat="1" applyFont="1"/>
    <xf numFmtId="0" fontId="16" fillId="0" borderId="0" xfId="0" applyFont="1"/>
    <xf numFmtId="49" fontId="16" fillId="0" borderId="0" xfId="0" applyNumberFormat="1" applyFont="1" applyAlignment="1">
      <alignment horizontal="center"/>
    </xf>
    <xf numFmtId="179" fontId="0" fillId="0" borderId="0" xfId="1" applyNumberFormat="1" applyFont="1" applyAlignment="1">
      <alignment horizontal="center"/>
    </xf>
    <xf numFmtId="3" fontId="17" fillId="0" borderId="0" xfId="0" applyNumberFormat="1" applyFont="1" applyAlignment="1">
      <alignment horizontal="center"/>
    </xf>
    <xf numFmtId="1" fontId="17" fillId="0" borderId="0" xfId="0" applyNumberFormat="1" applyFont="1" applyAlignment="1">
      <alignment horizontal="center"/>
    </xf>
    <xf numFmtId="180" fontId="18" fillId="0" borderId="0" xfId="0" applyNumberFormat="1" applyFont="1" applyAlignment="1">
      <alignment horizontal="center"/>
    </xf>
    <xf numFmtId="3" fontId="0" fillId="0" borderId="0" xfId="1" applyNumberFormat="1" applyFont="1" applyAlignment="1">
      <alignment horizontal="center" wrapText="1"/>
    </xf>
    <xf numFmtId="2" fontId="0" fillId="0" borderId="0" xfId="0" applyNumberFormat="1" applyAlignment="1">
      <alignment horizontal="center"/>
    </xf>
    <xf numFmtId="1" fontId="0" fillId="0" borderId="0" xfId="0" applyNumberFormat="1" applyAlignment="1">
      <alignment horizontal="center"/>
    </xf>
    <xf numFmtId="3" fontId="0" fillId="4" borderId="0" xfId="0" applyNumberFormat="1" applyFill="1" applyAlignment="1">
      <alignment horizontal="center"/>
    </xf>
    <xf numFmtId="2" fontId="20" fillId="4" borderId="0" xfId="4" applyNumberFormat="1" applyFont="1" applyFill="1" applyAlignment="1">
      <alignment horizontal="center"/>
    </xf>
    <xf numFmtId="168" fontId="0" fillId="0" borderId="0" xfId="0" applyNumberFormat="1" applyAlignment="1">
      <alignment horizontal="center"/>
    </xf>
    <xf numFmtId="180" fontId="21" fillId="0" borderId="0" xfId="0" applyNumberFormat="1" applyFont="1" applyAlignment="1">
      <alignment horizontal="center"/>
    </xf>
    <xf numFmtId="2" fontId="20" fillId="0" borderId="0" xfId="4" applyNumberFormat="1" applyFont="1" applyAlignment="1">
      <alignment horizontal="center"/>
    </xf>
    <xf numFmtId="181" fontId="0" fillId="0" borderId="0" xfId="0" applyNumberFormat="1" applyAlignment="1">
      <alignment horizontal="center"/>
    </xf>
    <xf numFmtId="0" fontId="0" fillId="0" borderId="0" xfId="0" applyAlignment="1">
      <alignment horizontal="left"/>
    </xf>
    <xf numFmtId="4" fontId="0" fillId="0" borderId="0" xfId="0" applyNumberFormat="1"/>
    <xf numFmtId="0" fontId="20" fillId="0" borderId="0" xfId="4" applyFont="1"/>
    <xf numFmtId="182" fontId="20" fillId="0" borderId="3" xfId="4" applyNumberFormat="1" applyFont="1" applyBorder="1" applyAlignment="1">
      <alignment horizontal="center" vertical="center" wrapText="1"/>
    </xf>
    <xf numFmtId="2" fontId="20" fillId="0" borderId="3" xfId="4" applyNumberFormat="1" applyFont="1" applyBorder="1" applyAlignment="1">
      <alignment horizontal="center" vertical="center" wrapText="1"/>
    </xf>
    <xf numFmtId="2" fontId="11" fillId="4" borderId="0" xfId="4" applyNumberFormat="1" applyFont="1" applyFill="1" applyAlignment="1">
      <alignment horizontal="center"/>
    </xf>
    <xf numFmtId="184" fontId="20" fillId="0" borderId="0" xfId="4" applyNumberFormat="1" applyFont="1" applyAlignment="1">
      <alignment horizontal="center"/>
    </xf>
    <xf numFmtId="2" fontId="20" fillId="0" borderId="0" xfId="4" applyNumberFormat="1" applyFont="1"/>
    <xf numFmtId="183" fontId="24" fillId="0" borderId="7" xfId="0" applyNumberFormat="1" applyFont="1" applyBorder="1" applyAlignment="1">
      <alignment horizontal="center" vertical="center" wrapText="1"/>
    </xf>
    <xf numFmtId="2" fontId="11" fillId="0" borderId="0" xfId="4" applyNumberFormat="1" applyFont="1" applyAlignment="1">
      <alignment horizontal="center"/>
    </xf>
    <xf numFmtId="0" fontId="5" fillId="0" borderId="0" xfId="0" applyFont="1" applyAlignment="1">
      <alignment horizontal="center" wrapText="1"/>
    </xf>
    <xf numFmtId="3" fontId="0" fillId="0" borderId="0" xfId="1" applyNumberFormat="1" applyFont="1"/>
    <xf numFmtId="185" fontId="24" fillId="4" borderId="7" xfId="0" applyNumberFormat="1" applyFont="1" applyFill="1" applyBorder="1" applyAlignment="1">
      <alignment horizontal="center" vertical="center" wrapText="1"/>
    </xf>
    <xf numFmtId="185" fontId="24" fillId="0" borderId="7" xfId="0" applyNumberFormat="1" applyFont="1" applyBorder="1" applyAlignment="1">
      <alignment horizontal="center" vertical="center" wrapText="1"/>
    </xf>
    <xf numFmtId="10" fontId="0" fillId="0" borderId="0" xfId="0" applyNumberFormat="1"/>
    <xf numFmtId="0" fontId="0" fillId="3" borderId="0" xfId="0" applyFill="1"/>
    <xf numFmtId="3" fontId="8" fillId="5" borderId="8" xfId="0" applyNumberFormat="1" applyFont="1" applyFill="1" applyBorder="1" applyAlignment="1">
      <alignment horizontal="right" vertical="center" wrapText="1"/>
    </xf>
    <xf numFmtId="0" fontId="25" fillId="5" borderId="8" xfId="0" applyFont="1" applyFill="1" applyBorder="1" applyAlignment="1">
      <alignment horizontal="center" vertical="center" wrapText="1"/>
    </xf>
    <xf numFmtId="0" fontId="1" fillId="0" borderId="0" xfId="0" applyFont="1"/>
    <xf numFmtId="0" fontId="26" fillId="0" borderId="0" xfId="0" applyFont="1"/>
    <xf numFmtId="0" fontId="25" fillId="0" borderId="0" xfId="0" applyFont="1"/>
    <xf numFmtId="0" fontId="27" fillId="0" borderId="0" xfId="0" applyFont="1" applyAlignment="1">
      <alignment vertical="center"/>
    </xf>
    <xf numFmtId="0" fontId="8" fillId="5" borderId="8" xfId="0" applyFont="1" applyFill="1" applyBorder="1" applyAlignment="1">
      <alignment horizontal="right" vertical="center" wrapText="1"/>
    </xf>
    <xf numFmtId="0" fontId="28" fillId="0" borderId="0" xfId="0" applyFont="1" applyAlignment="1">
      <alignment vertical="center"/>
    </xf>
    <xf numFmtId="179" fontId="8" fillId="5" borderId="0" xfId="1" applyNumberFormat="1" applyFont="1" applyFill="1" applyBorder="1" applyAlignment="1">
      <alignment horizontal="right" vertical="center" wrapText="1"/>
    </xf>
    <xf numFmtId="167" fontId="13" fillId="0" borderId="0" xfId="0" applyNumberFormat="1" applyFont="1" applyAlignment="1">
      <alignment horizontal="center" vertical="center"/>
    </xf>
    <xf numFmtId="168" fontId="29" fillId="0" borderId="0" xfId="0" applyNumberFormat="1" applyFont="1" applyAlignment="1">
      <alignment horizontal="center" vertical="center"/>
    </xf>
    <xf numFmtId="171" fontId="13" fillId="0" borderId="0" xfId="0" applyNumberFormat="1" applyFont="1" applyAlignment="1">
      <alignment horizontal="center" vertical="center"/>
    </xf>
    <xf numFmtId="168" fontId="13" fillId="0" borderId="4" xfId="0" applyNumberFormat="1" applyFont="1" applyBorder="1" applyAlignment="1">
      <alignment horizontal="center" vertical="center"/>
    </xf>
    <xf numFmtId="2" fontId="29" fillId="0" borderId="0" xfId="0" applyNumberFormat="1" applyFont="1" applyAlignment="1">
      <alignment horizontal="center" vertical="center"/>
    </xf>
    <xf numFmtId="168" fontId="29" fillId="0" borderId="4" xfId="0" applyNumberFormat="1" applyFont="1" applyBorder="1" applyAlignment="1">
      <alignment horizontal="center" vertical="center"/>
    </xf>
    <xf numFmtId="0" fontId="15" fillId="0" borderId="3" xfId="0" applyFont="1" applyBorder="1" applyAlignment="1">
      <alignment horizontal="left" vertical="center"/>
    </xf>
    <xf numFmtId="0" fontId="29" fillId="0" borderId="4" xfId="0" applyFont="1" applyBorder="1" applyAlignment="1">
      <alignment horizontal="left" vertical="center"/>
    </xf>
    <xf numFmtId="0" fontId="30" fillId="0" borderId="0" xfId="0" applyFont="1"/>
    <xf numFmtId="0" fontId="30" fillId="0" borderId="0" xfId="0" applyFont="1" applyAlignment="1">
      <alignment vertical="center"/>
    </xf>
    <xf numFmtId="0" fontId="29" fillId="0" borderId="0" xfId="0" applyFont="1" applyAlignment="1">
      <alignment horizontal="left" vertical="center"/>
    </xf>
    <xf numFmtId="0" fontId="29" fillId="0" borderId="0" xfId="0" applyFont="1" applyAlignment="1">
      <alignment horizontal="center" vertical="center"/>
    </xf>
    <xf numFmtId="0" fontId="29" fillId="0" borderId="9" xfId="0" applyFont="1" applyBorder="1" applyAlignment="1">
      <alignment horizontal="left" vertical="center" wrapText="1"/>
    </xf>
    <xf numFmtId="0" fontId="29" fillId="0" borderId="9" xfId="0" applyFont="1" applyBorder="1" applyAlignment="1">
      <alignment horizontal="center" vertical="center"/>
    </xf>
    <xf numFmtId="0" fontId="29" fillId="0" borderId="4" xfId="0" applyFont="1" applyBorder="1" applyAlignment="1">
      <alignment horizontal="center" vertical="center"/>
    </xf>
    <xf numFmtId="2" fontId="29" fillId="0" borderId="9" xfId="0" applyNumberFormat="1" applyFont="1" applyBorder="1" applyAlignment="1">
      <alignment horizontal="center" vertical="center"/>
    </xf>
    <xf numFmtId="2" fontId="29" fillId="0" borderId="4" xfId="0" applyNumberFormat="1" applyFont="1" applyBorder="1" applyAlignment="1">
      <alignment horizontal="center" vertical="center"/>
    </xf>
    <xf numFmtId="0" fontId="5" fillId="0" borderId="0" xfId="0" applyFont="1" applyAlignment="1">
      <alignment wrapText="1"/>
    </xf>
    <xf numFmtId="0" fontId="9" fillId="0" borderId="0" xfId="0" applyFont="1" applyAlignment="1">
      <alignment wrapText="1"/>
    </xf>
    <xf numFmtId="0" fontId="32" fillId="0" borderId="0" xfId="0" applyFont="1" applyAlignment="1">
      <alignment horizontal="center" vertical="center" readingOrder="1"/>
    </xf>
    <xf numFmtId="0" fontId="0" fillId="0" borderId="1" xfId="0" applyBorder="1"/>
    <xf numFmtId="165" fontId="0" fillId="0" borderId="0" xfId="1" applyNumberFormat="1" applyFont="1" applyFill="1" applyAlignment="1"/>
    <xf numFmtId="165" fontId="3" fillId="0" borderId="0" xfId="0" applyNumberFormat="1" applyFont="1" applyAlignment="1">
      <alignment horizontal="center"/>
    </xf>
    <xf numFmtId="0" fontId="26" fillId="0" borderId="0" xfId="0" applyFont="1" applyAlignment="1">
      <alignment horizontal="center"/>
    </xf>
    <xf numFmtId="0" fontId="1" fillId="0" borderId="0" xfId="0" applyFont="1" applyAlignment="1">
      <alignment horizontal="center"/>
    </xf>
    <xf numFmtId="0" fontId="0" fillId="5" borderId="10" xfId="0" applyFill="1" applyBorder="1"/>
    <xf numFmtId="0" fontId="25" fillId="5" borderId="0" xfId="0" applyFont="1" applyFill="1" applyAlignment="1">
      <alignment horizontal="center" vertical="center" wrapText="1"/>
    </xf>
    <xf numFmtId="0" fontId="0" fillId="3" borderId="0" xfId="0" applyFill="1" applyAlignment="1">
      <alignment horizontal="center"/>
    </xf>
    <xf numFmtId="0" fontId="0" fillId="5" borderId="0" xfId="0" applyFill="1" applyAlignment="1">
      <alignment horizontal="center"/>
    </xf>
    <xf numFmtId="0" fontId="0" fillId="5" borderId="0" xfId="0" applyFill="1" applyAlignment="1">
      <alignment horizontal="left"/>
    </xf>
    <xf numFmtId="0" fontId="0" fillId="5" borderId="0" xfId="0" applyFill="1"/>
    <xf numFmtId="186" fontId="0" fillId="0" borderId="0" xfId="0" applyNumberFormat="1" applyAlignment="1">
      <alignment horizontal="center"/>
    </xf>
    <xf numFmtId="0" fontId="8" fillId="0" borderId="8" xfId="0" applyFont="1" applyBorder="1" applyAlignment="1">
      <alignment horizontal="center" vertical="center" wrapText="1"/>
    </xf>
    <xf numFmtId="1" fontId="8" fillId="0" borderId="8" xfId="0" applyNumberFormat="1" applyFont="1" applyBorder="1" applyAlignment="1">
      <alignment horizontal="center" vertical="center" wrapText="1"/>
    </xf>
    <xf numFmtId="0" fontId="0" fillId="5" borderId="11" xfId="0" applyFill="1" applyBorder="1"/>
    <xf numFmtId="187" fontId="0" fillId="0" borderId="0" xfId="0" applyNumberFormat="1" applyAlignment="1">
      <alignment horizontal="center"/>
    </xf>
    <xf numFmtId="0" fontId="0" fillId="5" borderId="12" xfId="0" applyFill="1" applyBorder="1"/>
    <xf numFmtId="0" fontId="0" fillId="5" borderId="0" xfId="0" applyFill="1" applyAlignment="1">
      <alignment wrapText="1"/>
    </xf>
    <xf numFmtId="2" fontId="8" fillId="5" borderId="0" xfId="0" applyNumberFormat="1" applyFont="1" applyFill="1" applyAlignment="1">
      <alignment horizontal="right" vertical="center" wrapText="1"/>
    </xf>
    <xf numFmtId="3" fontId="8" fillId="5" borderId="0" xfId="0" applyNumberFormat="1" applyFont="1" applyFill="1" applyAlignment="1">
      <alignment horizontal="right" vertical="center" wrapText="1"/>
    </xf>
    <xf numFmtId="181" fontId="8" fillId="0" borderId="8" xfId="0" applyNumberFormat="1" applyFont="1" applyBorder="1" applyAlignment="1">
      <alignment horizontal="center" vertical="center" wrapText="1"/>
    </xf>
    <xf numFmtId="0" fontId="8" fillId="3" borderId="8" xfId="0" applyFont="1" applyFill="1" applyBorder="1" applyAlignment="1">
      <alignment horizontal="right" vertical="center" wrapText="1"/>
    </xf>
    <xf numFmtId="2" fontId="8" fillId="0" borderId="8" xfId="0" applyNumberFormat="1" applyFont="1" applyBorder="1" applyAlignment="1">
      <alignment horizontal="center" vertical="center" wrapText="1"/>
    </xf>
    <xf numFmtId="0" fontId="33" fillId="0" borderId="0" xfId="0" applyFont="1" applyAlignment="1">
      <alignment horizontal="left" vertical="center"/>
    </xf>
    <xf numFmtId="0" fontId="0" fillId="0" borderId="0" xfId="0" applyAlignment="1">
      <alignment vertical="top"/>
    </xf>
    <xf numFmtId="0" fontId="12" fillId="0" borderId="0" xfId="0" applyFont="1" applyAlignment="1">
      <alignment wrapText="1"/>
    </xf>
    <xf numFmtId="3" fontId="0" fillId="0" borderId="0" xfId="0" applyNumberFormat="1" applyAlignment="1">
      <alignment horizontal="left"/>
    </xf>
    <xf numFmtId="175" fontId="0" fillId="0" borderId="0" xfId="0" applyNumberFormat="1" applyAlignment="1">
      <alignment horizontal="left"/>
    </xf>
    <xf numFmtId="9" fontId="0" fillId="0" borderId="0" xfId="0" applyNumberFormat="1" applyAlignment="1">
      <alignment horizontal="left"/>
    </xf>
    <xf numFmtId="0" fontId="12" fillId="0" borderId="0" xfId="0" applyFont="1"/>
    <xf numFmtId="181" fontId="0" fillId="0" borderId="0" xfId="0" applyNumberFormat="1" applyAlignment="1">
      <alignment horizontal="left"/>
    </xf>
    <xf numFmtId="0" fontId="12" fillId="0" borderId="0" xfId="0" applyFont="1" applyAlignment="1">
      <alignment horizontal="left" vertical="center" wrapText="1"/>
    </xf>
    <xf numFmtId="168" fontId="0" fillId="0" borderId="0" xfId="0" applyNumberFormat="1" applyAlignment="1">
      <alignment horizontal="left"/>
    </xf>
    <xf numFmtId="0" fontId="34" fillId="0" borderId="0" xfId="0" applyFont="1" applyAlignment="1">
      <alignment wrapText="1"/>
    </xf>
    <xf numFmtId="0" fontId="29" fillId="0" borderId="4" xfId="0" applyFont="1" applyBorder="1" applyAlignment="1">
      <alignment horizontal="left" vertical="center" wrapText="1"/>
    </xf>
    <xf numFmtId="0" fontId="29" fillId="0" borderId="0" xfId="0" applyFont="1" applyAlignment="1">
      <alignment horizontal="left" vertical="center" wrapText="1"/>
    </xf>
    <xf numFmtId="0" fontId="29" fillId="0" borderId="9" xfId="0" applyFont="1" applyBorder="1" applyAlignment="1">
      <alignment horizontal="left" vertical="center"/>
    </xf>
    <xf numFmtId="0" fontId="37" fillId="0" borderId="0" xfId="0" applyFont="1" applyAlignment="1">
      <alignment horizontal="justify" vertical="center"/>
    </xf>
    <xf numFmtId="1" fontId="5" fillId="0" borderId="0" xfId="0" applyNumberFormat="1" applyFont="1" applyAlignment="1">
      <alignment horizontal="left"/>
    </xf>
    <xf numFmtId="0" fontId="5" fillId="0" borderId="0" xfId="0" applyFont="1" applyAlignment="1">
      <alignment horizontal="left"/>
    </xf>
    <xf numFmtId="0" fontId="17" fillId="0" borderId="0" xfId="0" applyFont="1"/>
    <xf numFmtId="0" fontId="17" fillId="0" borderId="0" xfId="0" applyFont="1" applyAlignment="1">
      <alignment horizontal="center"/>
    </xf>
    <xf numFmtId="0" fontId="0" fillId="6" borderId="0" xfId="0" applyFill="1" applyAlignment="1">
      <alignment horizontal="center"/>
    </xf>
    <xf numFmtId="0" fontId="17" fillId="6" borderId="0" xfId="0" applyFont="1" applyFill="1" applyAlignment="1">
      <alignment horizontal="center"/>
    </xf>
    <xf numFmtId="188" fontId="0" fillId="0" borderId="0" xfId="0" applyNumberFormat="1" applyAlignment="1">
      <alignment horizontal="center"/>
    </xf>
    <xf numFmtId="189" fontId="0" fillId="0" borderId="0" xfId="0" applyNumberFormat="1" applyAlignment="1">
      <alignment horizontal="center"/>
    </xf>
    <xf numFmtId="186" fontId="0" fillId="0" borderId="0" xfId="0" applyNumberFormat="1"/>
    <xf numFmtId="49" fontId="30" fillId="0" borderId="0" xfId="0" applyNumberFormat="1" applyFont="1" applyAlignment="1">
      <alignment horizontal="center"/>
    </xf>
    <xf numFmtId="0" fontId="6" fillId="0" borderId="0" xfId="3" applyAlignment="1">
      <alignment horizontal="left" wrapText="1"/>
    </xf>
    <xf numFmtId="0" fontId="11" fillId="0" borderId="0" xfId="4" applyFont="1"/>
    <xf numFmtId="0" fontId="38" fillId="0" borderId="0" xfId="0" applyFont="1"/>
    <xf numFmtId="0" fontId="39" fillId="0" borderId="0" xfId="0" applyFont="1" applyAlignment="1">
      <alignment horizontal="left" vertical="center" wrapText="1" indent="5"/>
    </xf>
    <xf numFmtId="3" fontId="17" fillId="0" borderId="0" xfId="0" applyNumberFormat="1" applyFont="1"/>
    <xf numFmtId="168" fontId="29" fillId="0" borderId="9" xfId="0" applyNumberFormat="1" applyFont="1" applyBorder="1" applyAlignment="1">
      <alignment horizontal="center" vertical="center"/>
    </xf>
    <xf numFmtId="0" fontId="40" fillId="0" borderId="0" xfId="0" applyFont="1" applyAlignment="1">
      <alignment wrapText="1"/>
    </xf>
    <xf numFmtId="3" fontId="0" fillId="7" borderId="0" xfId="0" applyNumberFormat="1" applyFill="1" applyAlignment="1">
      <alignment horizontal="center"/>
    </xf>
    <xf numFmtId="180" fontId="21" fillId="8" borderId="0" xfId="0" applyNumberFormat="1" applyFont="1" applyFill="1" applyAlignment="1">
      <alignment horizontal="center"/>
    </xf>
    <xf numFmtId="3" fontId="0" fillId="8" borderId="0" xfId="1" applyNumberFormat="1" applyFont="1" applyFill="1" applyAlignment="1">
      <alignment horizontal="center" wrapText="1"/>
    </xf>
    <xf numFmtId="3" fontId="0" fillId="8" borderId="0" xfId="0" applyNumberFormat="1" applyFill="1" applyAlignment="1">
      <alignment horizontal="center"/>
    </xf>
    <xf numFmtId="179" fontId="0" fillId="8" borderId="0" xfId="1" applyNumberFormat="1" applyFont="1" applyFill="1"/>
    <xf numFmtId="0" fontId="0" fillId="8" borderId="0" xfId="0" applyFill="1" applyAlignment="1">
      <alignment horizontal="center"/>
    </xf>
    <xf numFmtId="3" fontId="17" fillId="8" borderId="0" xfId="0" applyNumberFormat="1" applyFont="1" applyFill="1" applyAlignment="1">
      <alignment horizontal="center"/>
    </xf>
    <xf numFmtId="1" fontId="17" fillId="8" borderId="0" xfId="0" applyNumberFormat="1" applyFont="1" applyFill="1" applyAlignment="1">
      <alignment horizontal="center"/>
    </xf>
    <xf numFmtId="2" fontId="20" fillId="8" borderId="0" xfId="4" applyNumberFormat="1" applyFont="1" applyFill="1" applyAlignment="1">
      <alignment horizontal="center"/>
    </xf>
    <xf numFmtId="1" fontId="0" fillId="8" borderId="0" xfId="0" applyNumberFormat="1" applyFill="1" applyAlignment="1">
      <alignment horizontal="center"/>
    </xf>
    <xf numFmtId="168" fontId="0" fillId="8" borderId="0" xfId="0" applyNumberFormat="1" applyFill="1" applyAlignment="1">
      <alignment horizontal="center"/>
    </xf>
    <xf numFmtId="180" fontId="18" fillId="8" borderId="0" xfId="0" applyNumberFormat="1" applyFont="1" applyFill="1" applyAlignment="1">
      <alignment horizontal="center"/>
    </xf>
    <xf numFmtId="49" fontId="7" fillId="0" borderId="0" xfId="0" applyNumberFormat="1" applyFont="1" applyAlignment="1">
      <alignment vertical="center"/>
    </xf>
    <xf numFmtId="0" fontId="0" fillId="0" borderId="0" xfId="0" applyAlignment="1">
      <alignment horizontal="left" wrapText="1"/>
    </xf>
    <xf numFmtId="164" fontId="0" fillId="0" borderId="0" xfId="1" applyFont="1"/>
    <xf numFmtId="0" fontId="13" fillId="0" borderId="5" xfId="0" applyFont="1" applyBorder="1" applyAlignment="1">
      <alignment horizontal="center" vertical="center" wrapText="1"/>
    </xf>
    <xf numFmtId="0" fontId="13" fillId="0" borderId="4" xfId="0" applyFont="1" applyBorder="1" applyAlignment="1">
      <alignment horizontal="center" vertical="center" wrapText="1"/>
    </xf>
    <xf numFmtId="0" fontId="15" fillId="0" borderId="5" xfId="0" applyFont="1" applyBorder="1" applyAlignment="1">
      <alignment horizontal="left" vertical="center"/>
    </xf>
    <xf numFmtId="0" fontId="15" fillId="0" borderId="4" xfId="0" applyFont="1" applyBorder="1" applyAlignment="1">
      <alignment horizontal="left" vertical="center"/>
    </xf>
    <xf numFmtId="0" fontId="13" fillId="0" borderId="5" xfId="0" applyFont="1" applyBorder="1" applyAlignment="1">
      <alignment horizontal="center" vertical="center"/>
    </xf>
    <xf numFmtId="0" fontId="13" fillId="0" borderId="4" xfId="0" applyFont="1" applyBorder="1" applyAlignment="1">
      <alignment horizontal="center" vertical="center"/>
    </xf>
    <xf numFmtId="0" fontId="15" fillId="0" borderId="0" xfId="0" applyFont="1" applyAlignment="1">
      <alignment horizontal="left" vertical="center"/>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13" fillId="0" borderId="0" xfId="0" applyFont="1" applyAlignment="1">
      <alignment horizontal="center" vertical="center" wrapText="1"/>
    </xf>
    <xf numFmtId="0" fontId="13" fillId="0" borderId="0" xfId="0" applyFont="1" applyAlignment="1">
      <alignment horizontal="center" vertical="center"/>
    </xf>
    <xf numFmtId="0" fontId="0" fillId="0" borderId="0" xfId="0" applyAlignment="1">
      <alignment horizontal="center"/>
    </xf>
    <xf numFmtId="0" fontId="6" fillId="0" borderId="0" xfId="3" applyAlignment="1">
      <alignment horizontal="center" wrapText="1"/>
    </xf>
    <xf numFmtId="0" fontId="20" fillId="0" borderId="6" xfId="4" applyFont="1" applyBorder="1" applyAlignment="1">
      <alignment horizontal="center" vertical="center" wrapText="1"/>
    </xf>
    <xf numFmtId="0" fontId="0" fillId="0" borderId="6" xfId="0" applyBorder="1" applyAlignment="1">
      <alignment horizontal="center" vertical="center" wrapText="1"/>
    </xf>
    <xf numFmtId="182" fontId="22" fillId="0" borderId="4" xfId="0" applyNumberFormat="1" applyFont="1" applyBorder="1" applyAlignment="1">
      <alignment horizontal="left" vertical="center" wrapText="1"/>
    </xf>
    <xf numFmtId="0" fontId="23" fillId="0" borderId="4" xfId="0" applyFont="1" applyBorder="1" applyAlignment="1">
      <alignment horizontal="left" vertical="center" wrapText="1"/>
    </xf>
    <xf numFmtId="0" fontId="20" fillId="4" borderId="6" xfId="4" applyFont="1" applyFill="1" applyBorder="1" applyAlignment="1">
      <alignment horizontal="center" vertical="center" wrapText="1"/>
    </xf>
    <xf numFmtId="0" fontId="0" fillId="4" borderId="6" xfId="0" applyFill="1" applyBorder="1" applyAlignment="1">
      <alignment horizontal="center" vertical="center" wrapText="1"/>
    </xf>
    <xf numFmtId="0" fontId="5" fillId="0" borderId="0" xfId="0" applyFont="1" applyAlignment="1">
      <alignment horizontal="center"/>
    </xf>
    <xf numFmtId="0" fontId="0" fillId="0" borderId="0" xfId="0" applyAlignment="1">
      <alignment horizontal="left"/>
    </xf>
    <xf numFmtId="0" fontId="0" fillId="0" borderId="0" xfId="0" applyAlignment="1">
      <alignment horizontal="center" wrapText="1"/>
    </xf>
  </cellXfs>
  <cellStyles count="5">
    <cellStyle name="Comma" xfId="1" builtinId="3"/>
    <cellStyle name="Hyperlink" xfId="3" builtinId="8"/>
    <cellStyle name="Normal" xfId="0" builtinId="0"/>
    <cellStyle name="Normal 18" xfId="4" xr:uid="{E0FC524D-0D75-4B45-8919-94FB3971D6B5}"/>
    <cellStyle name="Percent" xfId="2" builtinId="5"/>
  </cellStyles>
  <dxfs count="3">
    <dxf>
      <fill>
        <patternFill patternType="gray0625">
          <fgColor indexed="10"/>
        </patternFill>
      </fill>
    </dxf>
    <dxf>
      <fill>
        <patternFill patternType="gray0625">
          <fgColor indexed="10"/>
        </patternFill>
      </fill>
    </dxf>
    <dxf>
      <fill>
        <patternFill patternType="gray0625">
          <f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effectLst/>
                <a:latin typeface="+mn-lt"/>
                <a:ea typeface="+mn-ea"/>
                <a:cs typeface="+mn-cs"/>
              </a:defRPr>
            </a:pPr>
            <a:r>
              <a:rPr lang="en-US" sz="1200" b="1" i="0" u="none" strike="noStrike" kern="1200" spc="0" baseline="0">
                <a:solidFill>
                  <a:sysClr val="windowText" lastClr="000000">
                    <a:lumMod val="65000"/>
                    <a:lumOff val="35000"/>
                  </a:sysClr>
                </a:solidFill>
                <a:effectLst/>
                <a:latin typeface="+mn-lt"/>
                <a:ea typeface="+mn-ea"/>
                <a:cs typeface="+mn-cs"/>
              </a:rPr>
              <a:t>Annual streamflow at Lees Ferry (USGS) minus release reported from Glen Canyon Dam (Reclamation, Water Accouting Reports) </a:t>
            </a:r>
          </a:p>
        </c:rich>
      </c:tx>
      <c:layout>
        <c:manualLayout>
          <c:xMode val="edge"/>
          <c:yMode val="edge"/>
          <c:x val="0.1862419205909511"/>
          <c:y val="1.9025875190258751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lotArea>
      <c:layout>
        <c:manualLayout>
          <c:layoutTarget val="inner"/>
          <c:xMode val="edge"/>
          <c:yMode val="edge"/>
          <c:x val="0.15729291629405051"/>
          <c:y val="0.15601217656012176"/>
          <c:w val="0.81731465526642966"/>
          <c:h val="0.76329893694795004"/>
        </c:manualLayout>
      </c:layout>
      <c:barChart>
        <c:barDir val="col"/>
        <c:grouping val="clustered"/>
        <c:varyColors val="0"/>
        <c:ser>
          <c:idx val="0"/>
          <c:order val="0"/>
          <c:spPr>
            <a:solidFill>
              <a:schemeClr val="accent1"/>
            </a:solidFill>
            <a:ln>
              <a:noFill/>
            </a:ln>
            <a:effectLst/>
          </c:spPr>
          <c:invertIfNegative val="0"/>
          <c:cat>
            <c:numRef>
              <c:f>'USGS gage-NFD (annual)'!$A$20:$A$34</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'USGS gage-NFD (annual)'!$AT$20:$AT$34</c:f>
              <c:numCache>
                <c:formatCode>_(* #,##0_);_(* \(#,##0\);_(* "-"??_);_(@_)</c:formatCode>
                <c:ptCount val="15"/>
                <c:pt idx="0">
                  <c:v>130368</c:v>
                </c:pt>
                <c:pt idx="1">
                  <c:v>263387</c:v>
                </c:pt>
                <c:pt idx="2">
                  <c:v>167157</c:v>
                </c:pt>
                <c:pt idx="3">
                  <c:v>182926</c:v>
                </c:pt>
                <c:pt idx="4">
                  <c:v>162247</c:v>
                </c:pt>
                <c:pt idx="5">
                  <c:v>185239</c:v>
                </c:pt>
                <c:pt idx="6">
                  <c:v>39611</c:v>
                </c:pt>
                <c:pt idx="7">
                  <c:v>-3700</c:v>
                </c:pt>
                <c:pt idx="8">
                  <c:v>26213</c:v>
                </c:pt>
                <c:pt idx="9">
                  <c:v>101045</c:v>
                </c:pt>
                <c:pt idx="10">
                  <c:v>135726</c:v>
                </c:pt>
                <c:pt idx="11">
                  <c:v>118015</c:v>
                </c:pt>
                <c:pt idx="12">
                  <c:v>151013</c:v>
                </c:pt>
                <c:pt idx="13">
                  <c:v>158094</c:v>
                </c:pt>
                <c:pt idx="14">
                  <c:v>243604</c:v>
                </c:pt>
              </c:numCache>
            </c:numRef>
          </c:val>
          <c:extLst>
            <c:ext xmlns:c16="http://schemas.microsoft.com/office/drawing/2014/chart" uri="{C3380CC4-5D6E-409C-BE32-E72D297353CC}">
              <c16:uniqueId val="{00000000-0E66-4F7F-8F45-BE5FED09DC6D}"/>
            </c:ext>
          </c:extLst>
        </c:ser>
        <c:dLbls>
          <c:showLegendKey val="0"/>
          <c:showVal val="0"/>
          <c:showCatName val="0"/>
          <c:showSerName val="0"/>
          <c:showPercent val="0"/>
          <c:showBubbleSize val="0"/>
        </c:dLbls>
        <c:gapWidth val="219"/>
        <c:overlap val="-27"/>
        <c:axId val="446844831"/>
        <c:axId val="381391807"/>
      </c:barChart>
      <c:catAx>
        <c:axId val="44684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91807"/>
        <c:crosses val="autoZero"/>
        <c:auto val="1"/>
        <c:lblAlgn val="ctr"/>
        <c:lblOffset val="100"/>
        <c:noMultiLvlLbl val="0"/>
      </c:catAx>
      <c:valAx>
        <c:axId val="38139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t> Acre-feet</a:t>
                </a:r>
              </a:p>
            </c:rich>
          </c:tx>
          <c:layout>
            <c:manualLayout>
              <c:xMode val="edge"/>
              <c:yMode val="edge"/>
              <c:x val="1.6158818097876268E-2"/>
              <c:y val="0.38924064286484739"/>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_(* #,##0_);_(* \(#,##0\);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4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effectLst/>
                <a:latin typeface="+mn-lt"/>
                <a:ea typeface="+mn-ea"/>
                <a:cs typeface="+mn-cs"/>
              </a:defRPr>
            </a:pPr>
            <a:r>
              <a:rPr lang="en-US" sz="1200" b="1" i="0" u="none" strike="noStrike" kern="1200" spc="0" baseline="0">
                <a:solidFill>
                  <a:sysClr val="windowText" lastClr="000000">
                    <a:lumMod val="65000"/>
                    <a:lumOff val="35000"/>
                  </a:sysClr>
                </a:solidFill>
                <a:effectLst/>
                <a:latin typeface="+mn-lt"/>
                <a:ea typeface="+mn-ea"/>
                <a:cs typeface="+mn-cs"/>
              </a:rPr>
              <a:t>Annual streamflow at Lees Ferry (USGS) minus release reported from Glen Canyon Dam (Reclamation, new Hydrologic Database) </a:t>
            </a:r>
          </a:p>
        </c:rich>
      </c:tx>
      <c:layout>
        <c:manualLayout>
          <c:xMode val="edge"/>
          <c:yMode val="edge"/>
          <c:x val="0.1862419205909511"/>
          <c:y val="1.9025875190258751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lotArea>
      <c:layout>
        <c:manualLayout>
          <c:layoutTarget val="inner"/>
          <c:xMode val="edge"/>
          <c:yMode val="edge"/>
          <c:x val="0.15729291629405051"/>
          <c:y val="0.15601217656012176"/>
          <c:w val="0.81731465526642966"/>
          <c:h val="0.71383166145327714"/>
        </c:manualLayout>
      </c:layout>
      <c:barChart>
        <c:barDir val="col"/>
        <c:grouping val="clustered"/>
        <c:varyColors val="0"/>
        <c:ser>
          <c:idx val="0"/>
          <c:order val="0"/>
          <c:spPr>
            <a:solidFill>
              <a:schemeClr val="accent1"/>
            </a:solidFill>
            <a:ln>
              <a:noFill/>
            </a:ln>
            <a:effectLst/>
          </c:spPr>
          <c:invertIfNegative val="0"/>
          <c:cat>
            <c:numRef>
              <c:f>'USGS gage-NFD (annual)'!$A$20:$A$34</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'USGS gage-NFD (annual)'!$AU$20:$AU$34</c:f>
              <c:numCache>
                <c:formatCode>_(* #,##0_);_(* \(#,##0\);_(* "-"??_);_(@_)</c:formatCode>
                <c:ptCount val="15"/>
                <c:pt idx="0">
                  <c:v>130281.80000000075</c:v>
                </c:pt>
                <c:pt idx="1">
                  <c:v>263635.29999999888</c:v>
                </c:pt>
                <c:pt idx="2">
                  <c:v>167018.40000000037</c:v>
                </c:pt>
                <c:pt idx="3">
                  <c:v>183024.79999999888</c:v>
                </c:pt>
                <c:pt idx="4">
                  <c:v>162297.39999999944</c:v>
                </c:pt>
                <c:pt idx="5">
                  <c:v>185245.5</c:v>
                </c:pt>
                <c:pt idx="6">
                  <c:v>211801.60000000149</c:v>
                </c:pt>
                <c:pt idx="7">
                  <c:v>58057.799999998882</c:v>
                </c:pt>
                <c:pt idx="8">
                  <c:v>27929.800000000745</c:v>
                </c:pt>
                <c:pt idx="9">
                  <c:v>85342.899999999441</c:v>
                </c:pt>
                <c:pt idx="10">
                  <c:v>135726.59999999963</c:v>
                </c:pt>
                <c:pt idx="11">
                  <c:v>118017.10000000149</c:v>
                </c:pt>
                <c:pt idx="12">
                  <c:v>151014.19999999925</c:v>
                </c:pt>
                <c:pt idx="13">
                  <c:v>158094</c:v>
                </c:pt>
                <c:pt idx="14">
                  <c:v>243604.80000000075</c:v>
                </c:pt>
              </c:numCache>
            </c:numRef>
          </c:val>
          <c:extLst>
            <c:ext xmlns:c16="http://schemas.microsoft.com/office/drawing/2014/chart" uri="{C3380CC4-5D6E-409C-BE32-E72D297353CC}">
              <c16:uniqueId val="{00000000-C215-4959-B764-8BDE6F1EF02B}"/>
            </c:ext>
          </c:extLst>
        </c:ser>
        <c:dLbls>
          <c:showLegendKey val="0"/>
          <c:showVal val="0"/>
          <c:showCatName val="0"/>
          <c:showSerName val="0"/>
          <c:showPercent val="0"/>
          <c:showBubbleSize val="0"/>
        </c:dLbls>
        <c:gapWidth val="219"/>
        <c:overlap val="-27"/>
        <c:axId val="446844831"/>
        <c:axId val="381391807"/>
      </c:barChart>
      <c:catAx>
        <c:axId val="44684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91807"/>
        <c:crosses val="autoZero"/>
        <c:auto val="1"/>
        <c:lblAlgn val="ctr"/>
        <c:lblOffset val="100"/>
        <c:noMultiLvlLbl val="0"/>
      </c:catAx>
      <c:valAx>
        <c:axId val="38139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t> Acre-feet</a:t>
                </a:r>
              </a:p>
            </c:rich>
          </c:tx>
          <c:layout>
            <c:manualLayout>
              <c:xMode val="edge"/>
              <c:yMode val="edge"/>
              <c:x val="1.6158818097876268E-2"/>
              <c:y val="0.38924064286484739"/>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_(* #,##0_);_(* \(#,##0\);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4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Annual Gains above Grand Canyon</a:t>
            </a:r>
            <a:r>
              <a:rPr lang="en-US" baseline="0">
                <a:solidFill>
                  <a:sysClr val="windowText" lastClr="000000"/>
                </a:solidFill>
              </a:rPr>
              <a:t> Gage </a:t>
            </a:r>
          </a:p>
          <a:p>
            <a:pPr>
              <a:defRPr>
                <a:solidFill>
                  <a:sysClr val="windowText" lastClr="000000"/>
                </a:solidFill>
              </a:defRPr>
            </a:pPr>
            <a:r>
              <a:rPr lang="en-US" baseline="0">
                <a:solidFill>
                  <a:sysClr val="windowText" lastClr="000000"/>
                </a:solidFill>
              </a:rPr>
              <a:t>from 1900 to 2018</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'USGS gage-NFD (annual)'!$AA$5:$AA$33</c:f>
              <c:numCache>
                <c:formatCode>_(* #,##0_);_(* \(#,##0\);_(* "-"??_);_(@_)</c:formatCode>
                <c:ptCount val="29"/>
                <c:pt idx="0">
                  <c:v>265100</c:v>
                </c:pt>
                <c:pt idx="1">
                  <c:v>285000</c:v>
                </c:pt>
                <c:pt idx="2">
                  <c:v>249000</c:v>
                </c:pt>
                <c:pt idx="6">
                  <c:v>313000</c:v>
                </c:pt>
                <c:pt idx="7">
                  <c:v>306000</c:v>
                </c:pt>
                <c:pt idx="8">
                  <c:v>229000</c:v>
                </c:pt>
                <c:pt idx="9">
                  <c:v>150000</c:v>
                </c:pt>
                <c:pt idx="10">
                  <c:v>395000</c:v>
                </c:pt>
                <c:pt idx="11">
                  <c:v>353000</c:v>
                </c:pt>
                <c:pt idx="12">
                  <c:v>221000</c:v>
                </c:pt>
                <c:pt idx="13">
                  <c:v>265000</c:v>
                </c:pt>
                <c:pt idx="14">
                  <c:v>326000</c:v>
                </c:pt>
                <c:pt idx="15">
                  <c:v>326000</c:v>
                </c:pt>
                <c:pt idx="16">
                  <c:v>276000</c:v>
                </c:pt>
                <c:pt idx="17">
                  <c:v>344000</c:v>
                </c:pt>
                <c:pt idx="18">
                  <c:v>272000</c:v>
                </c:pt>
                <c:pt idx="19">
                  <c:v>392000</c:v>
                </c:pt>
                <c:pt idx="20">
                  <c:v>289000</c:v>
                </c:pt>
                <c:pt idx="21">
                  <c:v>319000</c:v>
                </c:pt>
                <c:pt idx="22">
                  <c:v>304000</c:v>
                </c:pt>
                <c:pt idx="23">
                  <c:v>362000</c:v>
                </c:pt>
                <c:pt idx="24">
                  <c:v>293000</c:v>
                </c:pt>
                <c:pt idx="25">
                  <c:v>297000</c:v>
                </c:pt>
                <c:pt idx="26">
                  <c:v>335000</c:v>
                </c:pt>
                <c:pt idx="27">
                  <c:v>309000</c:v>
                </c:pt>
                <c:pt idx="28">
                  <c:v>307000</c:v>
                </c:pt>
              </c:numCache>
            </c:numRef>
          </c:xVal>
          <c:yVal>
            <c:numRef>
              <c:f>'USGS gage-NFD (annual)'!$AZ$5:$AZ$33</c:f>
              <c:numCache>
                <c:formatCode>_(* #,##0_);_(* \(#,##0\);_(* "-"??_);_(@_)</c:formatCode>
                <c:ptCount val="29"/>
                <c:pt idx="0">
                  <c:v>258786</c:v>
                </c:pt>
                <c:pt idx="1">
                  <c:v>288412</c:v>
                </c:pt>
                <c:pt idx="2">
                  <c:v>247940</c:v>
                </c:pt>
                <c:pt idx="3">
                  <c:v>82538</c:v>
                </c:pt>
                <c:pt idx="4">
                  <c:v>4281</c:v>
                </c:pt>
                <c:pt idx="5">
                  <c:v>245775</c:v>
                </c:pt>
                <c:pt idx="6">
                  <c:v>313990</c:v>
                </c:pt>
                <c:pt idx="7">
                  <c:v>301372</c:v>
                </c:pt>
                <c:pt idx="8">
                  <c:v>230025</c:v>
                </c:pt>
                <c:pt idx="9">
                  <c:v>157109</c:v>
                </c:pt>
                <c:pt idx="10">
                  <c:v>396228</c:v>
                </c:pt>
                <c:pt idx="11">
                  <c:v>353585</c:v>
                </c:pt>
                <c:pt idx="12">
                  <c:v>220370</c:v>
                </c:pt>
                <c:pt idx="13">
                  <c:v>264602</c:v>
                </c:pt>
                <c:pt idx="14">
                  <c:v>327792</c:v>
                </c:pt>
                <c:pt idx="15">
                  <c:v>331090</c:v>
                </c:pt>
                <c:pt idx="16">
                  <c:v>292752</c:v>
                </c:pt>
                <c:pt idx="17">
                  <c:v>345020</c:v>
                </c:pt>
                <c:pt idx="18">
                  <c:v>267129</c:v>
                </c:pt>
                <c:pt idx="19">
                  <c:v>393121</c:v>
                </c:pt>
                <c:pt idx="20">
                  <c:v>291729</c:v>
                </c:pt>
                <c:pt idx="21">
                  <c:v>316476</c:v>
                </c:pt>
                <c:pt idx="22">
                  <c:v>332089</c:v>
                </c:pt>
                <c:pt idx="23">
                  <c:v>358780</c:v>
                </c:pt>
                <c:pt idx="24">
                  <c:v>288503</c:v>
                </c:pt>
                <c:pt idx="25">
                  <c:v>284102</c:v>
                </c:pt>
                <c:pt idx="26">
                  <c:v>360303</c:v>
                </c:pt>
                <c:pt idx="27">
                  <c:v>319884</c:v>
                </c:pt>
                <c:pt idx="28">
                  <c:v>303882</c:v>
                </c:pt>
              </c:numCache>
            </c:numRef>
          </c:yVal>
          <c:smooth val="0"/>
          <c:extLst>
            <c:ext xmlns:c16="http://schemas.microsoft.com/office/drawing/2014/chart" uri="{C3380CC4-5D6E-409C-BE32-E72D297353CC}">
              <c16:uniqueId val="{00000000-31B8-4E58-9AC1-4629BD137DE6}"/>
            </c:ext>
          </c:extLst>
        </c:ser>
        <c:ser>
          <c:idx val="1"/>
          <c:order val="1"/>
          <c:tx>
            <c:v>1to1</c:v>
          </c:tx>
          <c:spPr>
            <a:ln w="25400" cap="rnd">
              <a:noFill/>
              <a:round/>
            </a:ln>
            <a:effectLst/>
          </c:spPr>
          <c:marker>
            <c:symbol val="none"/>
          </c:marker>
          <c:trendline>
            <c:spPr>
              <a:ln w="19050" cap="rnd">
                <a:solidFill>
                  <a:srgbClr val="0070C0"/>
                </a:solidFill>
                <a:prstDash val="sysDot"/>
              </a:ln>
              <a:effectLst/>
            </c:spPr>
            <c:trendlineType val="linear"/>
            <c:dispRSqr val="0"/>
            <c:dispEq val="0"/>
          </c:trendline>
          <c:xVal>
            <c:numRef>
              <c:f>'USGS gage-NFD (annual)'!$AX$59:$AX$60</c:f>
              <c:numCache>
                <c:formatCode>General</c:formatCode>
                <c:ptCount val="2"/>
                <c:pt idx="0">
                  <c:v>0</c:v>
                </c:pt>
                <c:pt idx="1">
                  <c:v>600000</c:v>
                </c:pt>
              </c:numCache>
            </c:numRef>
          </c:xVal>
          <c:yVal>
            <c:numRef>
              <c:f>'USGS gage-NFD (annual)'!$AY$59:$AY$60</c:f>
              <c:numCache>
                <c:formatCode>General</c:formatCode>
                <c:ptCount val="2"/>
                <c:pt idx="0">
                  <c:v>0</c:v>
                </c:pt>
                <c:pt idx="1">
                  <c:v>600000</c:v>
                </c:pt>
              </c:numCache>
            </c:numRef>
          </c:yVal>
          <c:smooth val="0"/>
          <c:extLst>
            <c:ext xmlns:c16="http://schemas.microsoft.com/office/drawing/2014/chart" uri="{C3380CC4-5D6E-409C-BE32-E72D297353CC}">
              <c16:uniqueId val="{00000002-31B8-4E58-9AC1-4629BD137DE6}"/>
            </c:ext>
          </c:extLst>
        </c:ser>
        <c:dLbls>
          <c:showLegendKey val="0"/>
          <c:showVal val="0"/>
          <c:showCatName val="0"/>
          <c:showSerName val="0"/>
          <c:showPercent val="0"/>
          <c:showBubbleSize val="0"/>
        </c:dLbls>
        <c:axId val="1512128399"/>
        <c:axId val="1521910127"/>
      </c:scatterChart>
      <c:valAx>
        <c:axId val="1512128399"/>
        <c:scaling>
          <c:orientation val="minMax"/>
          <c:max val="5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Calculated</a:t>
                </a:r>
                <a:r>
                  <a:rPr lang="en-US" b="0" baseline="0">
                    <a:solidFill>
                      <a:sysClr val="windowText" lastClr="000000"/>
                    </a:solidFill>
                  </a:rPr>
                  <a:t> with USGS gage data (acre-feet)</a:t>
                </a:r>
                <a:endParaRPr lang="en-US" b="0">
                  <a:solidFill>
                    <a:sysClr val="windowText" lastClr="000000"/>
                  </a:solidFill>
                </a:endParaRPr>
              </a:p>
            </c:rich>
          </c:tx>
          <c:layout>
            <c:manualLayout>
              <c:xMode val="edge"/>
              <c:yMode val="edge"/>
              <c:x val="0.29931124580082119"/>
              <c:y val="0.9146559787786732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10127"/>
        <c:crosses val="autoZero"/>
        <c:crossBetween val="midCat"/>
      </c:valAx>
      <c:valAx>
        <c:axId val="1521910127"/>
        <c:scaling>
          <c:orientation val="minMax"/>
          <c:max val="5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Natural flow database</a:t>
                </a:r>
                <a:r>
                  <a:rPr lang="en-US" b="0" baseline="0">
                    <a:solidFill>
                      <a:sysClr val="windowText" lastClr="000000"/>
                    </a:solidFill>
                  </a:rPr>
                  <a:t> data (acre-feet)</a:t>
                </a:r>
                <a:endParaRPr lang="en-US" b="0">
                  <a:solidFill>
                    <a:sysClr val="windowText" lastClr="000000"/>
                  </a:solidFill>
                </a:endParaRPr>
              </a:p>
            </c:rich>
          </c:tx>
          <c:layout>
            <c:manualLayout>
              <c:xMode val="edge"/>
              <c:yMode val="edge"/>
              <c:x val="1.9751693002257337E-2"/>
              <c:y val="0.20999759638357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128399"/>
        <c:crosses val="autoZero"/>
        <c:crossBetween val="midCat"/>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Annual</a:t>
            </a:r>
            <a:r>
              <a:rPr lang="en-US" baseline="0">
                <a:solidFill>
                  <a:sysClr val="windowText" lastClr="000000"/>
                </a:solidFill>
              </a:rPr>
              <a:t> Gains above Hoover </a:t>
            </a:r>
          </a:p>
          <a:p>
            <a:pPr>
              <a:defRPr>
                <a:solidFill>
                  <a:sysClr val="windowText" lastClr="000000"/>
                </a:solidFill>
              </a:defRPr>
            </a:pPr>
            <a:r>
              <a:rPr lang="en-US" baseline="0">
                <a:solidFill>
                  <a:sysClr val="windowText" lastClr="000000"/>
                </a:solidFill>
              </a:rPr>
              <a:t>from 2007 to 2018</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solidFill>
                <a:schemeClr val="accent2"/>
              </a:solidFill>
              <a:ln w="9525">
                <a:solidFill>
                  <a:schemeClr val="accent2"/>
                </a:solidFill>
              </a:ln>
              <a:effectLst/>
            </c:spPr>
          </c:marker>
          <c:xVal>
            <c:numRef>
              <c:f>'USGS gage-NFD (annual)'!$AN$22:$AN$33</c:f>
              <c:numCache>
                <c:formatCode>_(* #,##0_);_(* \(#,##0\);_(* "-"??_);_(@_)</c:formatCode>
                <c:ptCount val="12"/>
                <c:pt idx="0">
                  <c:v>302530</c:v>
                </c:pt>
                <c:pt idx="1">
                  <c:v>372080</c:v>
                </c:pt>
                <c:pt idx="2">
                  <c:v>432950</c:v>
                </c:pt>
                <c:pt idx="3">
                  <c:v>528390</c:v>
                </c:pt>
                <c:pt idx="4">
                  <c:v>231020</c:v>
                </c:pt>
                <c:pt idx="5">
                  <c:v>353840</c:v>
                </c:pt>
                <c:pt idx="6">
                  <c:v>391460</c:v>
                </c:pt>
                <c:pt idx="7">
                  <c:v>434710</c:v>
                </c:pt>
                <c:pt idx="8">
                  <c:v>310120</c:v>
                </c:pt>
                <c:pt idx="9">
                  <c:v>288740</c:v>
                </c:pt>
                <c:pt idx="10">
                  <c:v>402720</c:v>
                </c:pt>
                <c:pt idx="11">
                  <c:v>286770</c:v>
                </c:pt>
              </c:numCache>
            </c:numRef>
          </c:xVal>
          <c:yVal>
            <c:numRef>
              <c:f>'USGS gage-NFD (annual)'!$BC$22:$BC$33</c:f>
              <c:numCache>
                <c:formatCode>_(* #,##0_);_(* \(#,##0\);_(* "-"??_);_(@_)</c:formatCode>
                <c:ptCount val="12"/>
                <c:pt idx="0">
                  <c:v>-68117</c:v>
                </c:pt>
                <c:pt idx="1">
                  <c:v>107419</c:v>
                </c:pt>
                <c:pt idx="2">
                  <c:v>-69616</c:v>
                </c:pt>
                <c:pt idx="3">
                  <c:v>76231</c:v>
                </c:pt>
                <c:pt idx="4">
                  <c:v>168944</c:v>
                </c:pt>
                <c:pt idx="5">
                  <c:v>144338</c:v>
                </c:pt>
                <c:pt idx="6">
                  <c:v>175250</c:v>
                </c:pt>
                <c:pt idx="7">
                  <c:v>137307</c:v>
                </c:pt>
                <c:pt idx="8">
                  <c:v>109114</c:v>
                </c:pt>
                <c:pt idx="9">
                  <c:v>134880</c:v>
                </c:pt>
                <c:pt idx="10">
                  <c:v>212190</c:v>
                </c:pt>
                <c:pt idx="11">
                  <c:v>86462</c:v>
                </c:pt>
              </c:numCache>
            </c:numRef>
          </c:yVal>
          <c:smooth val="0"/>
          <c:extLst>
            <c:ext xmlns:c16="http://schemas.microsoft.com/office/drawing/2014/chart" uri="{C3380CC4-5D6E-409C-BE32-E72D297353CC}">
              <c16:uniqueId val="{00000000-55F9-47CD-A160-03E872D5CF31}"/>
            </c:ext>
          </c:extLst>
        </c:ser>
        <c:ser>
          <c:idx val="0"/>
          <c:order val="1"/>
          <c:tx>
            <c:v>1to1</c:v>
          </c:tx>
          <c:spPr>
            <a:ln w="25400" cap="rnd">
              <a:noFill/>
              <a:round/>
            </a:ln>
            <a:effectLst/>
          </c:spPr>
          <c:marker>
            <c:symbol val="none"/>
          </c:marker>
          <c:trendline>
            <c:spPr>
              <a:ln w="19050" cap="rnd">
                <a:solidFill>
                  <a:srgbClr val="FFC000"/>
                </a:solidFill>
                <a:prstDash val="sysDot"/>
              </a:ln>
              <a:effectLst/>
            </c:spPr>
            <c:trendlineType val="linear"/>
            <c:dispRSqr val="0"/>
            <c:dispEq val="0"/>
          </c:trendline>
          <c:xVal>
            <c:numRef>
              <c:f>'USGS gage-NFD (annual)'!$AX$59:$AX$60</c:f>
              <c:numCache>
                <c:formatCode>General</c:formatCode>
                <c:ptCount val="2"/>
                <c:pt idx="0">
                  <c:v>0</c:v>
                </c:pt>
                <c:pt idx="1">
                  <c:v>600000</c:v>
                </c:pt>
              </c:numCache>
            </c:numRef>
          </c:xVal>
          <c:yVal>
            <c:numRef>
              <c:f>'USGS gage-NFD (annual)'!$AY$59:$AY$60</c:f>
              <c:numCache>
                <c:formatCode>General</c:formatCode>
                <c:ptCount val="2"/>
                <c:pt idx="0">
                  <c:v>0</c:v>
                </c:pt>
                <c:pt idx="1">
                  <c:v>600000</c:v>
                </c:pt>
              </c:numCache>
            </c:numRef>
          </c:yVal>
          <c:smooth val="0"/>
          <c:extLst>
            <c:ext xmlns:c16="http://schemas.microsoft.com/office/drawing/2014/chart" uri="{C3380CC4-5D6E-409C-BE32-E72D297353CC}">
              <c16:uniqueId val="{00000002-55F9-47CD-A160-03E872D5CF31}"/>
            </c:ext>
          </c:extLst>
        </c:ser>
        <c:dLbls>
          <c:showLegendKey val="0"/>
          <c:showVal val="0"/>
          <c:showCatName val="0"/>
          <c:showSerName val="0"/>
          <c:showPercent val="0"/>
          <c:showBubbleSize val="0"/>
        </c:dLbls>
        <c:axId val="184678608"/>
        <c:axId val="184680288"/>
      </c:scatterChart>
      <c:valAx>
        <c:axId val="184678608"/>
        <c:scaling>
          <c:orientation val="minMax"/>
          <c:max val="6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Calculated with USGS gage data (acre-feet)</a:t>
                </a:r>
              </a:p>
            </c:rich>
          </c:tx>
          <c:layout>
            <c:manualLayout>
              <c:xMode val="edge"/>
              <c:yMode val="edge"/>
              <c:x val="0.33152802246751117"/>
              <c:y val="0.9151862596122852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80288"/>
        <c:crosses val="autoZero"/>
        <c:crossBetween val="midCat"/>
      </c:valAx>
      <c:valAx>
        <c:axId val="184680288"/>
        <c:scaling>
          <c:orientation val="minMax"/>
          <c:max val="6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Natural flow database</a:t>
                </a:r>
                <a:r>
                  <a:rPr lang="en-US" baseline="0">
                    <a:solidFill>
                      <a:sysClr val="windowText" lastClr="000000"/>
                    </a:solidFill>
                  </a:rPr>
                  <a:t> data (acre-feet)</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78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Intervening flows </a:t>
            </a:r>
            <a:r>
              <a:rPr lang="en-US" sz="1200" b="1" i="0" u="none" strike="noStrike" baseline="0">
                <a:effectLst/>
              </a:rPr>
              <a:t>calculated with USGS data</a:t>
            </a:r>
            <a:endParaRPr lang="en-US" sz="1200" b="1" i="0" u="none" strike="noStrike" kern="1200" spc="0" baseline="0">
              <a:solidFill>
                <a:sysClr val="windowText" lastClr="000000">
                  <a:lumMod val="65000"/>
                  <a:lumOff val="35000"/>
                </a:sysClr>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n-US" sz="1200" b="1">
                <a:solidFill>
                  <a:sysClr val="windowText" lastClr="000000">
                    <a:lumMod val="65000"/>
                    <a:lumOff val="35000"/>
                  </a:sysClr>
                </a:solidFill>
              </a:defRPr>
            </a:pPr>
            <a:r>
              <a:rPr lang="en-US" sz="1200" b="1" i="0" u="none" strike="noStrike" kern="1200" spc="0" baseline="0">
                <a:solidFill>
                  <a:sysClr val="windowText" lastClr="000000">
                    <a:lumMod val="65000"/>
                    <a:lumOff val="35000"/>
                  </a:sysClr>
                </a:solidFill>
                <a:latin typeface="+mn-lt"/>
                <a:ea typeface="+mn-ea"/>
                <a:cs typeface="+mn-cs"/>
              </a:rPr>
              <a:t>minus i</a:t>
            </a:r>
            <a:r>
              <a:rPr lang="en-US" sz="1200" b="1" i="0" u="none" strike="noStrike" baseline="0">
                <a:effectLst/>
              </a:rPr>
              <a:t>ntervening flows </a:t>
            </a:r>
            <a:r>
              <a:rPr lang="en-US" sz="1200" b="1" i="0" u="none" strike="noStrike" kern="1200" spc="0" baseline="0">
                <a:solidFill>
                  <a:sysClr val="windowText" lastClr="000000">
                    <a:lumMod val="65000"/>
                    <a:lumOff val="35000"/>
                  </a:sysClr>
                </a:solidFill>
                <a:latin typeface="+mn-lt"/>
                <a:ea typeface="+mn-ea"/>
                <a:cs typeface="+mn-cs"/>
              </a:rPr>
              <a:t>in the Natural Flow Data base  </a:t>
            </a:r>
          </a:p>
        </c:rich>
      </c:tx>
      <c:layout>
        <c:manualLayout>
          <c:xMode val="edge"/>
          <c:yMode val="edge"/>
          <c:x val="0.24138384190895809"/>
          <c:y val="2.663622526636225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4942126347779938"/>
          <c:y val="0.14777412241278057"/>
          <c:w val="0.82518630808268101"/>
          <c:h val="0.71370492215870274"/>
        </c:manualLayout>
      </c:layout>
      <c:barChart>
        <c:barDir val="col"/>
        <c:grouping val="clustered"/>
        <c:varyColors val="0"/>
        <c:ser>
          <c:idx val="0"/>
          <c:order val="0"/>
          <c:spPr>
            <a:solidFill>
              <a:schemeClr val="accent1"/>
            </a:solidFill>
            <a:ln>
              <a:noFill/>
            </a:ln>
            <a:effectLst/>
          </c:spPr>
          <c:invertIfNegative val="0"/>
          <c:cat>
            <c:numRef>
              <c:f>'USGS gage-NFD (annual)'!$A$22:$A$33</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'USGS gage-NFD (annual)'!$BL$22:$BL$33</c:f>
              <c:numCache>
                <c:formatCode>_(* #,##0_);_(* \(#,##0\);_(* "-"??_);_(@_)</c:formatCode>
                <c:ptCount val="12"/>
                <c:pt idx="0">
                  <c:v>370647</c:v>
                </c:pt>
                <c:pt idx="1">
                  <c:v>264661</c:v>
                </c:pt>
                <c:pt idx="2">
                  <c:v>502566</c:v>
                </c:pt>
                <c:pt idx="3">
                  <c:v>452159</c:v>
                </c:pt>
                <c:pt idx="4">
                  <c:v>62076</c:v>
                </c:pt>
                <c:pt idx="5">
                  <c:v>209502</c:v>
                </c:pt>
                <c:pt idx="6">
                  <c:v>216210</c:v>
                </c:pt>
                <c:pt idx="7">
                  <c:v>297403</c:v>
                </c:pt>
                <c:pt idx="8">
                  <c:v>201006</c:v>
                </c:pt>
                <c:pt idx="9">
                  <c:v>153860</c:v>
                </c:pt>
                <c:pt idx="10">
                  <c:v>190530</c:v>
                </c:pt>
                <c:pt idx="11">
                  <c:v>200308</c:v>
                </c:pt>
              </c:numCache>
            </c:numRef>
          </c:val>
          <c:extLst>
            <c:ext xmlns:c16="http://schemas.microsoft.com/office/drawing/2014/chart" uri="{C3380CC4-5D6E-409C-BE32-E72D297353CC}">
              <c16:uniqueId val="{00000000-394A-42E3-AA1D-EEF54581EFAD}"/>
            </c:ext>
          </c:extLst>
        </c:ser>
        <c:dLbls>
          <c:showLegendKey val="0"/>
          <c:showVal val="0"/>
          <c:showCatName val="0"/>
          <c:showSerName val="0"/>
          <c:showPercent val="0"/>
          <c:showBubbleSize val="0"/>
        </c:dLbls>
        <c:gapWidth val="219"/>
        <c:overlap val="-27"/>
        <c:axId val="446844831"/>
        <c:axId val="381391807"/>
      </c:barChart>
      <c:catAx>
        <c:axId val="44684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91807"/>
        <c:crosses val="autoZero"/>
        <c:auto val="1"/>
        <c:lblAlgn val="ctr"/>
        <c:lblOffset val="100"/>
        <c:noMultiLvlLbl val="0"/>
      </c:catAx>
      <c:valAx>
        <c:axId val="38139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Acre-feet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4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 Average </a:t>
            </a:r>
            <a:r>
              <a:rPr lang="en-US" sz="1400" b="1" i="0" u="none" strike="noStrike" baseline="0">
                <a:effectLst/>
              </a:rPr>
              <a:t>Annual </a:t>
            </a:r>
            <a:r>
              <a:rPr lang="en-US" sz="1400" b="1"/>
              <a:t>Lake Powell Water Budget from Water</a:t>
            </a:r>
            <a:r>
              <a:rPr lang="en-US" sz="1400" b="1" baseline="0"/>
              <a:t> Years </a:t>
            </a:r>
            <a:r>
              <a:rPr lang="en-US" sz="1400" b="1"/>
              <a:t>2016</a:t>
            </a:r>
            <a:r>
              <a:rPr lang="en-US" sz="1400" b="1" baseline="0"/>
              <a:t> to 2019</a:t>
            </a:r>
            <a:endParaRPr lang="en-US" sz="1400" b="1"/>
          </a:p>
        </c:rich>
      </c:tx>
      <c:layout>
        <c:manualLayout>
          <c:xMode val="edge"/>
          <c:yMode val="edge"/>
          <c:x val="0.31581315336773852"/>
          <c:y val="1.58982511923688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612084118703109"/>
          <c:y val="9.1812400635930047E-2"/>
          <c:w val="0.75264650076739614"/>
          <c:h val="0.79053177772492267"/>
        </c:manualLayout>
      </c:layout>
      <c:scatterChart>
        <c:scatterStyle val="lineMarker"/>
        <c:varyColors val="0"/>
        <c:ser>
          <c:idx val="0"/>
          <c:order val="0"/>
          <c:tx>
            <c:v>all inputs</c:v>
          </c:tx>
          <c:spPr>
            <a:ln w="19050" cap="rnd">
              <a:noFill/>
              <a:round/>
            </a:ln>
            <a:effectLst/>
          </c:spPr>
          <c:marker>
            <c:symbol val="circle"/>
            <c:size val="5"/>
            <c:spPr>
              <a:solidFill>
                <a:schemeClr val="accent1"/>
              </a:solidFill>
              <a:ln w="19050">
                <a:solidFill>
                  <a:schemeClr val="accent1"/>
                </a:solidFill>
              </a:ln>
              <a:effectLst/>
            </c:spPr>
          </c:marker>
          <c:trendline>
            <c:spPr>
              <a:ln w="25400" cap="rnd">
                <a:solidFill>
                  <a:schemeClr val="accent1"/>
                </a:solidFill>
                <a:prstDash val="solid"/>
              </a:ln>
              <a:effectLst/>
            </c:spPr>
            <c:trendlineType val="linear"/>
            <c:dispRSqr val="0"/>
            <c:dispEq val="0"/>
          </c:trendline>
          <c:xVal>
            <c:numRef>
              <c:f>Tables!$AT$15:$AV$15</c:f>
              <c:numCache>
                <c:formatCode>0.000</c:formatCode>
                <c:ptCount val="3"/>
                <c:pt idx="0">
                  <c:v>9.8010000000000019</c:v>
                </c:pt>
                <c:pt idx="1">
                  <c:v>9.5956499999999991</c:v>
                </c:pt>
                <c:pt idx="2" formatCode="0.00">
                  <c:v>10.006350000000001</c:v>
                </c:pt>
              </c:numCache>
            </c:numRef>
          </c:xVal>
          <c:yVal>
            <c:numLit>
              <c:formatCode>General</c:formatCode>
              <c:ptCount val="3"/>
              <c:pt idx="0">
                <c:v>1</c:v>
              </c:pt>
              <c:pt idx="1">
                <c:v>1</c:v>
              </c:pt>
              <c:pt idx="2">
                <c:v>1</c:v>
              </c:pt>
            </c:numLit>
          </c:yVal>
          <c:smooth val="0"/>
          <c:extLst>
            <c:ext xmlns:c16="http://schemas.microsoft.com/office/drawing/2014/chart" uri="{C3380CC4-5D6E-409C-BE32-E72D297353CC}">
              <c16:uniqueId val="{00000001-6131-4053-A659-6FDD4CA34DB6}"/>
            </c:ext>
          </c:extLst>
        </c:ser>
        <c:ser>
          <c:idx val="1"/>
          <c:order val="1"/>
          <c:tx>
            <c:v>loss+gross+Lees</c:v>
          </c:tx>
          <c:spPr>
            <a:ln w="25400" cap="rnd">
              <a:noFill/>
              <a:round/>
            </a:ln>
            <a:effectLst/>
          </c:spPr>
          <c:marker>
            <c:symbol val="circle"/>
            <c:size val="5"/>
            <c:spPr>
              <a:solidFill>
                <a:schemeClr val="accent2"/>
              </a:solidFill>
              <a:ln w="19050">
                <a:solidFill>
                  <a:schemeClr val="accent2"/>
                </a:solidFill>
              </a:ln>
              <a:effectLst/>
            </c:spPr>
          </c:marker>
          <c:trendline>
            <c:spPr>
              <a:ln w="25400" cap="rnd">
                <a:solidFill>
                  <a:schemeClr val="accent2"/>
                </a:solidFill>
                <a:prstDash val="solid"/>
              </a:ln>
              <a:effectLst/>
            </c:spPr>
            <c:trendlineType val="linear"/>
            <c:dispRSqr val="0"/>
            <c:dispEq val="0"/>
          </c:trendline>
          <c:xVal>
            <c:numRef>
              <c:f>Tables!$AT$23:$AV$23</c:f>
              <c:numCache>
                <c:formatCode>0.000</c:formatCode>
                <c:ptCount val="3"/>
                <c:pt idx="0">
                  <c:v>9.9909999999999997</c:v>
                </c:pt>
                <c:pt idx="1">
                  <c:v>9.734510974141438</c:v>
                </c:pt>
                <c:pt idx="2" formatCode="0.00">
                  <c:v>10.295319398434652</c:v>
                </c:pt>
              </c:numCache>
            </c:numRef>
          </c:xVal>
          <c:yVal>
            <c:numLit>
              <c:formatCode>General</c:formatCode>
              <c:ptCount val="3"/>
              <c:pt idx="0">
                <c:v>2</c:v>
              </c:pt>
              <c:pt idx="1">
                <c:v>2</c:v>
              </c:pt>
              <c:pt idx="2">
                <c:v>2</c:v>
              </c:pt>
            </c:numLit>
          </c:yVal>
          <c:smooth val="0"/>
          <c:extLst>
            <c:ext xmlns:c16="http://schemas.microsoft.com/office/drawing/2014/chart" uri="{C3380CC4-5D6E-409C-BE32-E72D297353CC}">
              <c16:uniqueId val="{00000003-6131-4053-A659-6FDD4CA34DB6}"/>
            </c:ext>
          </c:extLst>
        </c:ser>
        <c:ser>
          <c:idx val="2"/>
          <c:order val="2"/>
          <c:tx>
            <c:v>loss+net+Lees</c:v>
          </c:tx>
          <c:spPr>
            <a:ln w="25400" cap="rnd">
              <a:solidFill>
                <a:schemeClr val="accent6"/>
              </a:solidFill>
              <a:round/>
            </a:ln>
            <a:effectLst/>
          </c:spPr>
          <c:marker>
            <c:symbol val="circle"/>
            <c:size val="5"/>
            <c:spPr>
              <a:solidFill>
                <a:schemeClr val="accent6"/>
              </a:solidFill>
              <a:ln w="19050">
                <a:solidFill>
                  <a:schemeClr val="accent6"/>
                </a:solidFill>
              </a:ln>
              <a:effectLst/>
            </c:spPr>
          </c:marker>
          <c:xVal>
            <c:numRef>
              <c:f>Tables!$AT$24:$AV$24</c:f>
              <c:numCache>
                <c:formatCode>0.000</c:formatCode>
                <c:ptCount val="3"/>
                <c:pt idx="0">
                  <c:v>9.6490000000000009</c:v>
                </c:pt>
                <c:pt idx="1">
                  <c:v>9.4552899999999998</c:v>
                </c:pt>
                <c:pt idx="2">
                  <c:v>9.8427100000000003</c:v>
                </c:pt>
              </c:numCache>
            </c:numRef>
          </c:xVal>
          <c:yVal>
            <c:numLit>
              <c:formatCode>General</c:formatCode>
              <c:ptCount val="3"/>
              <c:pt idx="0">
                <c:v>3</c:v>
              </c:pt>
              <c:pt idx="1">
                <c:v>3</c:v>
              </c:pt>
              <c:pt idx="2">
                <c:v>3</c:v>
              </c:pt>
            </c:numLit>
          </c:yVal>
          <c:smooth val="0"/>
          <c:extLst>
            <c:ext xmlns:c16="http://schemas.microsoft.com/office/drawing/2014/chart" uri="{C3380CC4-5D6E-409C-BE32-E72D297353CC}">
              <c16:uniqueId val="{00000004-6131-4053-A659-6FDD4CA34DB6}"/>
            </c:ext>
          </c:extLst>
        </c:ser>
        <c:dLbls>
          <c:showLegendKey val="0"/>
          <c:showVal val="0"/>
          <c:showCatName val="0"/>
          <c:showSerName val="0"/>
          <c:showPercent val="0"/>
          <c:showBubbleSize val="0"/>
        </c:dLbls>
        <c:axId val="1591515743"/>
        <c:axId val="1386349183"/>
      </c:scatterChart>
      <c:valAx>
        <c:axId val="1591515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Flow volume</a:t>
                </a:r>
                <a:r>
                  <a:rPr lang="en-US" sz="1200" b="1" baseline="0"/>
                  <a:t> (maf/yr)</a:t>
                </a:r>
                <a:endParaRPr lang="en-US" sz="1200" b="1"/>
              </a:p>
            </c:rich>
          </c:tx>
          <c:layout>
            <c:manualLayout>
              <c:xMode val="edge"/>
              <c:yMode val="edge"/>
              <c:x val="0.53482363434225344"/>
              <c:y val="0.9448935735179366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86349183"/>
        <c:crosses val="autoZero"/>
        <c:crossBetween val="midCat"/>
      </c:valAx>
      <c:valAx>
        <c:axId val="13863491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91515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CompareUSGStoNatFlow!$C$1</c:f>
              <c:strCache>
                <c:ptCount val="1"/>
                <c:pt idx="0">
                  <c:v>Natural Flow</c:v>
                </c:pt>
              </c:strCache>
            </c:strRef>
          </c:tx>
          <c:spPr>
            <a:ln w="19050" cap="rnd">
              <a:noFill/>
              <a:round/>
            </a:ln>
            <a:effectLst/>
          </c:spPr>
          <c:marker>
            <c:symbol val="circle"/>
            <c:size val="5"/>
            <c:spPr>
              <a:solidFill>
                <a:schemeClr val="accent1"/>
              </a:solidFill>
              <a:ln w="9525">
                <a:solidFill>
                  <a:schemeClr val="accent1"/>
                </a:solidFill>
              </a:ln>
              <a:effectLst/>
            </c:spPr>
          </c:marker>
          <c:xVal>
            <c:numRef>
              <c:f>CompareUSGStoNatFlow!$B$2:$B$30</c:f>
              <c:numCache>
                <c:formatCode>_ * #,##0.00_ ;_ * \-#,##0.00_ ;_ * "-"??_ ;_ @_ </c:formatCode>
                <c:ptCount val="29"/>
                <c:pt idx="0">
                  <c:v>0.82110000000000005</c:v>
                </c:pt>
                <c:pt idx="1">
                  <c:v>0.86160000000000003</c:v>
                </c:pt>
                <c:pt idx="2">
                  <c:v>1.103</c:v>
                </c:pt>
                <c:pt idx="3">
                  <c:v>1.6619999999999999</c:v>
                </c:pt>
                <c:pt idx="4">
                  <c:v>0.66900000000000004</c:v>
                </c:pt>
                <c:pt idx="5">
                  <c:v>1.2050000000000001</c:v>
                </c:pt>
                <c:pt idx="6">
                  <c:v>0.57899999999999996</c:v>
                </c:pt>
                <c:pt idx="7">
                  <c:v>0.80300000000000005</c:v>
                </c:pt>
                <c:pt idx="8">
                  <c:v>0.95499999999999996</c:v>
                </c:pt>
                <c:pt idx="9">
                  <c:v>0.82899999999999996</c:v>
                </c:pt>
                <c:pt idx="10">
                  <c:v>0.82299999999999995</c:v>
                </c:pt>
                <c:pt idx="11">
                  <c:v>0.83899999999999997</c:v>
                </c:pt>
                <c:pt idx="12">
                  <c:v>0.61729999999999996</c:v>
                </c:pt>
                <c:pt idx="13">
                  <c:v>0.6774</c:v>
                </c:pt>
                <c:pt idx="14">
                  <c:v>0.72070000000000001</c:v>
                </c:pt>
                <c:pt idx="15">
                  <c:v>1.649</c:v>
                </c:pt>
                <c:pt idx="16">
                  <c:v>0.69</c:v>
                </c:pt>
                <c:pt idx="17">
                  <c:v>0.90049999999999997</c:v>
                </c:pt>
                <c:pt idx="18">
                  <c:v>1.004</c:v>
                </c:pt>
                <c:pt idx="19">
                  <c:v>0.98860000000000003</c:v>
                </c:pt>
                <c:pt idx="20">
                  <c:v>1.214</c:v>
                </c:pt>
                <c:pt idx="21">
                  <c:v>1.1379999999999999</c:v>
                </c:pt>
                <c:pt idx="22">
                  <c:v>0.88700000000000001</c:v>
                </c:pt>
                <c:pt idx="23">
                  <c:v>1.0529999999999999</c:v>
                </c:pt>
                <c:pt idx="24">
                  <c:v>0.91200000000000003</c:v>
                </c:pt>
                <c:pt idx="25">
                  <c:v>0.81330000000000002</c:v>
                </c:pt>
                <c:pt idx="26">
                  <c:v>0.83599999999999997</c:v>
                </c:pt>
                <c:pt idx="27">
                  <c:v>1.046</c:v>
                </c:pt>
                <c:pt idx="28">
                  <c:v>0.75270000000000004</c:v>
                </c:pt>
              </c:numCache>
            </c:numRef>
          </c:xVal>
          <c:yVal>
            <c:numRef>
              <c:f>CompareUSGStoNatFlow!$C$2:$C$30</c:f>
              <c:numCache>
                <c:formatCode>_ * #,##0.00_ ;_ * \-#,##0.00_ ;_ * "-"??_ ;_ @_ </c:formatCode>
                <c:ptCount val="29"/>
                <c:pt idx="0">
                  <c:v>0.68247800000000003</c:v>
                </c:pt>
                <c:pt idx="1">
                  <c:v>0.872946</c:v>
                </c:pt>
                <c:pt idx="2">
                  <c:v>1.1973940000000001</c:v>
                </c:pt>
                <c:pt idx="3">
                  <c:v>2.049013</c:v>
                </c:pt>
                <c:pt idx="4">
                  <c:v>0.66440600000000005</c:v>
                </c:pt>
                <c:pt idx="5">
                  <c:v>1.4108780000000001</c:v>
                </c:pt>
                <c:pt idx="6">
                  <c:v>0.64435799999999999</c:v>
                </c:pt>
                <c:pt idx="7">
                  <c:v>0.77238600000000002</c:v>
                </c:pt>
                <c:pt idx="8">
                  <c:v>1.2180200000000001</c:v>
                </c:pt>
                <c:pt idx="9">
                  <c:v>0.66140600000000005</c:v>
                </c:pt>
                <c:pt idx="10">
                  <c:v>0.45391999999999999</c:v>
                </c:pt>
                <c:pt idx="11">
                  <c:v>0.60839600000000005</c:v>
                </c:pt>
                <c:pt idx="12">
                  <c:v>0.32613700000000001</c:v>
                </c:pt>
                <c:pt idx="13">
                  <c:v>0.50059399999999998</c:v>
                </c:pt>
                <c:pt idx="14">
                  <c:v>0.466028</c:v>
                </c:pt>
                <c:pt idx="15">
                  <c:v>1.8925510000000001</c:v>
                </c:pt>
                <c:pt idx="16">
                  <c:v>0.4365</c:v>
                </c:pt>
                <c:pt idx="17">
                  <c:v>0.50835900000000001</c:v>
                </c:pt>
                <c:pt idx="18">
                  <c:v>0.72677000000000003</c:v>
                </c:pt>
                <c:pt idx="19">
                  <c:v>0.493618</c:v>
                </c:pt>
                <c:pt idx="20">
                  <c:v>0.73869499999999999</c:v>
                </c:pt>
                <c:pt idx="21">
                  <c:v>0.95151699999999995</c:v>
                </c:pt>
                <c:pt idx="22">
                  <c:v>0.66888300000000001</c:v>
                </c:pt>
                <c:pt idx="23">
                  <c:v>0.79278899999999997</c:v>
                </c:pt>
                <c:pt idx="24">
                  <c:v>0.58873600000000004</c:v>
                </c:pt>
                <c:pt idx="25">
                  <c:v>0.58602500000000002</c:v>
                </c:pt>
                <c:pt idx="26">
                  <c:v>0.68106</c:v>
                </c:pt>
                <c:pt idx="27">
                  <c:v>0.84299599999999997</c:v>
                </c:pt>
                <c:pt idx="28">
                  <c:v>0.53316399999999997</c:v>
                </c:pt>
              </c:numCache>
            </c:numRef>
          </c:yVal>
          <c:smooth val="0"/>
          <c:extLst>
            <c:ext xmlns:c16="http://schemas.microsoft.com/office/drawing/2014/chart" uri="{C3380CC4-5D6E-409C-BE32-E72D297353CC}">
              <c16:uniqueId val="{00000000-1C21-4BF4-B685-CDC87B679E63}"/>
            </c:ext>
          </c:extLst>
        </c:ser>
        <c:ser>
          <c:idx val="1"/>
          <c:order val="1"/>
          <c:tx>
            <c:v>1:1 line</c:v>
          </c:tx>
          <c:spPr>
            <a:ln w="25400" cap="rnd">
              <a:solidFill>
                <a:srgbClr val="FFC000"/>
              </a:solidFill>
              <a:prstDash val="dash"/>
              <a:round/>
            </a:ln>
            <a:effectLst/>
          </c:spPr>
          <c:marker>
            <c:symbol val="none"/>
          </c:marker>
          <c:xVal>
            <c:numRef>
              <c:f>CompareUSGStoNatFlow!$E$1:$E$2</c:f>
              <c:numCache>
                <c:formatCode>General</c:formatCode>
                <c:ptCount val="2"/>
                <c:pt idx="0">
                  <c:v>0</c:v>
                </c:pt>
                <c:pt idx="1">
                  <c:v>2.5</c:v>
                </c:pt>
              </c:numCache>
            </c:numRef>
          </c:xVal>
          <c:yVal>
            <c:numRef>
              <c:f>CompareUSGStoNatFlow!$E$1:$E$2</c:f>
              <c:numCache>
                <c:formatCode>General</c:formatCode>
                <c:ptCount val="2"/>
                <c:pt idx="0">
                  <c:v>0</c:v>
                </c:pt>
                <c:pt idx="1">
                  <c:v>2.5</c:v>
                </c:pt>
              </c:numCache>
            </c:numRef>
          </c:yVal>
          <c:smooth val="0"/>
          <c:extLst>
            <c:ext xmlns:c16="http://schemas.microsoft.com/office/drawing/2014/chart" uri="{C3380CC4-5D6E-409C-BE32-E72D297353CC}">
              <c16:uniqueId val="{00000001-1C21-4BF4-B685-CDC87B679E63}"/>
            </c:ext>
          </c:extLst>
        </c:ser>
        <c:dLbls>
          <c:showLegendKey val="0"/>
          <c:showVal val="0"/>
          <c:showCatName val="0"/>
          <c:showSerName val="0"/>
          <c:showPercent val="0"/>
          <c:showBubbleSize val="0"/>
        </c:dLbls>
        <c:axId val="2091026111"/>
        <c:axId val="2026380319"/>
      </c:scatterChart>
      <c:valAx>
        <c:axId val="2091026111"/>
        <c:scaling>
          <c:orientation val="minMax"/>
          <c:max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USGS Gaged</a:t>
                </a:r>
              </a:p>
              <a:p>
                <a:pPr>
                  <a:defRPr/>
                </a:pPr>
                <a:r>
                  <a:rPr lang="en-US"/>
                  <a:t>(million acre-feet per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380319"/>
        <c:crosses val="autoZero"/>
        <c:crossBetween val="midCat"/>
        <c:majorUnit val="0.5"/>
      </c:valAx>
      <c:valAx>
        <c:axId val="2026380319"/>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USBR Natural Flow</a:t>
                </a:r>
              </a:p>
              <a:p>
                <a:pPr>
                  <a:defRPr/>
                </a:pPr>
                <a:r>
                  <a:rPr lang="en-US"/>
                  <a:t>(million acre-feet per 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026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29</xdr:row>
      <xdr:rowOff>0</xdr:rowOff>
    </xdr:from>
    <xdr:to>
      <xdr:col>10</xdr:col>
      <xdr:colOff>0</xdr:colOff>
      <xdr:row>47</xdr:row>
      <xdr:rowOff>160020</xdr:rowOff>
    </xdr:to>
    <xdr:graphicFrame macro="">
      <xdr:nvGraphicFramePr>
        <xdr:cNvPr id="4" name="Chart 3">
          <a:extLst>
            <a:ext uri="{FF2B5EF4-FFF2-40B4-BE49-F238E27FC236}">
              <a16:creationId xmlns:a16="http://schemas.microsoft.com/office/drawing/2014/main" id="{0681A9EC-7E0A-4DE7-A38D-55B52473E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xdr:row>
      <xdr:rowOff>0</xdr:rowOff>
    </xdr:from>
    <xdr:to>
      <xdr:col>10</xdr:col>
      <xdr:colOff>15240</xdr:colOff>
      <xdr:row>24</xdr:row>
      <xdr:rowOff>0</xdr:rowOff>
    </xdr:to>
    <xdr:graphicFrame macro="">
      <xdr:nvGraphicFramePr>
        <xdr:cNvPr id="5" name="Chart 4">
          <a:extLst>
            <a:ext uri="{FF2B5EF4-FFF2-40B4-BE49-F238E27FC236}">
              <a16:creationId xmlns:a16="http://schemas.microsoft.com/office/drawing/2014/main" id="{53861E75-180E-4192-A4A0-9B7F1399E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52</xdr:row>
      <xdr:rowOff>0</xdr:rowOff>
    </xdr:from>
    <xdr:to>
      <xdr:col>8</xdr:col>
      <xdr:colOff>109220</xdr:colOff>
      <xdr:row>68</xdr:row>
      <xdr:rowOff>161290</xdr:rowOff>
    </xdr:to>
    <xdr:grpSp>
      <xdr:nvGrpSpPr>
        <xdr:cNvPr id="2" name="Group 1">
          <a:extLst>
            <a:ext uri="{FF2B5EF4-FFF2-40B4-BE49-F238E27FC236}">
              <a16:creationId xmlns:a16="http://schemas.microsoft.com/office/drawing/2014/main" id="{42981F10-0E10-4258-8871-0179A0F1C4FC}"/>
            </a:ext>
          </a:extLst>
        </xdr:cNvPr>
        <xdr:cNvGrpSpPr/>
      </xdr:nvGrpSpPr>
      <xdr:grpSpPr>
        <a:xfrm>
          <a:off x="609600" y="9410700"/>
          <a:ext cx="4373245" cy="3060065"/>
          <a:chOff x="609600" y="9509760"/>
          <a:chExt cx="4376420" cy="3087370"/>
        </a:xfrm>
      </xdr:grpSpPr>
      <xdr:graphicFrame macro="">
        <xdr:nvGraphicFramePr>
          <xdr:cNvPr id="6" name="Chart 5">
            <a:extLst>
              <a:ext uri="{FF2B5EF4-FFF2-40B4-BE49-F238E27FC236}">
                <a16:creationId xmlns:a16="http://schemas.microsoft.com/office/drawing/2014/main" id="{5565D107-4022-4477-AC18-45350A4109B7}"/>
              </a:ext>
            </a:extLst>
          </xdr:cNvPr>
          <xdr:cNvGraphicFramePr>
            <a:graphicFrameLocks/>
          </xdr:cNvGraphicFramePr>
        </xdr:nvGraphicFramePr>
        <xdr:xfrm>
          <a:off x="609600" y="9509760"/>
          <a:ext cx="4376420" cy="308737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7" name="TextBox 6">
            <a:extLst>
              <a:ext uri="{FF2B5EF4-FFF2-40B4-BE49-F238E27FC236}">
                <a16:creationId xmlns:a16="http://schemas.microsoft.com/office/drawing/2014/main" id="{E47C4E8E-BF0A-49DB-8934-652E6F7BF43A}"/>
              </a:ext>
            </a:extLst>
          </xdr:cNvPr>
          <xdr:cNvSpPr txBox="1"/>
        </xdr:nvSpPr>
        <xdr:spPr>
          <a:xfrm>
            <a:off x="2065020" y="11643360"/>
            <a:ext cx="56804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a:t>1:1 line</a:t>
            </a:r>
          </a:p>
        </xdr:txBody>
      </xdr:sp>
    </xdr:grpSp>
    <xdr:clientData/>
  </xdr:twoCellAnchor>
  <xdr:twoCellAnchor>
    <xdr:from>
      <xdr:col>1</xdr:col>
      <xdr:colOff>0</xdr:colOff>
      <xdr:row>73</xdr:row>
      <xdr:rowOff>99060</xdr:rowOff>
    </xdr:from>
    <xdr:to>
      <xdr:col>9</xdr:col>
      <xdr:colOff>15240</xdr:colOff>
      <xdr:row>91</xdr:row>
      <xdr:rowOff>160020</xdr:rowOff>
    </xdr:to>
    <xdr:graphicFrame macro="">
      <xdr:nvGraphicFramePr>
        <xdr:cNvPr id="8" name="Chart 7">
          <a:extLst>
            <a:ext uri="{FF2B5EF4-FFF2-40B4-BE49-F238E27FC236}">
              <a16:creationId xmlns:a16="http://schemas.microsoft.com/office/drawing/2014/main" id="{1478B37B-2360-41B5-A372-1DEDC4A9E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121920</xdr:colOff>
      <xdr:row>73</xdr:row>
      <xdr:rowOff>106680</xdr:rowOff>
    </xdr:from>
    <xdr:to>
      <xdr:col>17</xdr:col>
      <xdr:colOff>304800</xdr:colOff>
      <xdr:row>92</xdr:row>
      <xdr:rowOff>15240</xdr:rowOff>
    </xdr:to>
    <xdr:graphicFrame macro="">
      <xdr:nvGraphicFramePr>
        <xdr:cNvPr id="9" name="Chart 8">
          <a:extLst>
            <a:ext uri="{FF2B5EF4-FFF2-40B4-BE49-F238E27FC236}">
              <a16:creationId xmlns:a16="http://schemas.microsoft.com/office/drawing/2014/main" id="{BC75EAE2-DAFE-4219-9586-F576ADB57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96</xdr:row>
      <xdr:rowOff>0</xdr:rowOff>
    </xdr:from>
    <xdr:to>
      <xdr:col>17</xdr:col>
      <xdr:colOff>45720</xdr:colOff>
      <xdr:row>125</xdr:row>
      <xdr:rowOff>15240</xdr:rowOff>
    </xdr:to>
    <xdr:grpSp>
      <xdr:nvGrpSpPr>
        <xdr:cNvPr id="10" name="Group 9">
          <a:extLst>
            <a:ext uri="{FF2B5EF4-FFF2-40B4-BE49-F238E27FC236}">
              <a16:creationId xmlns:a16="http://schemas.microsoft.com/office/drawing/2014/main" id="{594A0110-6C4C-4FA9-AB6D-BC07885D69DD}"/>
            </a:ext>
          </a:extLst>
        </xdr:cNvPr>
        <xdr:cNvGrpSpPr/>
      </xdr:nvGrpSpPr>
      <xdr:grpSpPr>
        <a:xfrm>
          <a:off x="609600" y="17373600"/>
          <a:ext cx="9802495" cy="5260340"/>
          <a:chOff x="2125980" y="8279130"/>
          <a:chExt cx="9833610" cy="5318760"/>
        </a:xfrm>
      </xdr:grpSpPr>
      <xdr:graphicFrame macro="">
        <xdr:nvGraphicFramePr>
          <xdr:cNvPr id="11" name="Chart 10">
            <a:extLst>
              <a:ext uri="{FF2B5EF4-FFF2-40B4-BE49-F238E27FC236}">
                <a16:creationId xmlns:a16="http://schemas.microsoft.com/office/drawing/2014/main" id="{642C916A-C382-407E-B17F-B4476B70901D}"/>
              </a:ext>
            </a:extLst>
          </xdr:cNvPr>
          <xdr:cNvGraphicFramePr/>
        </xdr:nvGraphicFramePr>
        <xdr:xfrm>
          <a:off x="2125980" y="8279130"/>
          <a:ext cx="9833610" cy="531876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2" name="TextBox 11">
            <a:extLst>
              <a:ext uri="{FF2B5EF4-FFF2-40B4-BE49-F238E27FC236}">
                <a16:creationId xmlns:a16="http://schemas.microsoft.com/office/drawing/2014/main" id="{3C39EAC1-6CDF-43D3-A1A4-2AC30CB1113C}"/>
              </a:ext>
            </a:extLst>
          </xdr:cNvPr>
          <xdr:cNvSpPr txBox="1"/>
        </xdr:nvSpPr>
        <xdr:spPr>
          <a:xfrm>
            <a:off x="2133621" y="10275570"/>
            <a:ext cx="211696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a:t>All Loss</a:t>
            </a:r>
            <a:r>
              <a:rPr lang="en-US" altLang="zh-CN" sz="1100" baseline="0"/>
              <a:t> (Change in Storage </a:t>
            </a:r>
          </a:p>
          <a:p>
            <a:r>
              <a:rPr lang="en-US" altLang="zh-CN" sz="1100" baseline="0"/>
              <a:t>+ Change in bank + </a:t>
            </a:r>
            <a:r>
              <a:rPr lang="en-US" altLang="zh-CN" sz="1100" b="1" baseline="0"/>
              <a:t>Gross</a:t>
            </a:r>
            <a:r>
              <a:rPr lang="en-US" altLang="zh-CN" sz="1100" baseline="0"/>
              <a:t> </a:t>
            </a:r>
            <a:r>
              <a:rPr lang="en-US" altLang="zh-CN" sz="1100" b="1" baseline="0"/>
              <a:t>evap</a:t>
            </a:r>
          </a:p>
          <a:p>
            <a:r>
              <a:rPr lang="en-US" altLang="zh-CN" sz="1100" baseline="0"/>
              <a:t>+ </a:t>
            </a:r>
            <a:r>
              <a:rPr lang="en-US" altLang="zh-CN" sz="1100" b="1" baseline="0"/>
              <a:t>Lees Ferry Gage </a:t>
            </a:r>
            <a:r>
              <a:rPr lang="en-US" sz="1100" b="1" baseline="0">
                <a:solidFill>
                  <a:schemeClr val="tx1"/>
                </a:solidFill>
                <a:effectLst/>
                <a:latin typeface="+mn-lt"/>
                <a:ea typeface="+mn-ea"/>
                <a:cs typeface="+mn-cs"/>
              </a:rPr>
              <a:t>Measurement</a:t>
            </a:r>
            <a:r>
              <a:rPr lang="en-US" altLang="zh-CN" sz="1100" baseline="0"/>
              <a:t>)</a:t>
            </a:r>
            <a:endParaRPr lang="en-US" sz="1100"/>
          </a:p>
        </xdr:txBody>
      </xdr:sp>
      <xdr:sp macro="" textlink="">
        <xdr:nvSpPr>
          <xdr:cNvPr id="13" name="TextBox 12">
            <a:extLst>
              <a:ext uri="{FF2B5EF4-FFF2-40B4-BE49-F238E27FC236}">
                <a16:creationId xmlns:a16="http://schemas.microsoft.com/office/drawing/2014/main" id="{95C7D520-D929-4127-BDB1-BACAE47B6CE5}"/>
              </a:ext>
            </a:extLst>
          </xdr:cNvPr>
          <xdr:cNvSpPr txBox="1"/>
        </xdr:nvSpPr>
        <xdr:spPr>
          <a:xfrm>
            <a:off x="2133621" y="11634613"/>
            <a:ext cx="200951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1100"/>
              <a:t>All Gains</a:t>
            </a:r>
            <a:r>
              <a:rPr lang="en-US" altLang="zh-CN" sz="1100" baseline="0"/>
              <a:t> (Inflow + Precipitation)</a:t>
            </a:r>
            <a:endParaRPr lang="en-US" sz="1100"/>
          </a:p>
        </xdr:txBody>
      </xdr:sp>
      <xdr:sp macro="" textlink="">
        <xdr:nvSpPr>
          <xdr:cNvPr id="14" name="TextBox 13">
            <a:extLst>
              <a:ext uri="{FF2B5EF4-FFF2-40B4-BE49-F238E27FC236}">
                <a16:creationId xmlns:a16="http://schemas.microsoft.com/office/drawing/2014/main" id="{1F98F58D-3CFC-419F-B89E-370C35E236CD}"/>
              </a:ext>
            </a:extLst>
          </xdr:cNvPr>
          <xdr:cNvSpPr txBox="1"/>
        </xdr:nvSpPr>
        <xdr:spPr>
          <a:xfrm>
            <a:off x="2133621" y="9094470"/>
            <a:ext cx="186640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a:t>All Loss</a:t>
            </a:r>
            <a:r>
              <a:rPr lang="en-US" altLang="zh-CN" sz="1100" baseline="0"/>
              <a:t> (Change in Storage </a:t>
            </a:r>
          </a:p>
          <a:p>
            <a:r>
              <a:rPr lang="en-US" altLang="zh-CN" sz="1100" baseline="0"/>
              <a:t>+ Change in bank + </a:t>
            </a:r>
            <a:r>
              <a:rPr lang="en-US" altLang="zh-CN" sz="1100" b="1" baseline="0"/>
              <a:t>Net evap</a:t>
            </a:r>
          </a:p>
          <a:p>
            <a:r>
              <a:rPr lang="en-US" altLang="zh-CN" sz="1100" baseline="0"/>
              <a:t>+ </a:t>
            </a:r>
            <a:r>
              <a:rPr lang="en-US" sz="1100" b="1" baseline="0">
                <a:solidFill>
                  <a:schemeClr val="tx1"/>
                </a:solidFill>
                <a:effectLst/>
                <a:latin typeface="+mn-lt"/>
                <a:ea typeface="+mn-ea"/>
                <a:cs typeface="+mn-cs"/>
              </a:rPr>
              <a:t>Glen Canyon Dam Release</a:t>
            </a:r>
            <a:r>
              <a:rPr lang="en-US" altLang="zh-CN" sz="1100" baseline="0"/>
              <a:t>)</a:t>
            </a:r>
            <a:endParaRPr lang="en-US" sz="1100"/>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0.69878</cdr:x>
      <cdr:y>0.33696</cdr:y>
    </cdr:from>
    <cdr:to>
      <cdr:x>0.80761</cdr:x>
      <cdr:y>0.40811</cdr:y>
    </cdr:to>
    <cdr:sp macro="" textlink="">
      <cdr:nvSpPr>
        <cdr:cNvPr id="2" name="TextBox 2">
          <a:extLst xmlns:a="http://schemas.openxmlformats.org/drawingml/2006/main">
            <a:ext uri="{FF2B5EF4-FFF2-40B4-BE49-F238E27FC236}">
              <a16:creationId xmlns:a16="http://schemas.microsoft.com/office/drawing/2014/main" id="{48B00455-C8A5-4A97-BCBA-64F6AB411452}"/>
            </a:ext>
          </a:extLst>
        </cdr:cNvPr>
        <cdr:cNvSpPr txBox="1"/>
      </cdr:nvSpPr>
      <cdr:spPr>
        <a:xfrm xmlns:a="http://schemas.openxmlformats.org/drawingml/2006/main">
          <a:off x="3647440" y="1178560"/>
          <a:ext cx="568041" cy="24885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a:t>1:1 line</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419497</xdr:colOff>
      <xdr:row>3</xdr:row>
      <xdr:rowOff>74414</xdr:rowOff>
    </xdr:from>
    <xdr:to>
      <xdr:col>14</xdr:col>
      <xdr:colOff>226218</xdr:colOff>
      <xdr:row>20</xdr:row>
      <xdr:rowOff>136922</xdr:rowOff>
    </xdr:to>
    <xdr:graphicFrame macro="">
      <xdr:nvGraphicFramePr>
        <xdr:cNvPr id="2" name="Chart 1">
          <a:extLst>
            <a:ext uri="{FF2B5EF4-FFF2-40B4-BE49-F238E27FC236}">
              <a16:creationId xmlns:a16="http://schemas.microsoft.com/office/drawing/2014/main" id="{19BE1D2A-0273-4B79-BE65-10156211B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274321</xdr:colOff>
      <xdr:row>2</xdr:row>
      <xdr:rowOff>146058</xdr:rowOff>
    </xdr:from>
    <xdr:to>
      <xdr:col>11</xdr:col>
      <xdr:colOff>556260</xdr:colOff>
      <xdr:row>38</xdr:row>
      <xdr:rowOff>50393</xdr:rowOff>
    </xdr:to>
    <xdr:pic>
      <xdr:nvPicPr>
        <xdr:cNvPr id="2" name="Picture 1">
          <a:extLst>
            <a:ext uri="{FF2B5EF4-FFF2-40B4-BE49-F238E27FC236}">
              <a16:creationId xmlns:a16="http://schemas.microsoft.com/office/drawing/2014/main" id="{37E140F6-7FFD-4009-8D4C-F005429D3275}"/>
            </a:ext>
          </a:extLst>
        </xdr:cNvPr>
        <xdr:cNvPicPr>
          <a:picLocks noChangeAspect="1"/>
        </xdr:cNvPicPr>
      </xdr:nvPicPr>
      <xdr:blipFill>
        <a:blip xmlns:r="http://schemas.openxmlformats.org/officeDocument/2006/relationships" r:embed="rId1"/>
        <a:stretch>
          <a:fillRect/>
        </a:stretch>
      </xdr:blipFill>
      <xdr:spPr>
        <a:xfrm>
          <a:off x="4282441" y="1029978"/>
          <a:ext cx="7345679" cy="64880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32658</xdr:colOff>
      <xdr:row>18</xdr:row>
      <xdr:rowOff>15240</xdr:rowOff>
    </xdr:from>
    <xdr:to>
      <xdr:col>16</xdr:col>
      <xdr:colOff>440657</xdr:colOff>
      <xdr:row>33</xdr:row>
      <xdr:rowOff>115387</xdr:rowOff>
    </xdr:to>
    <xdr:pic>
      <xdr:nvPicPr>
        <xdr:cNvPr id="2" name="Picture 1">
          <a:extLst>
            <a:ext uri="{FF2B5EF4-FFF2-40B4-BE49-F238E27FC236}">
              <a16:creationId xmlns:a16="http://schemas.microsoft.com/office/drawing/2014/main" id="{F5C415B2-245E-47FD-9959-DA48185CDA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83038" y="3528060"/>
          <a:ext cx="5399099" cy="28433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ter%20budget%20analysis\other%20version\Powell%20budget%20summary_J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llBalance"/>
      <sheetName val="PowellEvapPrecipBank"/>
      <sheetName val="Ungagged area"/>
      <sheetName val="ungage inflow Myers"/>
      <sheetName val="Powell Release"/>
      <sheetName val="09328920"/>
      <sheetName val="09315000 "/>
      <sheetName val="09328500 "/>
      <sheetName val="09328910 "/>
      <sheetName val="09185600 "/>
      <sheetName val="09180500 "/>
      <sheetName val="09379500 "/>
      <sheetName val="09333500 "/>
      <sheetName val="09337500 "/>
      <sheetName val="09380000 "/>
    </sheetNames>
    <sheetDataSet>
      <sheetData sheetId="0"/>
      <sheetData sheetId="1"/>
      <sheetData sheetId="2"/>
      <sheetData sheetId="3"/>
      <sheetData sheetId="4"/>
      <sheetData sheetId="5"/>
      <sheetData sheetId="6">
        <row r="13">
          <cell r="E13">
            <v>194485.28925619836</v>
          </cell>
          <cell r="R13">
            <v>3.9774823140495865</v>
          </cell>
        </row>
        <row r="14">
          <cell r="E14">
            <v>213500.82644628099</v>
          </cell>
          <cell r="R14">
            <v>5.0735603305785126</v>
          </cell>
        </row>
        <row r="15">
          <cell r="E15">
            <v>181572.89256198346</v>
          </cell>
          <cell r="R15">
            <v>2.9407537190082644</v>
          </cell>
        </row>
        <row r="16">
          <cell r="E16">
            <v>193378.51239669422</v>
          </cell>
          <cell r="R16">
            <v>4.3047074380165293</v>
          </cell>
        </row>
        <row r="17">
          <cell r="E17">
            <v>224905.78512396695</v>
          </cell>
          <cell r="R17">
            <v>4.0741259504132232</v>
          </cell>
        </row>
        <row r="18">
          <cell r="E18">
            <v>180097.19008264464</v>
          </cell>
        </row>
        <row r="19">
          <cell r="E19">
            <v>299781.81818181818</v>
          </cell>
        </row>
        <row r="20">
          <cell r="E20">
            <v>776588.42975206615</v>
          </cell>
        </row>
        <row r="21">
          <cell r="E21">
            <v>1085950.4132231404</v>
          </cell>
        </row>
        <row r="22">
          <cell r="E22">
            <v>304609.58677685948</v>
          </cell>
        </row>
        <row r="23">
          <cell r="E23">
            <v>137916.69421487604</v>
          </cell>
        </row>
        <row r="24">
          <cell r="E24">
            <v>183927.27272727274</v>
          </cell>
        </row>
        <row r="25">
          <cell r="E25">
            <v>179912.72727272726</v>
          </cell>
        </row>
        <row r="26">
          <cell r="E26">
            <v>165004.95867768594</v>
          </cell>
        </row>
        <row r="27">
          <cell r="E27">
            <v>154518.34710743802</v>
          </cell>
        </row>
        <row r="28">
          <cell r="E28">
            <v>174686.28099173555</v>
          </cell>
        </row>
        <row r="29">
          <cell r="E29">
            <v>306065.45454545453</v>
          </cell>
        </row>
        <row r="30">
          <cell r="E30">
            <v>482124.29752066114</v>
          </cell>
        </row>
        <row r="31">
          <cell r="E31">
            <v>824727.27272727271</v>
          </cell>
        </row>
        <row r="32">
          <cell r="E32">
            <v>1023768.5950413223</v>
          </cell>
        </row>
        <row r="33">
          <cell r="E33">
            <v>1014545.4545454546</v>
          </cell>
        </row>
        <row r="34">
          <cell r="E34">
            <v>384912.3966942149</v>
          </cell>
        </row>
        <row r="35">
          <cell r="E35">
            <v>195838.01652892563</v>
          </cell>
        </row>
        <row r="36">
          <cell r="E36">
            <v>166909.09090909091</v>
          </cell>
        </row>
        <row r="37">
          <cell r="E37">
            <v>201371.90082644628</v>
          </cell>
        </row>
        <row r="38">
          <cell r="E38">
            <v>210823.14049586776</v>
          </cell>
        </row>
        <row r="39">
          <cell r="E39">
            <v>244351.73553719008</v>
          </cell>
        </row>
        <row r="40">
          <cell r="E40">
            <v>245089.58677685951</v>
          </cell>
        </row>
        <row r="41">
          <cell r="E41">
            <v>235921.98347107437</v>
          </cell>
        </row>
        <row r="42">
          <cell r="E42">
            <v>225905.45454545456</v>
          </cell>
        </row>
        <row r="43">
          <cell r="E43">
            <v>263067.7685950413</v>
          </cell>
        </row>
        <row r="44">
          <cell r="E44">
            <v>584562.64462809917</v>
          </cell>
        </row>
        <row r="45">
          <cell r="E45">
            <v>345064.46280991734</v>
          </cell>
        </row>
        <row r="46">
          <cell r="E46">
            <v>138039.6694214876</v>
          </cell>
        </row>
        <row r="47">
          <cell r="E47">
            <v>127279.33884297521</v>
          </cell>
        </row>
        <row r="48">
          <cell r="E48">
            <v>119246.28099173553</v>
          </cell>
        </row>
        <row r="49">
          <cell r="E49">
            <v>167615.20661157026</v>
          </cell>
        </row>
        <row r="50">
          <cell r="E50">
            <v>140489.25619834711</v>
          </cell>
        </row>
        <row r="51">
          <cell r="E51">
            <v>163987.43801652893</v>
          </cell>
        </row>
        <row r="52">
          <cell r="E52">
            <v>169582.80991735536</v>
          </cell>
        </row>
        <row r="53">
          <cell r="E53">
            <v>160335.86776859505</v>
          </cell>
        </row>
        <row r="54">
          <cell r="E54">
            <v>210472.06611570247</v>
          </cell>
        </row>
        <row r="55">
          <cell r="E55">
            <v>357441.32231404958</v>
          </cell>
        </row>
        <row r="56">
          <cell r="E56">
            <v>712641.32231404958</v>
          </cell>
        </row>
        <row r="57">
          <cell r="E57">
            <v>1304925.6198347108</v>
          </cell>
        </row>
        <row r="58">
          <cell r="E58">
            <v>574663.14049586782</v>
          </cell>
        </row>
        <row r="59">
          <cell r="E59">
            <v>183110.0826446281</v>
          </cell>
        </row>
        <row r="60">
          <cell r="E60">
            <v>159768.59504132232</v>
          </cell>
        </row>
      </sheetData>
      <sheetData sheetId="7">
        <row r="13">
          <cell r="R13">
            <v>2.9328396694214876E-2</v>
          </cell>
        </row>
        <row r="14">
          <cell r="R14">
            <v>9.5780826446280998E-2</v>
          </cell>
        </row>
        <row r="15">
          <cell r="R15">
            <v>1.3393388429752065E-2</v>
          </cell>
        </row>
        <row r="16">
          <cell r="R16">
            <v>0.12683900826446279</v>
          </cell>
        </row>
        <row r="17">
          <cell r="R17">
            <v>6.6335404958677679E-2</v>
          </cell>
        </row>
      </sheetData>
      <sheetData sheetId="8"/>
      <sheetData sheetId="9"/>
      <sheetData sheetId="10">
        <row r="13">
          <cell r="E13">
            <v>281736.19834710745</v>
          </cell>
          <cell r="R13">
            <v>4.5379160330578507</v>
          </cell>
        </row>
        <row r="14">
          <cell r="E14">
            <v>245692.56198347107</v>
          </cell>
          <cell r="R14">
            <v>4.6761024793388435</v>
          </cell>
        </row>
        <row r="15">
          <cell r="E15">
            <v>192517.68595041323</v>
          </cell>
          <cell r="R15">
            <v>2.5107173553719009</v>
          </cell>
        </row>
        <row r="16">
          <cell r="E16">
            <v>197559.6694214876</v>
          </cell>
          <cell r="R16">
            <v>5.7526413223140498</v>
          </cell>
        </row>
        <row r="17">
          <cell r="E17">
            <v>211733.55371900825</v>
          </cell>
          <cell r="R17">
            <v>4.3693442975206613</v>
          </cell>
        </row>
        <row r="18">
          <cell r="E18">
            <v>228364.95867768594</v>
          </cell>
        </row>
        <row r="19">
          <cell r="E19">
            <v>358214.87603305787</v>
          </cell>
        </row>
        <row r="20">
          <cell r="E20">
            <v>878657.85123966937</v>
          </cell>
        </row>
        <row r="21">
          <cell r="E21">
            <v>1059173.5537190083</v>
          </cell>
        </row>
        <row r="22">
          <cell r="E22">
            <v>383375.20661157026</v>
          </cell>
        </row>
        <row r="23">
          <cell r="E23">
            <v>256280.3305785124</v>
          </cell>
        </row>
        <row r="24">
          <cell r="E24">
            <v>244026.44628099175</v>
          </cell>
        </row>
        <row r="25">
          <cell r="E25">
            <v>264212.2314049587</v>
          </cell>
        </row>
        <row r="26">
          <cell r="E26">
            <v>208323.96694214875</v>
          </cell>
        </row>
        <row r="27">
          <cell r="E27">
            <v>192394.71074380164</v>
          </cell>
        </row>
        <row r="28">
          <cell r="E28">
            <v>195223.14049586776</v>
          </cell>
        </row>
        <row r="29">
          <cell r="E29">
            <v>209819.50413223141</v>
          </cell>
        </row>
        <row r="30">
          <cell r="E30">
            <v>324593.05785123969</v>
          </cell>
        </row>
        <row r="31">
          <cell r="E31">
            <v>447530.57851239672</v>
          </cell>
        </row>
        <row r="32">
          <cell r="E32">
            <v>843609.91735537187</v>
          </cell>
        </row>
        <row r="33">
          <cell r="E33">
            <v>1084165.2892561983</v>
          </cell>
        </row>
        <row r="34">
          <cell r="E34">
            <v>391553.05785123969</v>
          </cell>
        </row>
        <row r="35">
          <cell r="E35">
            <v>273742.80991735536</v>
          </cell>
        </row>
        <row r="36">
          <cell r="E36">
            <v>241229.7520661157</v>
          </cell>
        </row>
        <row r="37">
          <cell r="E37">
            <v>296124.29752066114</v>
          </cell>
        </row>
        <row r="38">
          <cell r="E38">
            <v>212727.27272727274</v>
          </cell>
        </row>
        <row r="39">
          <cell r="E39">
            <v>227319.6694214876</v>
          </cell>
        </row>
        <row r="40">
          <cell r="E40">
            <v>201433.38842975206</v>
          </cell>
        </row>
        <row r="41">
          <cell r="E41">
            <v>157059.17355371901</v>
          </cell>
        </row>
        <row r="42">
          <cell r="E42">
            <v>180097.19008264464</v>
          </cell>
        </row>
        <row r="43">
          <cell r="E43">
            <v>166135.53719008266</v>
          </cell>
        </row>
        <row r="44">
          <cell r="E44">
            <v>382145.45454545453</v>
          </cell>
        </row>
        <row r="45">
          <cell r="E45">
            <v>260925.61983471076</v>
          </cell>
        </row>
        <row r="46">
          <cell r="E46">
            <v>137670.74380165289</v>
          </cell>
        </row>
        <row r="47">
          <cell r="E47">
            <v>158945.45454545456</v>
          </cell>
        </row>
        <row r="48">
          <cell r="E48">
            <v>130195.04132231405</v>
          </cell>
        </row>
        <row r="49">
          <cell r="E49">
            <v>196883.30578512396</v>
          </cell>
        </row>
        <row r="50">
          <cell r="E50">
            <v>158042.97520661156</v>
          </cell>
        </row>
        <row r="51">
          <cell r="E51">
            <v>140068.76033057852</v>
          </cell>
        </row>
        <row r="52">
          <cell r="E52">
            <v>137978.18181818182</v>
          </cell>
        </row>
        <row r="53">
          <cell r="E53">
            <v>136399.33884297521</v>
          </cell>
        </row>
        <row r="54">
          <cell r="E54">
            <v>210963.96694214875</v>
          </cell>
        </row>
        <row r="55">
          <cell r="E55">
            <v>452707.4380165289</v>
          </cell>
        </row>
        <row r="56">
          <cell r="E56">
            <v>905097.52066115697</v>
          </cell>
        </row>
        <row r="57">
          <cell r="E57">
            <v>1728595.0413223139</v>
          </cell>
        </row>
        <row r="58">
          <cell r="E58">
            <v>1089560.3305785125</v>
          </cell>
        </row>
        <row r="59">
          <cell r="E59">
            <v>370462.80991735536</v>
          </cell>
        </row>
        <row r="60">
          <cell r="E60">
            <v>225758.67768595042</v>
          </cell>
        </row>
      </sheetData>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ater.weather.gov/precip/index.php"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sciencebase.gov/catalog/item/55f6fba8e4b0477df11bff2b"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aterdata.usgs.gov/az/nwis/monthly/?referred_module=sw&amp;amp;site_no=09380000&amp;amp;por_09380000_236239=19133,00060,236239,1921-10,2020-04&amp;amp;format=html_table&amp;amp;date_format=YYYY-MM-DD&amp;amp;rdb_compression=file&amp;amp;submitted_form=parameter_selection_list"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aterdata.usgs.gov/nwis/monthly/?referred_module=sw&amp;amp;site_no=09404200&amp;amp;por_09404200_5370=19350,00060,5370,1983-08,2020-02&amp;amp;format=html_table&amp;amp;date_format=YYYY-MM-DD&amp;amp;rdb_compression=file&amp;amp;submitted_form=parameter_selection_list"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aterdata.usgs.gov/nwis/monthly/?referred_module=sw&amp;amp;site_no=09415250&amp;amp;por_09415250_102194=171973,00060,102194,2006-04,2019-05&amp;amp;format=html_table&amp;amp;date_format=YYYY-MM-DD&amp;amp;rdb_compression=file&amp;amp;submitted_form=parameter_selection_lis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aterdata.usgs.gov/nwis/monthly/?referred_module=sw&amp;amp;site_no=09404208&amp;amp;por_09404208_5373=19351,00060,5373,1993-05,2020-01&amp;amp;format=html_table&amp;amp;date_format=YYYY-MM-DD&amp;amp;rdb_compression=file&amp;amp;submitted_form=parameter_selection_lis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hyperlink" Target="https://waterdata.usgs.gov/nv/nwis/uv/?site_no=09419800&amp;PARAmeter_cd=00065,00060"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aterdata.usgs.gov/nwis/monthly/?referred_module=sw&amp;amp;site_no=09421500&amp;amp;por_09421500_102357=172091,00060,102357,1934-04,2017-09&amp;amp;format=html_table&amp;amp;date_format=YYYY-MM-DD&amp;amp;rdb_compression=file&amp;amp;submitted_form=parameter_selection_list"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www.usbr.gov/rsvrWater/HistoricalApp.html" TargetMode="External"/><Relationship Id="rId2" Type="http://schemas.openxmlformats.org/officeDocument/2006/relationships/hyperlink" Target="https://water.weather.gov/precip/index.php" TargetMode="External"/><Relationship Id="rId1" Type="http://schemas.openxmlformats.org/officeDocument/2006/relationships/hyperlink" Target="https://www.usclimatedata.com/climate/lake-powell/utah/united-states/usut0284" TargetMode="External"/></Relationships>
</file>

<file path=xl/worksheets/_rels/sheet23.xml.rels><?xml version="1.0" encoding="UTF-8" standalone="yes"?>
<Relationships xmlns="http://schemas.openxmlformats.org/package/2006/relationships"><Relationship Id="rId2" Type="http://schemas.openxmlformats.org/officeDocument/2006/relationships/hyperlink" Target="https://waterdata.usgs.gov/nwis/annual/?referred_module=sw&amp;amp;site_no=09180500&amp;amp;por_09180500_142741=448304,00060,142741,1914,2020&amp;amp;year_type=W&amp;amp;format=html_table&amp;amp;date_format=YYYY-MM-DD&amp;amp;rdb_compression=file&amp;amp;submitted_form=parameter_selection_list" TargetMode="External"/><Relationship Id="rId1" Type="http://schemas.openxmlformats.org/officeDocument/2006/relationships/hyperlink" Target="https://waterdata.usgs.gov/usa/nwis/uv?09180500"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waterdata.usgs.gov/nwis/annual/?referred_module=sw&amp;amp;site_no=09185600&amp;amp;por_09185600_142765=2698801,00060,142765,2015,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185600&amp;amp;por_09185600_142765=2698801,00060,142765,2014-10,2020-03&amp;amp;format=html_table&amp;amp;date_format=YYYY-MM-DD&amp;amp;rdb_compression=file&amp;amp;submitted_form=parameter_selection_list"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aterdata.usgs.gov/nwis/annual/?referred_module=sw&amp;amp;site_no=09315000&amp;amp;por_09315000_143107=448593,00060,143107,1895,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315000&amp;amp;por_09315000_143107=448593,00060,143107,1894-10,2020-02&amp;amp;format=html_table&amp;amp;date_format=YYYY-MM-DD&amp;amp;rdb_compression=file&amp;amp;submitted_form=parameter_selection_list" TargetMode="Externa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aterdata.usgs.gov/nwis/annual/?referred_module=sw&amp;amp;site_no=09328500&amp;amp;por_09328500_143149=448642,00060,143149,1910,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328500&amp;amp;por_09328500_143149=448642,00060,143149,1909-10,2020-04&amp;amp;format=html_table&amp;amp;date_format=YYYY-MM-DD&amp;amp;rdb_compression=file&amp;amp;submitted_form=parameter_selection_list"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aterdata.usgs.gov/ut/nwis/annual/?referred_module=sw&amp;amp;site_no=09328920&amp;amp;por_09328920_143156=2674131,00060,143156,2014,2020&amp;amp;year_type=W&amp;amp;format=html_table&amp;amp;date_format=YYYY-MM-DD&amp;amp;rdb_compression=file&amp;amp;submitted_form=parameter_selection_list" TargetMode="External"/><Relationship Id="rId1" Type="http://schemas.openxmlformats.org/officeDocument/2006/relationships/hyperlink" Target="https://waterdata.usgs.gov/ut/nwis/monthly/?referred_module=sw&amp;amp;site_no=09328920&amp;amp;por_09328920_143156=2674131,00060,143156,2014-03,2020-04&amp;amp;format=html_table&amp;amp;date_format=YYYY-MM-DD&amp;amp;rdb_compression=file&amp;amp;submitted_form=parameter_selection_list" TargetMode="External"/><Relationship Id="rId4" Type="http://schemas.openxmlformats.org/officeDocument/2006/relationships/drawing" Target="../drawings/drawing5.xml"/></Relationships>
</file>

<file path=xl/worksheets/_rels/sheet28.xml.rels><?xml version="1.0" encoding="UTF-8" standalone="yes"?>
<Relationships xmlns="http://schemas.openxmlformats.org/package/2006/relationships"><Relationship Id="rId2" Type="http://schemas.openxmlformats.org/officeDocument/2006/relationships/hyperlink" Target="https://waterdata.usgs.gov/nwis/annual/?referred_module=sw&amp;amp;site_no=09333500&amp;amp;por_09333500_143180=448672,00060,143180,1948,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333500&amp;amp;por_09333500_143180=448672,00060,143180,1948-06,2020-05&amp;amp;format=html_table&amp;amp;date_format=YYYY-MM-DD&amp;amp;rdb_compression=file&amp;amp;submitted_form=parameter_selection_list" TargetMode="External"/></Relationships>
</file>

<file path=xl/worksheets/_rels/sheet29.xml.rels><?xml version="1.0" encoding="UTF-8" standalone="yes"?>
<Relationships xmlns="http://schemas.openxmlformats.org/package/2006/relationships"><Relationship Id="rId2" Type="http://schemas.openxmlformats.org/officeDocument/2006/relationships/hyperlink" Target="https://waterdata.usgs.gov/nwis/annual/?referred_module=sw&amp;amp;site_no=09337500&amp;amp;por_09337500_143192=448685,00060,143192,1911,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337500&amp;amp;por_09337500_143192=448685,00060,143192,1911-01,2020-01&amp;amp;format=html_table&amp;amp;date_format=YYYY-MM-DD&amp;amp;rdb_compression=file&amp;amp;submitted_form=parameter_selection_lis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2" Type="http://schemas.openxmlformats.org/officeDocument/2006/relationships/hyperlink" Target="https://waterdata.usgs.gov/ut/nwis/annual/?referred_module=sw&amp;amp;site_no=09379500&amp;amp;por_09379500_163674=448709,00060,163674,1915,2020&amp;amp;year_type=W&amp;amp;format=html_table&amp;amp;date_format=YYYY-MM-DD&amp;amp;rdb_compression=file&amp;amp;submitted_form=parameter_selection_list" TargetMode="External"/><Relationship Id="rId1" Type="http://schemas.openxmlformats.org/officeDocument/2006/relationships/hyperlink" Target="https://waterdata.usgs.gov/ut/nwis/monthly/?referred_module=sw&amp;amp;site_no=09379500&amp;amp;por_09379500_163674=448709,00060,163674,1914-10,2019-10&amp;amp;format=html_table&amp;amp;date_format=YYYY-MM-DD&amp;amp;rdb_compression=file&amp;amp;submitted_form=parameter_selection_list"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waterdata.usgs.gov/az/nwis/monthly/?referred_module=sw&amp;amp;site_no=09380000&amp;amp;por_09380000_236239=19133,00060,236239,1921-10,2020-04&amp;amp;format=html_table&amp;amp;date_format=YYYY-MM-DD&amp;amp;rdb_compression=file&amp;amp;submitted_form=parameter_selection_li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aterdata.usgs.gov/nwis/inventory/?site_no=09185600&amp;agency_cd=USGS" TargetMode="External"/><Relationship Id="rId7" Type="http://schemas.openxmlformats.org/officeDocument/2006/relationships/hyperlink" Target="https://waterdata.usgs.gov/nwis/inventory/?site_no=09421500&amp;agency_cd=USGS" TargetMode="External"/><Relationship Id="rId2" Type="http://schemas.openxmlformats.org/officeDocument/2006/relationships/hyperlink" Target="https://waterdata.usgs.gov/ut/nwis/inventory/?site_no=09328920&amp;agency_cd=USGS" TargetMode="External"/><Relationship Id="rId1" Type="http://schemas.openxmlformats.org/officeDocument/2006/relationships/hyperlink" Target="https://waterdata.usgs.gov/az/nwis/inventory/?site_no=09379910&amp;agency_cd=USGS" TargetMode="External"/><Relationship Id="rId6" Type="http://schemas.openxmlformats.org/officeDocument/2006/relationships/hyperlink" Target="https://waterdata.usgs.gov/nwis/inventory/?site_no=09333500&amp;agency_cd=USGS" TargetMode="External"/><Relationship Id="rId5" Type="http://schemas.openxmlformats.org/officeDocument/2006/relationships/hyperlink" Target="https://waterdata.usgs.gov/nwis/annual/?referred_module=sw&amp;amp;site_no=09337500&amp;amp;por_09337500_143192=448685,00060,143192,1911,2020&amp;amp;year_type=W&amp;amp;format=html_table&amp;amp;date_format=YYYY-MM-DD&amp;amp;rdb_compression=file&amp;amp;submitted_form=parameter_selection_list" TargetMode="External"/><Relationship Id="rId4" Type="http://schemas.openxmlformats.org/officeDocument/2006/relationships/hyperlink" Target="https://waterdata.usgs.gov/ut/nwis/inventory/?site_no=09379500&amp;agency_cd=USG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usbr.gov/lc/region/g4000/24mo/index.html" TargetMode="External"/><Relationship Id="rId2" Type="http://schemas.openxmlformats.org/officeDocument/2006/relationships/hyperlink" Target="https://www.usbr.gov/uc/water/hydrodata/reservoir_data/site_map.html" TargetMode="External"/><Relationship Id="rId1" Type="http://schemas.openxmlformats.org/officeDocument/2006/relationships/hyperlink" Target="https://www.usbr.gov/lc/region/g4000/wtracct.html"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usbr.gov/lc/region/g4000/hourly/mead-elv.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49BEF-5144-4044-833E-EF4D3CE3356D}">
  <dimension ref="A1:B13"/>
  <sheetViews>
    <sheetView workbookViewId="0">
      <selection activeCell="B14" sqref="B14"/>
    </sheetView>
  </sheetViews>
  <sheetFormatPr defaultRowHeight="14.5"/>
  <cols>
    <col min="1" max="1" width="11.36328125" bestFit="1" customWidth="1"/>
    <col min="2" max="2" width="128.81640625" bestFit="1" customWidth="1"/>
  </cols>
  <sheetData>
    <row r="1" spans="1:2">
      <c r="A1" s="47" t="s">
        <v>423</v>
      </c>
      <c r="B1" s="47" t="s">
        <v>428</v>
      </c>
    </row>
    <row r="2" spans="1:2">
      <c r="A2" s="47" t="s">
        <v>424</v>
      </c>
      <c r="B2" t="s">
        <v>426</v>
      </c>
    </row>
    <row r="3" spans="1:2">
      <c r="B3" t="s">
        <v>427</v>
      </c>
    </row>
    <row r="4" spans="1:2">
      <c r="A4" s="47" t="s">
        <v>113</v>
      </c>
      <c r="B4" t="s">
        <v>448</v>
      </c>
    </row>
    <row r="7" spans="1:2">
      <c r="A7" s="47" t="s">
        <v>430</v>
      </c>
      <c r="B7" s="47" t="s">
        <v>434</v>
      </c>
    </row>
    <row r="8" spans="1:2">
      <c r="A8" t="s">
        <v>429</v>
      </c>
      <c r="B8" s="2" t="s">
        <v>446</v>
      </c>
    </row>
    <row r="9" spans="1:2">
      <c r="A9" t="s">
        <v>431</v>
      </c>
      <c r="B9" t="s">
        <v>447</v>
      </c>
    </row>
    <row r="10" spans="1:2">
      <c r="A10" t="s">
        <v>432</v>
      </c>
      <c r="B10" t="s">
        <v>422</v>
      </c>
    </row>
    <row r="11" spans="1:2">
      <c r="A11" t="s">
        <v>433</v>
      </c>
      <c r="B11" t="s">
        <v>445</v>
      </c>
    </row>
    <row r="13" spans="1:2">
      <c r="A13" t="s">
        <v>453</v>
      </c>
      <c r="B13" t="s">
        <v>454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7A327-941C-4E67-B9AD-A7D32ABF29D3}">
  <dimension ref="A3:P76"/>
  <sheetViews>
    <sheetView workbookViewId="0">
      <selection activeCell="B4" sqref="B4"/>
    </sheetView>
  </sheetViews>
  <sheetFormatPr defaultColWidth="8.81640625" defaultRowHeight="14.5"/>
  <cols>
    <col min="1" max="1" width="16.453125" style="1" bestFit="1" customWidth="1"/>
    <col min="2" max="2" width="10.6328125" style="1" bestFit="1" customWidth="1"/>
    <col min="3" max="5" width="8.81640625" style="1"/>
    <col min="6" max="6" width="9.81640625" style="1" bestFit="1" customWidth="1"/>
    <col min="7" max="7" width="11.08984375" style="1" bestFit="1" customWidth="1"/>
    <col min="8" max="14" width="8.81640625" style="1"/>
  </cols>
  <sheetData>
    <row r="3" spans="1:16">
      <c r="A3" s="90"/>
    </row>
    <row r="4" spans="1:16">
      <c r="B4" s="73" t="s">
        <v>416</v>
      </c>
      <c r="C4" s="44" t="s">
        <v>218</v>
      </c>
    </row>
    <row r="5" spans="1:16">
      <c r="C5" s="216" t="s">
        <v>192</v>
      </c>
      <c r="D5" s="216"/>
      <c r="F5" s="1" t="s">
        <v>219</v>
      </c>
      <c r="G5" s="1" t="s">
        <v>220</v>
      </c>
    </row>
    <row r="6" spans="1:16">
      <c r="C6" s="1" t="s">
        <v>221</v>
      </c>
      <c r="D6" s="1" t="s">
        <v>199</v>
      </c>
      <c r="E6" s="44"/>
      <c r="F6" s="1" t="s">
        <v>200</v>
      </c>
      <c r="G6" s="1" t="s">
        <v>98</v>
      </c>
    </row>
    <row r="7" spans="1:16">
      <c r="A7" s="1" t="s">
        <v>222</v>
      </c>
      <c r="B7" s="1">
        <v>2010</v>
      </c>
      <c r="C7" s="1">
        <v>0.75</v>
      </c>
      <c r="D7" s="86">
        <f>C7/12</f>
        <v>6.25E-2</v>
      </c>
      <c r="E7" s="90"/>
      <c r="F7" s="83">
        <f ca="1">('Mead water budget'!P6+'Mead water budget'!P7)/2</f>
        <v>89975.001203506865</v>
      </c>
      <c r="G7" s="83">
        <f ca="1">D7*F7</f>
        <v>5623.4375752191791</v>
      </c>
    </row>
    <row r="8" spans="1:16">
      <c r="A8" s="1" t="s">
        <v>223</v>
      </c>
      <c r="B8" s="1">
        <v>2010</v>
      </c>
      <c r="C8" s="1">
        <v>0.17499999999999999</v>
      </c>
      <c r="D8" s="86">
        <f t="shared" ref="D8:D66" si="0">C8/12</f>
        <v>1.4583333333333332E-2</v>
      </c>
      <c r="F8" s="83">
        <f ca="1">('Mead water budget'!P7+'Mead water budget'!P8)/2</f>
        <v>89046.177040624694</v>
      </c>
      <c r="G8" s="83">
        <f t="shared" ref="G8:G66" ca="1" si="1">D8*F8</f>
        <v>1298.5900818424434</v>
      </c>
      <c r="H8" s="1">
        <v>89046.177040624694</v>
      </c>
    </row>
    <row r="9" spans="1:16">
      <c r="A9" s="1" t="s">
        <v>224</v>
      </c>
      <c r="B9" s="1">
        <v>2010</v>
      </c>
      <c r="C9" s="1">
        <v>0</v>
      </c>
      <c r="D9" s="86">
        <f t="shared" si="0"/>
        <v>0</v>
      </c>
      <c r="F9" s="83">
        <f ca="1">('Mead water budget'!P8+'Mead water budget'!P9)/2</f>
        <v>87983.834360952751</v>
      </c>
      <c r="G9" s="83">
        <f t="shared" ca="1" si="1"/>
        <v>0</v>
      </c>
    </row>
    <row r="10" spans="1:16" s="1" customFormat="1">
      <c r="A10" s="1" t="s">
        <v>225</v>
      </c>
      <c r="B10" s="1">
        <v>2010</v>
      </c>
      <c r="C10" s="1">
        <v>0</v>
      </c>
      <c r="D10" s="86">
        <f t="shared" si="0"/>
        <v>0</v>
      </c>
      <c r="F10" s="83">
        <f ca="1">('Mead water budget'!P9+'Mead water budget'!P10)/2</f>
        <v>86599.039999956731</v>
      </c>
      <c r="G10" s="83">
        <f t="shared" ca="1" si="1"/>
        <v>0</v>
      </c>
      <c r="O10"/>
      <c r="P10"/>
    </row>
    <row r="11" spans="1:16" s="1" customFormat="1">
      <c r="A11" s="1" t="s">
        <v>226</v>
      </c>
      <c r="B11" s="1">
        <v>2010</v>
      </c>
      <c r="C11" s="1">
        <v>0.5</v>
      </c>
      <c r="D11" s="86">
        <f t="shared" si="0"/>
        <v>4.1666666666666664E-2</v>
      </c>
      <c r="F11" s="83">
        <f ca="1">('Mead water budget'!P10+'Mead water budget'!P11)/2</f>
        <v>85434.303000025175</v>
      </c>
      <c r="G11" s="83">
        <f t="shared" ca="1" si="1"/>
        <v>3559.7626250010489</v>
      </c>
      <c r="O11"/>
      <c r="P11"/>
    </row>
    <row r="12" spans="1:16" s="1" customFormat="1">
      <c r="A12" s="1" t="s">
        <v>227</v>
      </c>
      <c r="B12" s="1">
        <v>2010</v>
      </c>
      <c r="C12" s="1">
        <v>0.25</v>
      </c>
      <c r="D12" s="86">
        <f t="shared" si="0"/>
        <v>2.0833333333333332E-2</v>
      </c>
      <c r="F12" s="83">
        <f ca="1">('Mead water budget'!P11+'Mead water budget'!P12)/2</f>
        <v>85054.53200006258</v>
      </c>
      <c r="G12" s="83">
        <f t="shared" ca="1" si="1"/>
        <v>1771.9694166679703</v>
      </c>
      <c r="O12"/>
      <c r="P12"/>
    </row>
    <row r="13" spans="1:16" s="1" customFormat="1">
      <c r="A13" s="1" t="s">
        <v>228</v>
      </c>
      <c r="B13" s="1">
        <v>2010</v>
      </c>
      <c r="C13" s="1">
        <v>0.05</v>
      </c>
      <c r="D13" s="86">
        <f t="shared" si="0"/>
        <v>4.1666666666666666E-3</v>
      </c>
      <c r="F13" s="83">
        <f ca="1">('Mead water budget'!P12+'Mead water budget'!P13)/2</f>
        <v>84552.408000057927</v>
      </c>
      <c r="G13" s="83">
        <f t="shared" ca="1" si="1"/>
        <v>352.30170000024134</v>
      </c>
      <c r="O13"/>
      <c r="P13"/>
    </row>
    <row r="14" spans="1:16" s="1" customFormat="1">
      <c r="A14" s="1" t="s">
        <v>229</v>
      </c>
      <c r="B14" s="1">
        <v>2010</v>
      </c>
      <c r="C14" s="1">
        <v>0.75</v>
      </c>
      <c r="D14" s="86">
        <f t="shared" si="0"/>
        <v>6.25E-2</v>
      </c>
      <c r="F14" s="83">
        <f ca="1">('Mead water budget'!P13+'Mead water budget'!P14)/2</f>
        <v>83829.413000011729</v>
      </c>
      <c r="G14" s="83">
        <f t="shared" ca="1" si="1"/>
        <v>5239.3383125007331</v>
      </c>
      <c r="O14"/>
      <c r="P14"/>
    </row>
    <row r="15" spans="1:16" s="1" customFormat="1">
      <c r="A15" s="1" t="s">
        <v>230</v>
      </c>
      <c r="B15" s="1">
        <v>2010</v>
      </c>
      <c r="C15" s="1">
        <v>0.05</v>
      </c>
      <c r="D15" s="86">
        <f t="shared" si="0"/>
        <v>4.1666666666666666E-3</v>
      </c>
      <c r="F15" s="83">
        <f ca="1">('Mead water budget'!P14+'Mead water budget'!P15)/2</f>
        <v>83532.269999928045</v>
      </c>
      <c r="G15" s="83">
        <f t="shared" ca="1" si="1"/>
        <v>348.05112499970016</v>
      </c>
      <c r="O15"/>
      <c r="P15"/>
    </row>
    <row r="16" spans="1:16" s="1" customFormat="1">
      <c r="A16" s="1" t="s">
        <v>231</v>
      </c>
      <c r="B16" s="1">
        <v>2010</v>
      </c>
      <c r="C16" s="1">
        <v>1.25</v>
      </c>
      <c r="D16" s="86">
        <f t="shared" si="0"/>
        <v>0.10416666666666667</v>
      </c>
      <c r="F16" s="83">
        <f ca="1">('Mead water budget'!P15+'Mead water budget'!P16)/2</f>
        <v>84158.335999951203</v>
      </c>
      <c r="G16" s="83">
        <f t="shared" ca="1" si="1"/>
        <v>8766.4933333282515</v>
      </c>
      <c r="O16"/>
      <c r="P16"/>
    </row>
    <row r="17" spans="1:16" s="1" customFormat="1">
      <c r="A17" s="1" t="s">
        <v>232</v>
      </c>
      <c r="B17" s="1">
        <v>2011</v>
      </c>
      <c r="C17" s="1">
        <v>0</v>
      </c>
      <c r="D17" s="86">
        <f t="shared" si="0"/>
        <v>0</v>
      </c>
      <c r="F17" s="83">
        <f ca="1">('Mead water budget'!P16+'Mead water budget'!P17)/2</f>
        <v>85713.966999987111</v>
      </c>
      <c r="G17" s="83">
        <f t="shared" ca="1" si="1"/>
        <v>0</v>
      </c>
      <c r="O17"/>
      <c r="P17"/>
    </row>
    <row r="18" spans="1:16" s="1" customFormat="1">
      <c r="A18" s="1" t="s">
        <v>233</v>
      </c>
      <c r="B18" s="1">
        <v>2011</v>
      </c>
      <c r="C18" s="1">
        <v>1</v>
      </c>
      <c r="D18" s="86">
        <f t="shared" si="0"/>
        <v>8.3333333333333329E-2</v>
      </c>
      <c r="F18" s="83">
        <f ca="1">('Mead water budget'!P17+'Mead water budget'!P18)/2</f>
        <v>87214.472842716932</v>
      </c>
      <c r="G18" s="83">
        <f t="shared" ca="1" si="1"/>
        <v>7267.8727368930777</v>
      </c>
      <c r="O18"/>
      <c r="P18"/>
    </row>
    <row r="19" spans="1:16" s="1" customFormat="1">
      <c r="A19" s="1" t="s">
        <v>222</v>
      </c>
      <c r="B19" s="1">
        <v>2011</v>
      </c>
      <c r="C19" s="1">
        <v>0.17499999999999999</v>
      </c>
      <c r="D19" s="86">
        <f t="shared" si="0"/>
        <v>1.4583333333333332E-2</v>
      </c>
      <c r="F19" s="83">
        <f ca="1">('Mead water budget'!P18+'Mead water budget'!P19)/2</f>
        <v>87944.884688330945</v>
      </c>
      <c r="G19" s="83">
        <f t="shared" ca="1" si="1"/>
        <v>1282.5295683714928</v>
      </c>
      <c r="O19"/>
      <c r="P19"/>
    </row>
    <row r="20" spans="1:16" s="1" customFormat="1">
      <c r="A20" s="1" t="s">
        <v>223</v>
      </c>
      <c r="B20" s="1">
        <v>2011</v>
      </c>
      <c r="C20" s="1">
        <v>0.05</v>
      </c>
      <c r="D20" s="86">
        <f t="shared" si="0"/>
        <v>4.1666666666666666E-3</v>
      </c>
      <c r="F20" s="83">
        <f ca="1">('Mead water budget'!P19+'Mead water budget'!P20)/2</f>
        <v>87941.631173596121</v>
      </c>
      <c r="G20" s="83">
        <f t="shared" ca="1" si="1"/>
        <v>366.42346322331719</v>
      </c>
      <c r="O20"/>
      <c r="P20"/>
    </row>
    <row r="21" spans="1:16" s="1" customFormat="1">
      <c r="A21" s="1" t="s">
        <v>224</v>
      </c>
      <c r="B21" s="1">
        <v>2011</v>
      </c>
      <c r="C21" s="1">
        <v>0.1</v>
      </c>
      <c r="D21" s="86">
        <f t="shared" si="0"/>
        <v>8.3333333333333332E-3</v>
      </c>
      <c r="F21" s="83">
        <f ca="1">('Mead water budget'!P20+'Mead water budget'!P21)/2</f>
        <v>88192.451442652789</v>
      </c>
      <c r="G21" s="83">
        <f t="shared" ca="1" si="1"/>
        <v>734.93709535543985</v>
      </c>
      <c r="O21"/>
      <c r="P21"/>
    </row>
    <row r="22" spans="1:16" s="1" customFormat="1">
      <c r="A22" s="1" t="s">
        <v>225</v>
      </c>
      <c r="B22" s="1">
        <v>2011</v>
      </c>
      <c r="C22" s="1">
        <v>0</v>
      </c>
      <c r="D22" s="86">
        <f t="shared" si="0"/>
        <v>0</v>
      </c>
      <c r="F22" s="83">
        <f ca="1">('Mead water budget'!P21+'Mead water budget'!P22)/2</f>
        <v>89325.709253114095</v>
      </c>
      <c r="G22" s="83">
        <f t="shared" ca="1" si="1"/>
        <v>0</v>
      </c>
      <c r="O22"/>
      <c r="P22"/>
    </row>
    <row r="23" spans="1:16" s="1" customFormat="1">
      <c r="A23" s="1" t="s">
        <v>226</v>
      </c>
      <c r="B23" s="1">
        <v>2011</v>
      </c>
      <c r="C23" s="1">
        <v>0.375</v>
      </c>
      <c r="D23" s="86">
        <f t="shared" si="0"/>
        <v>3.125E-2</v>
      </c>
      <c r="F23" s="83">
        <f ca="1">('Mead water budget'!P22+'Mead water budget'!P23)/2</f>
        <v>91072.860861254594</v>
      </c>
      <c r="G23" s="83">
        <f t="shared" ca="1" si="1"/>
        <v>2846.0269019142061</v>
      </c>
      <c r="O23"/>
      <c r="P23"/>
    </row>
    <row r="24" spans="1:16" s="1" customFormat="1">
      <c r="A24" s="1" t="s">
        <v>227</v>
      </c>
      <c r="B24" s="1">
        <v>2011</v>
      </c>
      <c r="C24" s="1">
        <v>0.5</v>
      </c>
      <c r="D24" s="86">
        <f t="shared" si="0"/>
        <v>4.1666666666666664E-2</v>
      </c>
      <c r="F24" s="83">
        <f ca="1">('Mead water budget'!P23+'Mead water budget'!P24)/2</f>
        <v>93433.993885337288</v>
      </c>
      <c r="G24" s="83">
        <f t="shared" ca="1" si="1"/>
        <v>3893.08307855572</v>
      </c>
      <c r="O24"/>
      <c r="P24"/>
    </row>
    <row r="25" spans="1:16" s="1" customFormat="1">
      <c r="A25" s="1" t="s">
        <v>228</v>
      </c>
      <c r="B25" s="1">
        <v>2011</v>
      </c>
      <c r="C25" s="1">
        <v>0.375</v>
      </c>
      <c r="D25" s="86">
        <f t="shared" si="0"/>
        <v>3.125E-2</v>
      </c>
      <c r="F25" s="83">
        <f ca="1">('Mead water budget'!P24+'Mead water budget'!P25)/2</f>
        <v>95354.542199107382</v>
      </c>
      <c r="G25" s="83">
        <f t="shared" ca="1" si="1"/>
        <v>2979.8294437221057</v>
      </c>
      <c r="O25"/>
      <c r="P25"/>
    </row>
    <row r="26" spans="1:16" s="1" customFormat="1">
      <c r="A26" s="1" t="s">
        <v>229</v>
      </c>
      <c r="B26" s="1">
        <v>2011</v>
      </c>
      <c r="C26" s="1">
        <v>0.75</v>
      </c>
      <c r="D26" s="86">
        <f t="shared" si="0"/>
        <v>6.25E-2</v>
      </c>
      <c r="F26" s="83">
        <f ca="1">('Mead water budget'!P25+'Mead water budget'!P26)/2</f>
        <v>96731.725581127364</v>
      </c>
      <c r="G26" s="83">
        <f t="shared" ca="1" si="1"/>
        <v>6045.7328488204603</v>
      </c>
      <c r="O26"/>
      <c r="P26"/>
    </row>
    <row r="27" spans="1:16" s="1" customFormat="1">
      <c r="A27" s="1" t="s">
        <v>230</v>
      </c>
      <c r="B27" s="1">
        <v>2011</v>
      </c>
      <c r="C27" s="1">
        <v>0.375</v>
      </c>
      <c r="D27" s="86">
        <f t="shared" si="0"/>
        <v>3.125E-2</v>
      </c>
      <c r="F27" s="83">
        <f ca="1">('Mead water budget'!P26+'Mead water budget'!P27)/2</f>
        <v>98612.964605897316</v>
      </c>
      <c r="G27" s="83">
        <f t="shared" ca="1" si="1"/>
        <v>3081.6551439342911</v>
      </c>
      <c r="O27"/>
      <c r="P27"/>
    </row>
    <row r="28" spans="1:16" s="1" customFormat="1">
      <c r="A28" s="1" t="s">
        <v>231</v>
      </c>
      <c r="B28" s="1">
        <v>2011</v>
      </c>
      <c r="C28" s="1">
        <v>0.17499999999999999</v>
      </c>
      <c r="D28" s="86">
        <f t="shared" si="0"/>
        <v>1.4583333333333332E-2</v>
      </c>
      <c r="F28" s="83">
        <f ca="1">('Mead water budget'!P27+'Mead water budget'!P28)/2</f>
        <v>101169.89435445084</v>
      </c>
      <c r="G28" s="83">
        <f t="shared" ca="1" si="1"/>
        <v>1475.3942926690745</v>
      </c>
      <c r="O28"/>
      <c r="P28"/>
    </row>
    <row r="29" spans="1:16" s="1" customFormat="1">
      <c r="A29" s="1" t="s">
        <v>232</v>
      </c>
      <c r="B29" s="1">
        <v>2012</v>
      </c>
      <c r="C29" s="1">
        <v>0.01</v>
      </c>
      <c r="D29" s="86">
        <f t="shared" si="0"/>
        <v>8.3333333333333339E-4</v>
      </c>
      <c r="F29" s="83">
        <f ca="1">('Mead water budget'!P28+'Mead water budget'!P29)/2</f>
        <v>102988.47080531385</v>
      </c>
      <c r="G29" s="83">
        <f t="shared" ca="1" si="1"/>
        <v>85.823725671094877</v>
      </c>
      <c r="O29"/>
      <c r="P29"/>
    </row>
    <row r="30" spans="1:16" s="1" customFormat="1">
      <c r="A30" s="1" t="s">
        <v>233</v>
      </c>
      <c r="B30" s="1">
        <v>2012</v>
      </c>
      <c r="C30" s="1">
        <v>0.1</v>
      </c>
      <c r="D30" s="86">
        <f t="shared" si="0"/>
        <v>8.3333333333333332E-3</v>
      </c>
      <c r="F30" s="83">
        <f ca="1">('Mead water budget'!P29+'Mead water budget'!P30)/2</f>
        <v>103041.21157381721</v>
      </c>
      <c r="G30" s="83">
        <f t="shared" ca="1" si="1"/>
        <v>858.67676311514344</v>
      </c>
      <c r="O30"/>
      <c r="P30"/>
    </row>
    <row r="31" spans="1:16" s="1" customFormat="1">
      <c r="A31" s="1" t="s">
        <v>222</v>
      </c>
      <c r="B31" s="1">
        <v>2012</v>
      </c>
      <c r="C31" s="1">
        <v>0.375</v>
      </c>
      <c r="D31" s="86">
        <f t="shared" si="0"/>
        <v>3.125E-2</v>
      </c>
      <c r="F31" s="83">
        <f ca="1">('Mead water budget'!P30+'Mead water budget'!P31)/2</f>
        <v>102014.16314118821</v>
      </c>
      <c r="G31" s="83">
        <f t="shared" ca="1" si="1"/>
        <v>3187.9425981621316</v>
      </c>
      <c r="O31"/>
      <c r="P31"/>
    </row>
    <row r="32" spans="1:16" s="1" customFormat="1">
      <c r="A32" s="1" t="s">
        <v>223</v>
      </c>
      <c r="B32" s="1">
        <v>2012</v>
      </c>
      <c r="C32" s="1">
        <v>0.17499999999999999</v>
      </c>
      <c r="D32" s="86">
        <f t="shared" si="0"/>
        <v>1.4583333333333332E-2</v>
      </c>
      <c r="F32" s="83">
        <f ca="1">('Mead water budget'!P31+'Mead water budget'!P32)/2</f>
        <v>99997.234947818011</v>
      </c>
      <c r="G32" s="83">
        <f t="shared" ca="1" si="1"/>
        <v>1458.2930096556793</v>
      </c>
      <c r="O32"/>
      <c r="P32"/>
    </row>
    <row r="33" spans="1:16" s="1" customFormat="1">
      <c r="A33" s="1" t="s">
        <v>224</v>
      </c>
      <c r="B33" s="1">
        <v>2012</v>
      </c>
      <c r="C33" s="1">
        <v>0</v>
      </c>
      <c r="D33" s="86">
        <f t="shared" si="0"/>
        <v>0</v>
      </c>
      <c r="F33" s="83">
        <f ca="1">('Mead water budget'!P32+'Mead water budget'!P33)/2</f>
        <v>97910.763322063605</v>
      </c>
      <c r="G33" s="83">
        <f t="shared" ca="1" si="1"/>
        <v>0</v>
      </c>
      <c r="O33"/>
      <c r="P33"/>
    </row>
    <row r="34" spans="1:16" s="1" customFormat="1">
      <c r="A34" s="1" t="s">
        <v>225</v>
      </c>
      <c r="B34" s="1">
        <v>2012</v>
      </c>
      <c r="C34" s="1">
        <v>0</v>
      </c>
      <c r="D34" s="86">
        <f t="shared" si="0"/>
        <v>0</v>
      </c>
      <c r="F34" s="83">
        <f ca="1">('Mead water budget'!P33+'Mead water budget'!P34)/2</f>
        <v>96418.648352993652</v>
      </c>
      <c r="G34" s="83">
        <f t="shared" ca="1" si="1"/>
        <v>0</v>
      </c>
      <c r="O34"/>
      <c r="P34"/>
    </row>
    <row r="35" spans="1:16" s="1" customFormat="1">
      <c r="A35" s="1" t="s">
        <v>226</v>
      </c>
      <c r="B35" s="1">
        <v>2012</v>
      </c>
      <c r="C35" s="1">
        <v>0.75</v>
      </c>
      <c r="D35" s="86">
        <f t="shared" si="0"/>
        <v>6.25E-2</v>
      </c>
      <c r="F35" s="83">
        <f ca="1">('Mead water budget'!P34+'Mead water budget'!P35)/2</f>
        <v>95807.23051144529</v>
      </c>
      <c r="G35" s="83">
        <f t="shared" ca="1" si="1"/>
        <v>5987.9519069653306</v>
      </c>
      <c r="O35"/>
      <c r="P35"/>
    </row>
    <row r="36" spans="1:16" s="1" customFormat="1">
      <c r="A36" s="1" t="s">
        <v>227</v>
      </c>
      <c r="B36" s="1">
        <v>2012</v>
      </c>
      <c r="C36" s="1">
        <v>0.75</v>
      </c>
      <c r="D36" s="86">
        <f t="shared" si="0"/>
        <v>6.25E-2</v>
      </c>
      <c r="F36" s="83">
        <f ca="1">('Mead water budget'!P35+'Mead water budget'!P36)/2</f>
        <v>95952.587597489648</v>
      </c>
      <c r="G36" s="83">
        <f t="shared" ca="1" si="1"/>
        <v>5997.036724843103</v>
      </c>
      <c r="O36"/>
      <c r="P36"/>
    </row>
    <row r="37" spans="1:16" s="1" customFormat="1">
      <c r="A37" s="1" t="s">
        <v>228</v>
      </c>
      <c r="B37" s="1">
        <v>2012</v>
      </c>
      <c r="C37" s="1">
        <v>0.375</v>
      </c>
      <c r="D37" s="86">
        <f t="shared" si="0"/>
        <v>3.125E-2</v>
      </c>
      <c r="F37" s="83">
        <f ca="1">('Mead water budget'!P36+'Mead water budget'!P37)/2</f>
        <v>95799.799067603191</v>
      </c>
      <c r="G37" s="83">
        <f t="shared" ca="1" si="1"/>
        <v>2993.7437208625997</v>
      </c>
      <c r="O37"/>
      <c r="P37"/>
    </row>
    <row r="38" spans="1:16" s="1" customFormat="1">
      <c r="A38" s="1" t="s">
        <v>229</v>
      </c>
      <c r="B38" s="1">
        <v>2012</v>
      </c>
      <c r="C38" s="1">
        <v>0.5</v>
      </c>
      <c r="D38" s="86">
        <f t="shared" si="0"/>
        <v>4.1666666666666664E-2</v>
      </c>
      <c r="F38" s="83">
        <f ca="1">('Mead water budget'!P37+'Mead water budget'!P38)/2</f>
        <v>95788.05379790772</v>
      </c>
      <c r="G38" s="83">
        <f t="shared" ca="1" si="1"/>
        <v>3991.1689082461548</v>
      </c>
      <c r="O38"/>
      <c r="P38"/>
    </row>
    <row r="39" spans="1:16" s="1" customFormat="1">
      <c r="A39" s="1" t="s">
        <v>230</v>
      </c>
      <c r="B39" s="1">
        <v>2012</v>
      </c>
      <c r="C39" s="1">
        <v>0</v>
      </c>
      <c r="D39" s="86">
        <f t="shared" si="0"/>
        <v>0</v>
      </c>
      <c r="F39" s="83">
        <f ca="1">('Mead water budget'!P38+'Mead water budget'!P39)/2</f>
        <v>96194.081721148337</v>
      </c>
      <c r="G39" s="83">
        <f t="shared" ca="1" si="1"/>
        <v>0</v>
      </c>
      <c r="O39"/>
      <c r="P39"/>
    </row>
    <row r="40" spans="1:16" s="1" customFormat="1">
      <c r="A40" s="1" t="s">
        <v>231</v>
      </c>
      <c r="B40" s="1">
        <v>2012</v>
      </c>
      <c r="C40" s="1">
        <v>0.75</v>
      </c>
      <c r="D40" s="86">
        <f t="shared" si="0"/>
        <v>6.25E-2</v>
      </c>
      <c r="F40" s="83">
        <f ca="1">('Mead water budget'!P39+'Mead water budget'!P40)/2</f>
        <v>96853.986131138779</v>
      </c>
      <c r="G40" s="83">
        <f t="shared" ca="1" si="1"/>
        <v>6053.3741331961737</v>
      </c>
      <c r="O40"/>
      <c r="P40"/>
    </row>
    <row r="41" spans="1:16" s="1" customFormat="1">
      <c r="A41" s="1" t="s">
        <v>232</v>
      </c>
      <c r="B41" s="1">
        <v>2013</v>
      </c>
      <c r="C41" s="1">
        <v>0.375</v>
      </c>
      <c r="D41" s="86">
        <f t="shared" si="0"/>
        <v>3.125E-2</v>
      </c>
      <c r="F41" s="83">
        <f ca="1">('Mead water budget'!P40+'Mead water budget'!P41)/2</f>
        <v>97740.693455964472</v>
      </c>
      <c r="G41" s="83">
        <f t="shared" ca="1" si="1"/>
        <v>3054.3966704988898</v>
      </c>
      <c r="O41"/>
      <c r="P41"/>
    </row>
    <row r="42" spans="1:16" s="1" customFormat="1">
      <c r="A42" s="1" t="s">
        <v>233</v>
      </c>
      <c r="B42" s="1">
        <v>2013</v>
      </c>
      <c r="C42" s="1">
        <v>0.17499999999999999</v>
      </c>
      <c r="D42" s="86">
        <f t="shared" si="0"/>
        <v>1.4583333333333332E-2</v>
      </c>
      <c r="F42" s="83">
        <f ca="1">('Mead water budget'!P41+'Mead water budget'!P42)/2</f>
        <v>98070.255548555171</v>
      </c>
      <c r="G42" s="83">
        <f t="shared" ca="1" si="1"/>
        <v>1430.1912267497628</v>
      </c>
      <c r="O42"/>
      <c r="P42"/>
    </row>
    <row r="43" spans="1:16" s="1" customFormat="1">
      <c r="A43" s="1" t="s">
        <v>222</v>
      </c>
      <c r="B43" s="1">
        <v>2013</v>
      </c>
      <c r="C43" s="1">
        <v>0.17499999999999999</v>
      </c>
      <c r="D43" s="86">
        <f t="shared" si="0"/>
        <v>1.4583333333333332E-2</v>
      </c>
      <c r="F43" s="83">
        <f ca="1">('Mead water budget'!P42+'Mead water budget'!P43)/2</f>
        <v>97408.868020871945</v>
      </c>
      <c r="G43" s="83">
        <f t="shared" ca="1" si="1"/>
        <v>1420.545991971049</v>
      </c>
      <c r="O43"/>
      <c r="P43"/>
    </row>
    <row r="44" spans="1:16" s="1" customFormat="1">
      <c r="A44" s="1" t="s">
        <v>223</v>
      </c>
      <c r="B44" s="1">
        <v>2013</v>
      </c>
      <c r="C44" s="1">
        <v>0.5</v>
      </c>
      <c r="D44" s="86">
        <f t="shared" si="0"/>
        <v>4.1666666666666664E-2</v>
      </c>
      <c r="F44" s="83">
        <f ca="1">('Mead water budget'!P43+'Mead water budget'!P44)/2</f>
        <v>95714.673552145483</v>
      </c>
      <c r="G44" s="83">
        <f t="shared" ca="1" si="1"/>
        <v>3988.1113980060618</v>
      </c>
      <c r="O44"/>
      <c r="P44"/>
    </row>
    <row r="45" spans="1:16" s="1" customFormat="1">
      <c r="A45" s="1" t="s">
        <v>224</v>
      </c>
      <c r="B45" s="1">
        <v>2013</v>
      </c>
      <c r="C45" s="1">
        <v>0</v>
      </c>
      <c r="D45" s="86">
        <f t="shared" si="0"/>
        <v>0</v>
      </c>
      <c r="F45" s="83">
        <f ca="1">('Mead water budget'!P44+'Mead water budget'!P45)/2</f>
        <v>93630.672558540071</v>
      </c>
      <c r="G45" s="83">
        <f t="shared" ca="1" si="1"/>
        <v>0</v>
      </c>
      <c r="O45"/>
      <c r="P45"/>
    </row>
    <row r="46" spans="1:16" s="1" customFormat="1">
      <c r="A46" s="1" t="s">
        <v>225</v>
      </c>
      <c r="B46" s="1">
        <v>2013</v>
      </c>
      <c r="C46" s="1">
        <v>0</v>
      </c>
      <c r="D46" s="86">
        <f t="shared" si="0"/>
        <v>0</v>
      </c>
      <c r="F46" s="83">
        <f ca="1">('Mead water budget'!P45+'Mead water budget'!P46)/2</f>
        <v>92082.158910540806</v>
      </c>
      <c r="G46" s="83">
        <f t="shared" ca="1" si="1"/>
        <v>0</v>
      </c>
      <c r="O46"/>
      <c r="P46"/>
    </row>
    <row r="47" spans="1:16" s="1" customFormat="1">
      <c r="A47" s="1" t="s">
        <v>226</v>
      </c>
      <c r="B47" s="1">
        <v>2013</v>
      </c>
      <c r="C47" s="1">
        <v>0.05</v>
      </c>
      <c r="D47" s="86">
        <f t="shared" si="0"/>
        <v>4.1666666666666666E-3</v>
      </c>
      <c r="F47" s="83">
        <f ca="1">('Mead water budget'!P46+'Mead water budget'!P47)/2</f>
        <v>91537.399128113815</v>
      </c>
      <c r="G47" s="83">
        <f t="shared" ca="1" si="1"/>
        <v>381.40582970047421</v>
      </c>
      <c r="O47"/>
      <c r="P47"/>
    </row>
    <row r="48" spans="1:16" s="1" customFormat="1">
      <c r="A48" s="1" t="s">
        <v>227</v>
      </c>
      <c r="B48" s="1">
        <v>2013</v>
      </c>
      <c r="C48" s="1">
        <v>0.375</v>
      </c>
      <c r="D48" s="86">
        <f t="shared" si="0"/>
        <v>3.125E-2</v>
      </c>
      <c r="F48" s="83">
        <f ca="1">('Mead water budget'!P47+'Mead water budget'!P48)/2</f>
        <v>91571.549344374274</v>
      </c>
      <c r="G48" s="83">
        <f t="shared" ca="1" si="1"/>
        <v>2861.6109170116961</v>
      </c>
      <c r="O48"/>
      <c r="P48"/>
    </row>
    <row r="49" spans="1:16" s="1" customFormat="1">
      <c r="A49" s="1" t="s">
        <v>228</v>
      </c>
      <c r="B49" s="1">
        <v>2013</v>
      </c>
      <c r="C49" s="1">
        <v>0.17499999999999999</v>
      </c>
      <c r="D49" s="86">
        <f t="shared" si="0"/>
        <v>1.4583333333333332E-2</v>
      </c>
      <c r="F49" s="83">
        <f ca="1">('Mead water budget'!P48+'Mead water budget'!P49)/2</f>
        <v>91794.940798317693</v>
      </c>
      <c r="G49" s="83">
        <f t="shared" ca="1" si="1"/>
        <v>1338.6762199754662</v>
      </c>
      <c r="O49"/>
      <c r="P49"/>
    </row>
    <row r="50" spans="1:16" s="1" customFormat="1">
      <c r="A50" s="1" t="s">
        <v>229</v>
      </c>
      <c r="B50" s="1">
        <v>2013</v>
      </c>
      <c r="C50" s="1">
        <v>0.05</v>
      </c>
      <c r="D50" s="86">
        <f t="shared" si="0"/>
        <v>4.1666666666666666E-3</v>
      </c>
      <c r="F50" s="83">
        <f ca="1">('Mead water budget'!P49+'Mead water budget'!P50)/2</f>
        <v>91364.708547437011</v>
      </c>
      <c r="G50" s="83">
        <f t="shared" ca="1" si="1"/>
        <v>380.68628561432087</v>
      </c>
      <c r="O50"/>
      <c r="P50"/>
    </row>
    <row r="51" spans="1:16" s="1" customFormat="1">
      <c r="A51" s="1" t="s">
        <v>230</v>
      </c>
      <c r="B51" s="1">
        <v>2013</v>
      </c>
      <c r="C51" s="1">
        <v>1</v>
      </c>
      <c r="D51" s="86">
        <f t="shared" si="0"/>
        <v>8.3333333333333329E-2</v>
      </c>
      <c r="F51" s="83">
        <f ca="1">('Mead water budget'!P50+'Mead water budget'!P51)/2</f>
        <v>91241.379876842751</v>
      </c>
      <c r="G51" s="83">
        <f t="shared" ca="1" si="1"/>
        <v>7603.448323070229</v>
      </c>
      <c r="O51"/>
      <c r="P51"/>
    </row>
    <row r="52" spans="1:16" s="1" customFormat="1">
      <c r="A52" s="1" t="s">
        <v>231</v>
      </c>
      <c r="B52" s="1">
        <v>2013</v>
      </c>
      <c r="C52" s="1">
        <v>0.05</v>
      </c>
      <c r="D52" s="86">
        <f t="shared" si="0"/>
        <v>4.1666666666666666E-3</v>
      </c>
      <c r="F52" s="83">
        <f ca="1">('Mead water budget'!P51+'Mead water budget'!P52)/2</f>
        <v>91806.135739961494</v>
      </c>
      <c r="G52" s="83">
        <f t="shared" ca="1" si="1"/>
        <v>382.52556558317286</v>
      </c>
      <c r="O52"/>
      <c r="P52"/>
    </row>
    <row r="53" spans="1:16" s="1" customFormat="1">
      <c r="A53" s="1" t="s">
        <v>232</v>
      </c>
      <c r="B53" s="1">
        <v>2014</v>
      </c>
      <c r="C53" s="1">
        <v>0</v>
      </c>
      <c r="D53" s="86">
        <f t="shared" si="0"/>
        <v>0</v>
      </c>
      <c r="F53" s="83">
        <f ca="1">('Mead water budget'!P52+'Mead water budget'!P53)/2</f>
        <v>92354.32017386207</v>
      </c>
      <c r="G53" s="83">
        <f t="shared" ca="1" si="1"/>
        <v>0</v>
      </c>
      <c r="O53"/>
      <c r="P53"/>
    </row>
    <row r="54" spans="1:16" s="1" customFormat="1">
      <c r="A54" s="1" t="s">
        <v>233</v>
      </c>
      <c r="B54" s="1">
        <v>2014</v>
      </c>
      <c r="C54" s="1">
        <v>0.1</v>
      </c>
      <c r="D54" s="86">
        <f t="shared" si="0"/>
        <v>8.3333333333333332E-3</v>
      </c>
      <c r="F54" s="83">
        <f ca="1">('Mead water budget'!P53+'Mead water budget'!P54)/2</f>
        <v>92619.125241390138</v>
      </c>
      <c r="G54" s="83">
        <f t="shared" ca="1" si="1"/>
        <v>771.82604367825115</v>
      </c>
      <c r="O54"/>
      <c r="P54"/>
    </row>
    <row r="55" spans="1:16" s="1" customFormat="1">
      <c r="A55" s="1" t="s">
        <v>222</v>
      </c>
      <c r="B55" s="1">
        <v>2014</v>
      </c>
      <c r="C55" s="1">
        <v>0</v>
      </c>
      <c r="D55" s="86">
        <f t="shared" si="0"/>
        <v>0</v>
      </c>
      <c r="F55" s="83">
        <f ca="1">('Mead water budget'!P54+'Mead water budget'!P55)/2</f>
        <v>91146.92295946271</v>
      </c>
      <c r="G55" s="83">
        <f t="shared" ca="1" si="1"/>
        <v>0</v>
      </c>
      <c r="O55"/>
      <c r="P55"/>
    </row>
    <row r="56" spans="1:16" s="1" customFormat="1">
      <c r="A56" s="1" t="s">
        <v>223</v>
      </c>
      <c r="B56" s="1">
        <v>2014</v>
      </c>
      <c r="C56" s="1">
        <v>0.375</v>
      </c>
      <c r="D56" s="86">
        <f t="shared" si="0"/>
        <v>3.125E-2</v>
      </c>
      <c r="F56" s="83">
        <f ca="1">('Mead water budget'!P55+'Mead water budget'!P56)/2</f>
        <v>88674.54811102261</v>
      </c>
      <c r="G56" s="83">
        <f t="shared" ca="1" si="1"/>
        <v>2771.0796284694566</v>
      </c>
      <c r="O56"/>
      <c r="P56"/>
    </row>
    <row r="57" spans="1:16" s="1" customFormat="1">
      <c r="A57" s="1" t="s">
        <v>224</v>
      </c>
      <c r="B57" s="1">
        <v>2014</v>
      </c>
      <c r="C57" s="1">
        <v>0</v>
      </c>
      <c r="D57" s="86">
        <f t="shared" si="0"/>
        <v>0</v>
      </c>
      <c r="F57" s="83">
        <f ca="1">('Mead water budget'!P56+'Mead water budget'!P57)/2</f>
        <v>86346.392148950574</v>
      </c>
      <c r="G57" s="83">
        <f t="shared" ca="1" si="1"/>
        <v>0</v>
      </c>
      <c r="O57"/>
      <c r="P57"/>
    </row>
    <row r="58" spans="1:16" s="1" customFormat="1">
      <c r="A58" s="1" t="s">
        <v>225</v>
      </c>
      <c r="B58" s="1">
        <v>2014</v>
      </c>
      <c r="C58" s="1">
        <v>0</v>
      </c>
      <c r="D58" s="86">
        <f t="shared" si="0"/>
        <v>0</v>
      </c>
      <c r="F58" s="83">
        <f ca="1">('Mead water budget'!P57+'Mead water budget'!P58)/2</f>
        <v>84457.06799999655</v>
      </c>
      <c r="G58" s="83">
        <f t="shared" ca="1" si="1"/>
        <v>0</v>
      </c>
      <c r="O58"/>
      <c r="P58"/>
    </row>
    <row r="59" spans="1:16" s="1" customFormat="1">
      <c r="A59" s="1" t="s">
        <v>226</v>
      </c>
      <c r="B59" s="1">
        <v>2014</v>
      </c>
      <c r="C59" s="1">
        <v>0.75</v>
      </c>
      <c r="D59" s="86">
        <f t="shared" si="0"/>
        <v>6.25E-2</v>
      </c>
      <c r="F59" s="83">
        <f ca="1">('Mead water budget'!P58+'Mead water budget'!P59)/2</f>
        <v>83367.014000012074</v>
      </c>
      <c r="G59" s="83">
        <f t="shared" ca="1" si="1"/>
        <v>5210.4383750007546</v>
      </c>
      <c r="O59"/>
      <c r="P59"/>
    </row>
    <row r="60" spans="1:16" s="1" customFormat="1">
      <c r="A60" s="1" t="s">
        <v>227</v>
      </c>
      <c r="B60" s="1">
        <v>2014</v>
      </c>
      <c r="C60" s="1">
        <v>0.75</v>
      </c>
      <c r="D60" s="86">
        <f t="shared" si="0"/>
        <v>6.25E-2</v>
      </c>
      <c r="F60" s="83">
        <f ca="1">('Mead water budget'!P59+'Mead water budget'!P60)/2</f>
        <v>83190.634999991453</v>
      </c>
      <c r="G60" s="83">
        <f t="shared" ca="1" si="1"/>
        <v>5199.4146874994658</v>
      </c>
      <c r="O60"/>
      <c r="P60"/>
    </row>
    <row r="61" spans="1:16" s="1" customFormat="1">
      <c r="A61" s="1" t="s">
        <v>228</v>
      </c>
      <c r="B61" s="1">
        <v>2014</v>
      </c>
      <c r="C61" s="1">
        <v>0.17499999999999999</v>
      </c>
      <c r="D61" s="86">
        <f t="shared" si="0"/>
        <v>1.4583333333333332E-2</v>
      </c>
      <c r="F61" s="83">
        <f ca="1">('Mead water budget'!P60+'Mead water budget'!P61)/2</f>
        <v>83306.63199997929</v>
      </c>
      <c r="G61" s="83">
        <f t="shared" ca="1" si="1"/>
        <v>1214.8883833330312</v>
      </c>
      <c r="O61"/>
      <c r="P61"/>
    </row>
    <row r="62" spans="1:16" s="1" customFormat="1">
      <c r="A62" s="1" t="s">
        <v>229</v>
      </c>
      <c r="B62" s="1">
        <v>2014</v>
      </c>
      <c r="C62" s="1">
        <v>0.01</v>
      </c>
      <c r="D62" s="86">
        <f t="shared" si="0"/>
        <v>8.3333333333333339E-4</v>
      </c>
      <c r="F62" s="83">
        <f ca="1">('Mead water budget'!P61+'Mead water budget'!P62)/2</f>
        <v>83503.668000015343</v>
      </c>
      <c r="G62" s="83">
        <f t="shared" ca="1" si="1"/>
        <v>69.586390000012784</v>
      </c>
      <c r="O62"/>
      <c r="P62"/>
    </row>
    <row r="63" spans="1:16" s="1" customFormat="1">
      <c r="A63" s="1" t="s">
        <v>230</v>
      </c>
      <c r="B63" s="1">
        <v>2014</v>
      </c>
      <c r="C63" s="1">
        <v>0</v>
      </c>
      <c r="D63" s="86">
        <f t="shared" si="0"/>
        <v>0</v>
      </c>
      <c r="F63" s="83">
        <f ca="1">('Mead water budget'!P62+'Mead water budget'!P63)/2</f>
        <v>83859.604000034305</v>
      </c>
      <c r="G63" s="83">
        <f t="shared" ca="1" si="1"/>
        <v>0</v>
      </c>
      <c r="O63"/>
      <c r="P63"/>
    </row>
    <row r="64" spans="1:16" s="1" customFormat="1">
      <c r="A64" s="1" t="s">
        <v>231</v>
      </c>
      <c r="B64" s="1">
        <v>2014</v>
      </c>
      <c r="C64" s="1">
        <v>0.75</v>
      </c>
      <c r="D64" s="86">
        <f t="shared" si="0"/>
        <v>6.25E-2</v>
      </c>
      <c r="F64" s="83">
        <f ca="1">('Mead water budget'!P63+'Mead water budget'!P64)/2</f>
        <v>84654.104000010397</v>
      </c>
      <c r="G64" s="83">
        <f t="shared" ca="1" si="1"/>
        <v>5290.8815000006498</v>
      </c>
      <c r="O64"/>
      <c r="P64"/>
    </row>
    <row r="65" spans="1:16" s="1" customFormat="1">
      <c r="A65" s="1" t="s">
        <v>232</v>
      </c>
      <c r="B65" s="1">
        <v>2015</v>
      </c>
      <c r="C65" s="1">
        <v>0.75</v>
      </c>
      <c r="D65" s="86">
        <f t="shared" si="0"/>
        <v>6.25E-2</v>
      </c>
      <c r="F65" s="83">
        <f ca="1">('Mead water budget'!P64+'Mead water budget'!P65)/2</f>
        <v>85439.069999979329</v>
      </c>
      <c r="G65" s="83">
        <f t="shared" ca="1" si="1"/>
        <v>5339.941874998708</v>
      </c>
      <c r="O65"/>
      <c r="P65"/>
    </row>
    <row r="66" spans="1:16" s="1" customFormat="1">
      <c r="A66" s="1" t="s">
        <v>233</v>
      </c>
      <c r="B66" s="1">
        <v>2015</v>
      </c>
      <c r="C66" s="1">
        <v>0.17499999999999999</v>
      </c>
      <c r="D66" s="86">
        <f t="shared" si="0"/>
        <v>1.4583333333333332E-2</v>
      </c>
      <c r="F66" s="83">
        <f ca="1">('Mead water budget'!P65+'Mead water budget'!P66)/2</f>
        <v>85628.160999997112</v>
      </c>
      <c r="G66" s="83">
        <f t="shared" ca="1" si="1"/>
        <v>1248.7440145832911</v>
      </c>
      <c r="O66"/>
      <c r="P66"/>
    </row>
    <row r="67" spans="1:16" s="1" customFormat="1">
      <c r="D67" s="86"/>
      <c r="O67"/>
      <c r="P67"/>
    </row>
    <row r="68" spans="1:16" s="1" customFormat="1">
      <c r="D68" s="86"/>
      <c r="G68" s="83"/>
      <c r="O68"/>
      <c r="P68"/>
    </row>
    <row r="69" spans="1:16" s="1" customFormat="1">
      <c r="D69" s="86"/>
      <c r="O69"/>
      <c r="P69"/>
    </row>
    <row r="70" spans="1:16" s="1" customFormat="1">
      <c r="D70" s="86"/>
      <c r="O70"/>
      <c r="P70"/>
    </row>
    <row r="71" spans="1:16" s="1" customFormat="1">
      <c r="D71" s="86"/>
      <c r="O71"/>
      <c r="P71"/>
    </row>
    <row r="72" spans="1:16" s="1" customFormat="1">
      <c r="D72" s="86"/>
      <c r="O72"/>
      <c r="P72"/>
    </row>
    <row r="73" spans="1:16" s="1" customFormat="1">
      <c r="D73" s="86"/>
      <c r="O73"/>
      <c r="P73"/>
    </row>
    <row r="74" spans="1:16" s="1" customFormat="1">
      <c r="D74" s="86"/>
      <c r="O74"/>
      <c r="P74"/>
    </row>
    <row r="75" spans="1:16" s="1" customFormat="1">
      <c r="D75" s="86"/>
      <c r="O75"/>
      <c r="P75"/>
    </row>
    <row r="76" spans="1:16" s="1" customFormat="1">
      <c r="D76" s="86"/>
      <c r="O76"/>
      <c r="P76"/>
    </row>
  </sheetData>
  <mergeCells count="1">
    <mergeCell ref="C5:D5"/>
  </mergeCells>
  <hyperlinks>
    <hyperlink ref="C4" r:id="rId1" xr:uid="{E655AFC1-F225-4A81-BF4F-AC84EE654AE2}"/>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24181-C52A-44EF-B572-29FA57974365}">
  <dimension ref="A1:W74"/>
  <sheetViews>
    <sheetView workbookViewId="0">
      <selection activeCell="E2" sqref="E2"/>
    </sheetView>
  </sheetViews>
  <sheetFormatPr defaultColWidth="8.81640625" defaultRowHeight="14.5"/>
  <cols>
    <col min="2" max="2" width="17.453125" bestFit="1" customWidth="1"/>
    <col min="3" max="3" width="12.6328125" bestFit="1" customWidth="1"/>
    <col min="5" max="5" width="10.81640625" bestFit="1" customWidth="1"/>
    <col min="6" max="6" width="59.08984375" customWidth="1"/>
  </cols>
  <sheetData>
    <row r="1" spans="1:23">
      <c r="B1" t="s">
        <v>234</v>
      </c>
    </row>
    <row r="2" spans="1:23" ht="54">
      <c r="B2" t="s">
        <v>235</v>
      </c>
      <c r="C2" t="s">
        <v>98</v>
      </c>
      <c r="E2" s="47" t="s">
        <v>408</v>
      </c>
      <c r="F2" s="186" t="s">
        <v>419</v>
      </c>
    </row>
    <row r="3" spans="1:23">
      <c r="A3" s="80">
        <v>3684</v>
      </c>
    </row>
    <row r="4" spans="1:23">
      <c r="A4" s="80">
        <v>3712</v>
      </c>
    </row>
    <row r="5" spans="1:23">
      <c r="A5" s="80">
        <v>3743</v>
      </c>
      <c r="B5" s="1">
        <v>-19</v>
      </c>
      <c r="C5" s="65">
        <f>B5/1233.48185532*1000000</f>
        <v>-15403.550460068067</v>
      </c>
    </row>
    <row r="6" spans="1:23">
      <c r="A6" s="80">
        <v>3773</v>
      </c>
      <c r="B6" s="1">
        <v>-20</v>
      </c>
      <c r="C6" s="65">
        <f t="shared" ref="C6:C28" si="0">B6/1233.48185532*1000000</f>
        <v>-16214.263642176911</v>
      </c>
      <c r="N6" s="91"/>
      <c r="O6" s="40"/>
      <c r="R6" s="40"/>
      <c r="V6" s="40"/>
      <c r="W6" s="40"/>
    </row>
    <row r="7" spans="1:23">
      <c r="A7" s="80">
        <v>3804</v>
      </c>
      <c r="B7" s="1">
        <v>-26</v>
      </c>
      <c r="C7" s="65">
        <f t="shared" si="0"/>
        <v>-21078.542734829989</v>
      </c>
      <c r="N7" s="91"/>
      <c r="O7" s="40"/>
      <c r="R7" s="40"/>
      <c r="V7" s="40"/>
      <c r="W7" s="40"/>
    </row>
    <row r="8" spans="1:23">
      <c r="A8" s="80">
        <v>3834</v>
      </c>
      <c r="B8" s="1">
        <v>-35</v>
      </c>
      <c r="C8" s="65">
        <f t="shared" si="0"/>
        <v>-28374.961373809598</v>
      </c>
      <c r="N8" s="91"/>
      <c r="O8" s="40"/>
      <c r="R8" s="40"/>
      <c r="V8" s="40"/>
      <c r="W8" s="40"/>
    </row>
    <row r="9" spans="1:23">
      <c r="A9" s="80">
        <v>3865</v>
      </c>
      <c r="B9" s="1">
        <v>-16</v>
      </c>
      <c r="C9" s="65">
        <f t="shared" si="0"/>
        <v>-12971.410913741531</v>
      </c>
      <c r="N9" s="91"/>
      <c r="O9" s="40"/>
      <c r="R9" s="40"/>
      <c r="V9" s="40"/>
      <c r="W9" s="40"/>
    </row>
    <row r="10" spans="1:23">
      <c r="A10" s="80">
        <v>3896</v>
      </c>
      <c r="B10" s="1">
        <v>0</v>
      </c>
      <c r="C10" s="65">
        <f t="shared" si="0"/>
        <v>0</v>
      </c>
      <c r="N10" s="91"/>
      <c r="O10" s="40"/>
      <c r="R10" s="40"/>
      <c r="V10" s="40"/>
      <c r="W10" s="40"/>
    </row>
    <row r="11" spans="1:23">
      <c r="A11" s="80">
        <v>3926</v>
      </c>
      <c r="B11" s="1">
        <v>-21</v>
      </c>
      <c r="C11" s="65">
        <f t="shared" si="0"/>
        <v>-17024.976824285757</v>
      </c>
      <c r="N11" s="91"/>
      <c r="O11" s="40"/>
      <c r="R11" s="40"/>
      <c r="V11" s="40"/>
      <c r="W11" s="40"/>
    </row>
    <row r="12" spans="1:23">
      <c r="A12" s="80">
        <v>3957</v>
      </c>
      <c r="B12" s="1">
        <v>-10</v>
      </c>
      <c r="C12" s="65">
        <f t="shared" si="0"/>
        <v>-8107.1318210884556</v>
      </c>
      <c r="N12" s="91"/>
      <c r="O12" s="40"/>
      <c r="V12" s="40"/>
    </row>
    <row r="13" spans="1:23">
      <c r="A13" s="80">
        <v>3987</v>
      </c>
      <c r="B13" s="1">
        <v>-2</v>
      </c>
      <c r="C13" s="65">
        <f t="shared" si="0"/>
        <v>-1621.4263642176913</v>
      </c>
      <c r="N13" s="91"/>
      <c r="O13" s="40"/>
      <c r="V13" s="40"/>
    </row>
    <row r="14" spans="1:23">
      <c r="A14" s="80">
        <v>4018</v>
      </c>
      <c r="B14" s="1">
        <v>30</v>
      </c>
      <c r="C14" s="65">
        <f t="shared" si="0"/>
        <v>24321.395463265369</v>
      </c>
      <c r="N14" s="91"/>
      <c r="O14" s="40"/>
      <c r="V14" s="40"/>
    </row>
    <row r="15" spans="1:23">
      <c r="A15" s="80">
        <v>4049</v>
      </c>
      <c r="B15" s="1">
        <v>37</v>
      </c>
      <c r="C15" s="65">
        <f t="shared" si="0"/>
        <v>29996.38773802729</v>
      </c>
      <c r="N15" s="91"/>
      <c r="O15" s="40"/>
      <c r="V15" s="40"/>
    </row>
    <row r="16" spans="1:23">
      <c r="A16" s="80">
        <v>4077</v>
      </c>
      <c r="B16" s="1">
        <v>28</v>
      </c>
      <c r="C16" s="65">
        <f t="shared" si="0"/>
        <v>22699.969099047681</v>
      </c>
      <c r="N16" s="91"/>
      <c r="O16" s="40"/>
      <c r="V16" s="40"/>
    </row>
    <row r="17" spans="1:23">
      <c r="A17" s="80">
        <v>4108</v>
      </c>
      <c r="B17" s="1">
        <v>4</v>
      </c>
      <c r="C17" s="65">
        <f t="shared" si="0"/>
        <v>3242.8527284353827</v>
      </c>
      <c r="N17" s="91"/>
      <c r="W17" s="40"/>
    </row>
    <row r="18" spans="1:23">
      <c r="A18" s="80">
        <v>4138</v>
      </c>
      <c r="B18" s="1">
        <v>-5</v>
      </c>
      <c r="C18" s="65">
        <f t="shared" si="0"/>
        <v>-4053.5659105442278</v>
      </c>
    </row>
    <row r="19" spans="1:23">
      <c r="A19" s="80">
        <v>4169</v>
      </c>
      <c r="B19" s="1">
        <v>16</v>
      </c>
      <c r="C19" s="65">
        <f t="shared" si="0"/>
        <v>12971.410913741531</v>
      </c>
    </row>
    <row r="20" spans="1:23">
      <c r="A20" s="80">
        <v>4199</v>
      </c>
      <c r="B20" s="1">
        <v>32</v>
      </c>
      <c r="C20" s="65">
        <f t="shared" si="0"/>
        <v>25942.821827483061</v>
      </c>
    </row>
    <row r="21" spans="1:23">
      <c r="A21" s="80">
        <v>4230</v>
      </c>
      <c r="B21" s="1">
        <v>35</v>
      </c>
      <c r="C21" s="65">
        <f t="shared" si="0"/>
        <v>28374.961373809598</v>
      </c>
    </row>
    <row r="22" spans="1:23">
      <c r="A22" s="80">
        <v>4261</v>
      </c>
      <c r="B22" s="1">
        <v>47</v>
      </c>
      <c r="C22" s="65">
        <f t="shared" si="0"/>
        <v>38103.519559115746</v>
      </c>
    </row>
    <row r="23" spans="1:23">
      <c r="A23" s="80">
        <v>4291</v>
      </c>
      <c r="B23" s="1">
        <v>21</v>
      </c>
      <c r="C23" s="65">
        <f t="shared" si="0"/>
        <v>17024.976824285757</v>
      </c>
    </row>
    <row r="24" spans="1:23">
      <c r="A24" s="80">
        <v>4322</v>
      </c>
      <c r="B24" s="1">
        <v>38</v>
      </c>
      <c r="C24" s="65">
        <f t="shared" si="0"/>
        <v>30807.100920136134</v>
      </c>
    </row>
    <row r="25" spans="1:23">
      <c r="A25" s="80">
        <v>4352</v>
      </c>
      <c r="B25" s="1">
        <v>38</v>
      </c>
      <c r="C25" s="65">
        <f t="shared" si="0"/>
        <v>30807.100920136134</v>
      </c>
    </row>
    <row r="26" spans="1:23">
      <c r="A26" s="80">
        <v>4383</v>
      </c>
      <c r="B26" s="1">
        <v>57</v>
      </c>
      <c r="C26" s="65">
        <f t="shared" si="0"/>
        <v>46210.651380204203</v>
      </c>
    </row>
    <row r="27" spans="1:23">
      <c r="A27" s="80">
        <v>4414</v>
      </c>
      <c r="B27" s="1">
        <v>11</v>
      </c>
      <c r="C27" s="65">
        <f t="shared" si="0"/>
        <v>8917.8450031973025</v>
      </c>
    </row>
    <row r="28" spans="1:23">
      <c r="A28" s="80">
        <v>4443</v>
      </c>
      <c r="B28" s="1">
        <v>-9</v>
      </c>
      <c r="C28" s="65">
        <f t="shared" si="0"/>
        <v>-7296.4186389796114</v>
      </c>
    </row>
    <row r="29" spans="1:23">
      <c r="A29" s="80">
        <v>4474</v>
      </c>
    </row>
    <row r="30" spans="1:23">
      <c r="A30" s="80">
        <v>4504</v>
      </c>
    </row>
    <row r="31" spans="1:23">
      <c r="A31" s="80">
        <v>4535</v>
      </c>
    </row>
    <row r="32" spans="1:23">
      <c r="A32" s="80">
        <v>4565</v>
      </c>
    </row>
    <row r="33" spans="1:1">
      <c r="A33" s="80">
        <v>4596</v>
      </c>
    </row>
    <row r="34" spans="1:1">
      <c r="A34" s="80">
        <v>4627</v>
      </c>
    </row>
    <row r="35" spans="1:1">
      <c r="A35" s="80">
        <v>4657</v>
      </c>
    </row>
    <row r="36" spans="1:1">
      <c r="A36" s="80">
        <v>4688</v>
      </c>
    </row>
    <row r="37" spans="1:1">
      <c r="A37" s="80">
        <v>4718</v>
      </c>
    </row>
    <row r="38" spans="1:1">
      <c r="A38" s="80">
        <v>4749</v>
      </c>
    </row>
    <row r="39" spans="1:1">
      <c r="A39" s="80">
        <v>4780</v>
      </c>
    </row>
    <row r="40" spans="1:1">
      <c r="A40" s="80">
        <v>4808</v>
      </c>
    </row>
    <row r="41" spans="1:1">
      <c r="A41" s="80">
        <v>4839</v>
      </c>
    </row>
    <row r="42" spans="1:1">
      <c r="A42" s="80">
        <v>4869</v>
      </c>
    </row>
    <row r="43" spans="1:1">
      <c r="A43" s="80">
        <v>4900</v>
      </c>
    </row>
    <row r="44" spans="1:1">
      <c r="A44" s="80">
        <v>4930</v>
      </c>
    </row>
    <row r="45" spans="1:1">
      <c r="A45" s="80">
        <v>4961</v>
      </c>
    </row>
    <row r="46" spans="1:1">
      <c r="A46" s="80">
        <v>4992</v>
      </c>
    </row>
    <row r="47" spans="1:1">
      <c r="A47" s="80">
        <v>5022</v>
      </c>
    </row>
    <row r="48" spans="1:1">
      <c r="A48" s="80">
        <v>5053</v>
      </c>
    </row>
    <row r="49" spans="1:1">
      <c r="A49" s="80">
        <v>5083</v>
      </c>
    </row>
    <row r="50" spans="1:1">
      <c r="A50" s="80">
        <v>5114</v>
      </c>
    </row>
    <row r="51" spans="1:1">
      <c r="A51" s="80">
        <v>5145</v>
      </c>
    </row>
    <row r="52" spans="1:1">
      <c r="A52" s="80">
        <v>5173</v>
      </c>
    </row>
    <row r="53" spans="1:1">
      <c r="A53" s="80">
        <v>5204</v>
      </c>
    </row>
    <row r="54" spans="1:1">
      <c r="A54" s="80">
        <v>5234</v>
      </c>
    </row>
    <row r="55" spans="1:1">
      <c r="A55" s="80">
        <v>5265</v>
      </c>
    </row>
    <row r="56" spans="1:1">
      <c r="A56" s="80">
        <v>5295</v>
      </c>
    </row>
    <row r="57" spans="1:1">
      <c r="A57" s="80">
        <v>5326</v>
      </c>
    </row>
    <row r="58" spans="1:1">
      <c r="A58" s="80">
        <v>5357</v>
      </c>
    </row>
    <row r="59" spans="1:1">
      <c r="A59" s="80">
        <v>5387</v>
      </c>
    </row>
    <row r="60" spans="1:1">
      <c r="A60" s="80">
        <v>5418</v>
      </c>
    </row>
    <row r="61" spans="1:1">
      <c r="A61" s="80">
        <v>5448</v>
      </c>
    </row>
    <row r="62" spans="1:1">
      <c r="A62" s="80">
        <v>5479</v>
      </c>
    </row>
    <row r="63" spans="1:1">
      <c r="A63" s="80">
        <v>5510</v>
      </c>
    </row>
    <row r="64" spans="1:1">
      <c r="A64" s="80">
        <v>5538</v>
      </c>
    </row>
    <row r="65" spans="1:1">
      <c r="A65" s="80">
        <v>5569</v>
      </c>
    </row>
    <row r="66" spans="1:1">
      <c r="A66" s="80">
        <v>5599</v>
      </c>
    </row>
    <row r="67" spans="1:1">
      <c r="A67" s="80">
        <v>5630</v>
      </c>
    </row>
    <row r="68" spans="1:1">
      <c r="A68" s="80">
        <v>5660</v>
      </c>
    </row>
    <row r="69" spans="1:1">
      <c r="A69" s="80">
        <v>5691</v>
      </c>
    </row>
    <row r="70" spans="1:1">
      <c r="A70" s="80">
        <v>5722</v>
      </c>
    </row>
    <row r="71" spans="1:1">
      <c r="A71" s="80">
        <v>5752</v>
      </c>
    </row>
    <row r="72" spans="1:1">
      <c r="A72" s="80">
        <v>5783</v>
      </c>
    </row>
    <row r="73" spans="1:1">
      <c r="A73" s="80">
        <v>5813</v>
      </c>
    </row>
    <row r="74" spans="1:1">
      <c r="A74" s="80">
        <v>5844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BCFBE-1A51-4D8A-8016-DE85EE61309A}">
  <dimension ref="A1:I149"/>
  <sheetViews>
    <sheetView workbookViewId="0">
      <selection activeCell="J9" sqref="J9"/>
    </sheetView>
  </sheetViews>
  <sheetFormatPr defaultColWidth="9.08984375" defaultRowHeight="14.5"/>
  <cols>
    <col min="1" max="1" width="9.453125" style="92" customWidth="1"/>
    <col min="2" max="2" width="13.36328125" style="92" customWidth="1"/>
    <col min="3" max="3" width="16.453125" style="92" customWidth="1"/>
    <col min="4" max="4" width="14.6328125" style="92" customWidth="1"/>
    <col min="5" max="5" width="15.6328125" style="92" customWidth="1"/>
    <col min="6" max="6" width="5.453125" style="92" customWidth="1"/>
    <col min="7" max="7" width="9.08984375" style="92"/>
    <col min="8" max="8" width="12.54296875" style="92" customWidth="1"/>
    <col min="9" max="16384" width="9.08984375" style="92"/>
  </cols>
  <sheetData>
    <row r="1" spans="1:9" ht="35.25" customHeight="1" thickBot="1">
      <c r="A1" s="220" t="s">
        <v>236</v>
      </c>
      <c r="B1" s="221"/>
      <c r="C1" s="221"/>
      <c r="D1" s="221"/>
      <c r="E1" s="221"/>
    </row>
    <row r="2" spans="1:9" ht="44" thickBot="1">
      <c r="A2" s="93" t="s">
        <v>237</v>
      </c>
      <c r="B2" s="93" t="s">
        <v>238</v>
      </c>
      <c r="C2" s="94" t="s">
        <v>239</v>
      </c>
      <c r="D2" s="94" t="s">
        <v>240</v>
      </c>
      <c r="E2" s="94" t="s">
        <v>241</v>
      </c>
    </row>
    <row r="3" spans="1:9">
      <c r="A3" s="222">
        <v>1</v>
      </c>
      <c r="B3" s="102">
        <v>40238</v>
      </c>
      <c r="C3" s="85">
        <v>0.31725112915058756</v>
      </c>
      <c r="D3" s="95">
        <v>0.3359798783361162</v>
      </c>
      <c r="E3" s="85">
        <v>0.35470862752164478</v>
      </c>
      <c r="F3" s="96"/>
      <c r="H3" s="184" t="s">
        <v>416</v>
      </c>
      <c r="I3" s="44" t="s">
        <v>418</v>
      </c>
    </row>
    <row r="4" spans="1:9">
      <c r="A4" s="223"/>
      <c r="B4" s="102">
        <v>40269</v>
      </c>
      <c r="C4" s="85">
        <v>0.4023032469522454</v>
      </c>
      <c r="D4" s="95">
        <v>0.42605300200864415</v>
      </c>
      <c r="E4" s="85">
        <v>0.44980275706504291</v>
      </c>
      <c r="F4" s="96"/>
      <c r="I4" s="185"/>
    </row>
    <row r="5" spans="1:9">
      <c r="A5" s="223"/>
      <c r="B5" s="102">
        <v>40299</v>
      </c>
      <c r="C5" s="85">
        <v>0.5375931832362163</v>
      </c>
      <c r="D5" s="95">
        <v>0.56932970666369287</v>
      </c>
      <c r="E5" s="85">
        <v>0.60106623009116944</v>
      </c>
      <c r="F5" s="96"/>
    </row>
    <row r="6" spans="1:9">
      <c r="A6" s="223"/>
      <c r="B6" s="102">
        <v>40330</v>
      </c>
      <c r="C6" s="85">
        <v>0.57012582322951877</v>
      </c>
      <c r="D6" s="95">
        <v>0.60378289350078118</v>
      </c>
      <c r="E6" s="85">
        <v>0.63743996377204371</v>
      </c>
      <c r="F6" s="96"/>
    </row>
    <row r="7" spans="1:9">
      <c r="A7" s="223"/>
      <c r="B7" s="102">
        <v>40360</v>
      </c>
      <c r="C7" s="85">
        <v>0.76810550667431388</v>
      </c>
      <c r="D7" s="95">
        <v>0.81345020070595675</v>
      </c>
      <c r="E7" s="85">
        <v>0.85879489473759962</v>
      </c>
      <c r="F7" s="96"/>
    </row>
    <row r="8" spans="1:9">
      <c r="A8" s="223"/>
      <c r="B8" s="102">
        <v>40391</v>
      </c>
      <c r="C8" s="85">
        <v>0.86399007939982564</v>
      </c>
      <c r="D8" s="95">
        <v>0.91499526743237491</v>
      </c>
      <c r="E8" s="85">
        <v>0.96600045546492419</v>
      </c>
      <c r="F8" s="96"/>
    </row>
    <row r="9" spans="1:9">
      <c r="A9" s="223"/>
      <c r="B9" s="102">
        <v>40422</v>
      </c>
      <c r="C9" s="85">
        <v>0.71536448357362026</v>
      </c>
      <c r="D9" s="95">
        <v>0.75759563977141609</v>
      </c>
      <c r="E9" s="85">
        <v>0.7998267959692118</v>
      </c>
      <c r="F9" s="96"/>
    </row>
    <row r="10" spans="1:9">
      <c r="A10" s="223"/>
      <c r="B10" s="102">
        <v>40452</v>
      </c>
      <c r="C10" s="85">
        <v>0.62734191874181067</v>
      </c>
      <c r="D10" s="95">
        <v>0.6643767103314937</v>
      </c>
      <c r="E10" s="85">
        <v>0.70141150192117685</v>
      </c>
      <c r="F10" s="96"/>
    </row>
    <row r="11" spans="1:9">
      <c r="A11" s="223"/>
      <c r="B11" s="102">
        <v>40483</v>
      </c>
      <c r="C11" s="85">
        <v>0.66473362062671748</v>
      </c>
      <c r="D11" s="95">
        <v>0.7039758111564689</v>
      </c>
      <c r="E11" s="85">
        <v>0.74321800168622032</v>
      </c>
      <c r="F11" s="96"/>
    </row>
    <row r="12" spans="1:9">
      <c r="A12" s="223"/>
      <c r="B12" s="102">
        <v>40513</v>
      </c>
      <c r="C12" s="85">
        <v>0.35190170066844234</v>
      </c>
      <c r="D12" s="95">
        <v>0.37267602764223817</v>
      </c>
      <c r="E12" s="85">
        <v>0.39345035461603395</v>
      </c>
      <c r="F12" s="96"/>
    </row>
    <row r="13" spans="1:9">
      <c r="A13" s="223"/>
      <c r="B13" s="102">
        <v>40544</v>
      </c>
      <c r="C13" s="85">
        <v>0.25194037091804072</v>
      </c>
      <c r="D13" s="95">
        <v>0.26681353474023572</v>
      </c>
      <c r="E13" s="85">
        <v>0.28168669856243073</v>
      </c>
      <c r="F13" s="96"/>
    </row>
    <row r="14" spans="1:9">
      <c r="A14" s="223"/>
      <c r="B14" s="102">
        <v>40575</v>
      </c>
      <c r="C14" s="85">
        <v>0.35234255855229851</v>
      </c>
      <c r="D14" s="95">
        <v>0.37314291133333199</v>
      </c>
      <c r="E14" s="85">
        <v>0.39394326411436542</v>
      </c>
      <c r="F14" s="96"/>
      <c r="G14" s="97">
        <f>SUM(D3:D14)</f>
        <v>6.8021715836227505</v>
      </c>
    </row>
    <row r="15" spans="1:9">
      <c r="A15" s="218">
        <v>2</v>
      </c>
      <c r="B15" s="103">
        <v>40603</v>
      </c>
      <c r="C15" s="88">
        <v>0.28541343800620983</v>
      </c>
      <c r="D15" s="99">
        <v>0.30041398571142386</v>
      </c>
      <c r="E15" s="88">
        <v>0.31541453341663783</v>
      </c>
    </row>
    <row r="16" spans="1:9">
      <c r="A16" s="219"/>
      <c r="B16" s="103">
        <v>40634</v>
      </c>
      <c r="C16" s="88">
        <v>0.3898187076949779</v>
      </c>
      <c r="D16" s="99">
        <v>0.41030651009843788</v>
      </c>
      <c r="E16" s="88">
        <v>0.43079431250189781</v>
      </c>
    </row>
    <row r="17" spans="1:7">
      <c r="A17" s="219"/>
      <c r="B17" s="103">
        <v>40664</v>
      </c>
      <c r="C17" s="88">
        <v>0.51270241462857702</v>
      </c>
      <c r="D17" s="99">
        <v>0.53964864772446597</v>
      </c>
      <c r="E17" s="88">
        <v>0.56659488082035492</v>
      </c>
    </row>
    <row r="18" spans="1:7">
      <c r="A18" s="219"/>
      <c r="B18" s="103">
        <v>40695</v>
      </c>
      <c r="C18" s="88">
        <v>0.57491203477365049</v>
      </c>
      <c r="D18" s="99">
        <v>0.60512783492716737</v>
      </c>
      <c r="E18" s="88">
        <v>0.63534363508068414</v>
      </c>
    </row>
    <row r="19" spans="1:7">
      <c r="A19" s="219"/>
      <c r="B19" s="103">
        <v>40725</v>
      </c>
      <c r="C19" s="88">
        <v>0.58896880959389641</v>
      </c>
      <c r="D19" s="99">
        <v>0.61992339528864604</v>
      </c>
      <c r="E19" s="88">
        <v>0.65087798098339578</v>
      </c>
    </row>
    <row r="20" spans="1:7">
      <c r="A20" s="219"/>
      <c r="B20" s="103">
        <v>40756</v>
      </c>
      <c r="C20" s="88">
        <v>0.6464675169755375</v>
      </c>
      <c r="D20" s="99">
        <v>0.6804440770702721</v>
      </c>
      <c r="E20" s="88">
        <v>0.7144206371650067</v>
      </c>
    </row>
    <row r="21" spans="1:7">
      <c r="A21" s="219"/>
      <c r="B21" s="103">
        <v>40787</v>
      </c>
      <c r="C21" s="88">
        <v>0.57284951959332908</v>
      </c>
      <c r="D21" s="99">
        <v>0.6029569196043324</v>
      </c>
      <c r="E21" s="88">
        <v>0.63306431961533571</v>
      </c>
    </row>
    <row r="22" spans="1:7">
      <c r="A22" s="219"/>
      <c r="B22" s="103">
        <v>40817</v>
      </c>
      <c r="C22" s="88">
        <v>0.59479924198814038</v>
      </c>
      <c r="D22" s="99">
        <v>0.62606025922263409</v>
      </c>
      <c r="E22" s="88">
        <v>0.6573212764571279</v>
      </c>
    </row>
    <row r="23" spans="1:7">
      <c r="A23" s="219"/>
      <c r="B23" s="103">
        <v>40848</v>
      </c>
      <c r="C23" s="88">
        <v>0.56321296221515593</v>
      </c>
      <c r="D23" s="99">
        <v>0.59281389119355787</v>
      </c>
      <c r="E23" s="88">
        <v>0.62241482017195982</v>
      </c>
    </row>
    <row r="24" spans="1:7">
      <c r="A24" s="219"/>
      <c r="B24" s="103">
        <v>40878</v>
      </c>
      <c r="C24" s="88">
        <v>0.53162668244217148</v>
      </c>
      <c r="D24" s="99">
        <v>0.55956752316448166</v>
      </c>
      <c r="E24" s="88">
        <v>0.58750836388679184</v>
      </c>
    </row>
    <row r="25" spans="1:7">
      <c r="A25" s="219"/>
      <c r="B25" s="103">
        <v>40909</v>
      </c>
      <c r="C25" s="88">
        <v>0.33456643151640247</v>
      </c>
      <c r="D25" s="99">
        <v>0.35215032578425337</v>
      </c>
      <c r="E25" s="88">
        <v>0.36973422005210427</v>
      </c>
    </row>
    <row r="26" spans="1:7">
      <c r="A26" s="219"/>
      <c r="B26" s="103">
        <v>40940</v>
      </c>
      <c r="C26" s="88">
        <v>0.26878628627089907</v>
      </c>
      <c r="D26" s="99">
        <v>0.28291295647213255</v>
      </c>
      <c r="E26" s="88">
        <v>0.29703962667336609</v>
      </c>
      <c r="G26" s="97">
        <f>SUM(D15:D26)</f>
        <v>6.1723263262618051</v>
      </c>
    </row>
    <row r="27" spans="1:7">
      <c r="A27" s="222">
        <v>3</v>
      </c>
      <c r="B27" s="102">
        <v>40969</v>
      </c>
      <c r="C27" s="85">
        <v>0.335175</v>
      </c>
      <c r="D27" s="95">
        <v>0.34477108851635851</v>
      </c>
      <c r="E27" s="85">
        <v>0.35436717703271703</v>
      </c>
    </row>
    <row r="28" spans="1:7">
      <c r="A28" s="223"/>
      <c r="B28" s="102">
        <v>41000</v>
      </c>
      <c r="C28" s="85">
        <v>0.39068333333333344</v>
      </c>
      <c r="D28" s="95">
        <v>0.40186863011421703</v>
      </c>
      <c r="E28" s="85">
        <v>0.41305392689510068</v>
      </c>
    </row>
    <row r="29" spans="1:7">
      <c r="A29" s="223"/>
      <c r="B29" s="102">
        <v>41030</v>
      </c>
      <c r="C29" s="85">
        <v>0.62782500000000008</v>
      </c>
      <c r="D29" s="95">
        <v>0.64579968269645049</v>
      </c>
      <c r="E29" s="85">
        <v>0.66377436539290102</v>
      </c>
    </row>
    <row r="30" spans="1:7">
      <c r="A30" s="223"/>
      <c r="B30" s="102">
        <v>41061</v>
      </c>
      <c r="C30" s="85">
        <v>0.75280000000000014</v>
      </c>
      <c r="D30" s="95">
        <v>0.77435272748598416</v>
      </c>
      <c r="E30" s="85">
        <v>0.79590545497196818</v>
      </c>
    </row>
    <row r="31" spans="1:7">
      <c r="A31" s="223"/>
      <c r="B31" s="102">
        <v>41091</v>
      </c>
      <c r="C31" s="85">
        <v>0.53137500000000004</v>
      </c>
      <c r="D31" s="95">
        <v>0.54658831106251959</v>
      </c>
      <c r="E31" s="85">
        <v>0.56180162212503926</v>
      </c>
    </row>
    <row r="32" spans="1:7">
      <c r="A32" s="223"/>
      <c r="B32" s="102">
        <v>41122</v>
      </c>
      <c r="C32" s="85">
        <v>0.49004166666666676</v>
      </c>
      <c r="D32" s="95">
        <v>0.50407160091008341</v>
      </c>
      <c r="E32" s="85">
        <v>0.5181015351535001</v>
      </c>
    </row>
    <row r="33" spans="1:7">
      <c r="A33" s="223"/>
      <c r="B33" s="102">
        <v>41153</v>
      </c>
      <c r="C33" s="85">
        <v>0.56324166666666653</v>
      </c>
      <c r="D33" s="95">
        <v>0.57936732308326866</v>
      </c>
      <c r="E33" s="85">
        <v>0.59549297949987079</v>
      </c>
    </row>
    <row r="34" spans="1:7">
      <c r="A34" s="223"/>
      <c r="B34" s="102">
        <v>41183</v>
      </c>
      <c r="C34" s="85">
        <v>0.65712500000000018</v>
      </c>
      <c r="D34" s="95">
        <v>0.6759385441674115</v>
      </c>
      <c r="E34" s="85">
        <v>0.69475208833482283</v>
      </c>
    </row>
    <row r="35" spans="1:7">
      <c r="A35" s="223"/>
      <c r="B35" s="102">
        <v>41214</v>
      </c>
      <c r="C35" s="85">
        <v>0.45815</v>
      </c>
      <c r="D35" s="95">
        <v>0.47126687313722582</v>
      </c>
      <c r="E35" s="85">
        <v>0.48438374627445158</v>
      </c>
    </row>
    <row r="36" spans="1:7">
      <c r="A36" s="223"/>
      <c r="B36" s="102">
        <v>41244</v>
      </c>
      <c r="C36" s="85">
        <v>0.48826666666666679</v>
      </c>
      <c r="D36" s="95">
        <v>0.5022457825103922</v>
      </c>
      <c r="E36" s="85">
        <v>0.51622489835411756</v>
      </c>
    </row>
    <row r="37" spans="1:7">
      <c r="A37" s="223"/>
      <c r="B37" s="102">
        <v>41275</v>
      </c>
      <c r="C37" s="85">
        <v>0.36764999999999998</v>
      </c>
      <c r="D37" s="95">
        <v>0.37817585050507707</v>
      </c>
      <c r="E37" s="85">
        <v>0.38870170101015411</v>
      </c>
    </row>
    <row r="38" spans="1:7">
      <c r="A38" s="223"/>
      <c r="B38" s="102">
        <v>41306</v>
      </c>
      <c r="C38" s="85">
        <v>0.28184166666666666</v>
      </c>
      <c r="D38" s="95">
        <v>0.28991081735192464</v>
      </c>
      <c r="E38" s="85">
        <v>0.29797996803718263</v>
      </c>
      <c r="G38" s="97">
        <f>SUM(D27:D38)</f>
        <v>6.1143572315409118</v>
      </c>
    </row>
    <row r="39" spans="1:7">
      <c r="A39" s="218">
        <v>4</v>
      </c>
      <c r="B39" s="103">
        <v>41334</v>
      </c>
      <c r="C39" s="88">
        <v>0.19319999999999996</v>
      </c>
      <c r="D39" s="99">
        <v>0.2000939477431507</v>
      </c>
      <c r="E39" s="88">
        <v>0.20698789548630145</v>
      </c>
    </row>
    <row r="40" spans="1:7">
      <c r="A40" s="219"/>
      <c r="B40" s="103">
        <v>41365</v>
      </c>
      <c r="C40" s="88">
        <v>0.37130833333333341</v>
      </c>
      <c r="D40" s="99">
        <v>0.38455771349169987</v>
      </c>
      <c r="E40" s="88">
        <v>0.39780709365006633</v>
      </c>
    </row>
    <row r="41" spans="1:7">
      <c r="A41" s="219"/>
      <c r="B41" s="103">
        <v>41395</v>
      </c>
      <c r="C41" s="88">
        <v>0.48923333333333324</v>
      </c>
      <c r="D41" s="99">
        <v>0.50669062647105301</v>
      </c>
      <c r="E41" s="88">
        <v>0.52414791960877272</v>
      </c>
    </row>
    <row r="42" spans="1:7">
      <c r="A42" s="219"/>
      <c r="B42" s="103">
        <v>41426</v>
      </c>
      <c r="C42" s="88">
        <v>0.57169166666666671</v>
      </c>
      <c r="D42" s="99">
        <v>0.59209131715939312</v>
      </c>
      <c r="E42" s="88">
        <v>0.61249096765211963</v>
      </c>
    </row>
    <row r="43" spans="1:7">
      <c r="A43" s="219"/>
      <c r="B43" s="103">
        <v>41456</v>
      </c>
      <c r="C43" s="88">
        <v>0.54304166666666664</v>
      </c>
      <c r="D43" s="99">
        <v>0.56241900037450043</v>
      </c>
      <c r="E43" s="88">
        <v>0.58179633408233422</v>
      </c>
    </row>
    <row r="44" spans="1:7">
      <c r="A44" s="219"/>
      <c r="B44" s="103">
        <v>41487</v>
      </c>
      <c r="C44" s="88">
        <v>0.59995000000000021</v>
      </c>
      <c r="D44" s="99">
        <v>0.62135799145188053</v>
      </c>
      <c r="E44" s="88">
        <v>0.64276598290376097</v>
      </c>
    </row>
    <row r="45" spans="1:7">
      <c r="A45" s="219"/>
      <c r="B45" s="103">
        <v>41518</v>
      </c>
      <c r="C45" s="88">
        <v>0.64735833333333337</v>
      </c>
      <c r="D45" s="99">
        <v>0.67045799441559617</v>
      </c>
      <c r="E45" s="88">
        <v>0.69355765549785886</v>
      </c>
    </row>
    <row r="46" spans="1:7">
      <c r="A46" s="219"/>
      <c r="B46" s="103">
        <v>41548</v>
      </c>
      <c r="C46" s="88">
        <v>0.65963333333333329</v>
      </c>
      <c r="D46" s="99">
        <v>0.68317100274140952</v>
      </c>
      <c r="E46" s="88">
        <v>0.70670867214948585</v>
      </c>
    </row>
    <row r="47" spans="1:7">
      <c r="A47" s="219"/>
      <c r="B47" s="103">
        <v>41579</v>
      </c>
      <c r="C47" s="88">
        <v>0.42942499999999989</v>
      </c>
      <c r="D47" s="99">
        <v>0.44474815481160712</v>
      </c>
      <c r="E47" s="88">
        <v>0.4600713096232143</v>
      </c>
    </row>
    <row r="48" spans="1:7">
      <c r="A48" s="219"/>
      <c r="B48" s="103">
        <v>41609</v>
      </c>
      <c r="C48" s="88">
        <v>0.48019166666666663</v>
      </c>
      <c r="D48" s="99">
        <v>0.49732632638041641</v>
      </c>
      <c r="E48" s="88">
        <v>0.51446098609416624</v>
      </c>
    </row>
    <row r="49" spans="1:7">
      <c r="A49" s="219"/>
      <c r="B49" s="103">
        <v>41640</v>
      </c>
      <c r="C49" s="88">
        <v>0.28399166666666664</v>
      </c>
      <c r="D49" s="99">
        <v>0.29412532975926647</v>
      </c>
      <c r="E49" s="88">
        <v>0.30425899285186631</v>
      </c>
    </row>
    <row r="50" spans="1:7">
      <c r="A50" s="219"/>
      <c r="B50" s="103">
        <v>41671</v>
      </c>
      <c r="C50" s="88">
        <v>0.20600833333333335</v>
      </c>
      <c r="D50" s="99">
        <v>0.21335932031394195</v>
      </c>
      <c r="E50" s="88">
        <v>0.22071030729455055</v>
      </c>
      <c r="G50" s="97">
        <f>SUM(D39:D50)</f>
        <v>5.6703987251139143</v>
      </c>
    </row>
    <row r="51" spans="1:7">
      <c r="A51" s="222">
        <v>5</v>
      </c>
      <c r="B51" s="102">
        <v>41699</v>
      </c>
      <c r="C51" s="85">
        <v>0.29877471074592027</v>
      </c>
      <c r="D51" s="95">
        <v>0.30255818870629347</v>
      </c>
      <c r="E51" s="85">
        <v>0.30634166666666662</v>
      </c>
    </row>
    <row r="52" spans="1:7">
      <c r="A52" s="223"/>
      <c r="B52" s="102">
        <v>41730</v>
      </c>
      <c r="C52" s="85">
        <v>0.42079273888521213</v>
      </c>
      <c r="D52" s="95">
        <v>0.42612136944260615</v>
      </c>
      <c r="E52" s="85">
        <v>0.43145000000000011</v>
      </c>
    </row>
    <row r="53" spans="1:7">
      <c r="A53" s="223"/>
      <c r="B53" s="102">
        <v>41760</v>
      </c>
      <c r="C53" s="85">
        <v>0.46153704137844292</v>
      </c>
      <c r="D53" s="95">
        <v>0.467381629829693</v>
      </c>
      <c r="E53" s="85">
        <v>0.47322621828094302</v>
      </c>
    </row>
    <row r="54" spans="1:7">
      <c r="A54" s="223"/>
      <c r="B54" s="102">
        <v>41791</v>
      </c>
      <c r="C54" s="85">
        <v>0.66314446629116497</v>
      </c>
      <c r="D54" s="95">
        <v>0.67154207285730338</v>
      </c>
      <c r="E54" s="85">
        <v>0.67993967942344191</v>
      </c>
      <c r="F54" s="97"/>
    </row>
    <row r="55" spans="1:7">
      <c r="A55" s="223"/>
      <c r="B55" s="102">
        <v>41821</v>
      </c>
      <c r="C55" s="85">
        <v>0.5346036451894276</v>
      </c>
      <c r="D55" s="95">
        <v>0.54137349898347731</v>
      </c>
      <c r="E55" s="85">
        <v>0.5481433527775269</v>
      </c>
      <c r="F55" s="97"/>
    </row>
    <row r="56" spans="1:7">
      <c r="A56" s="223"/>
      <c r="B56" s="102">
        <v>41852</v>
      </c>
      <c r="C56" s="85">
        <v>0.71495561525046791</v>
      </c>
      <c r="D56" s="95">
        <v>0.7240093226616201</v>
      </c>
      <c r="E56" s="85">
        <v>0.73306303007277229</v>
      </c>
      <c r="F56" s="97"/>
    </row>
    <row r="57" spans="1:7">
      <c r="A57" s="223"/>
      <c r="B57" s="102">
        <v>41883</v>
      </c>
      <c r="C57" s="85">
        <v>0.6883514311301262</v>
      </c>
      <c r="D57" s="95">
        <v>0.697068241405568</v>
      </c>
      <c r="E57" s="85">
        <v>0.70578505168100969</v>
      </c>
      <c r="F57" s="97"/>
    </row>
    <row r="58" spans="1:7">
      <c r="A58" s="223"/>
      <c r="B58" s="102">
        <v>41913</v>
      </c>
      <c r="C58" s="85">
        <v>0.66260148761738535</v>
      </c>
      <c r="D58" s="95">
        <v>0.67099221827411348</v>
      </c>
      <c r="E58" s="85">
        <v>0.6793829489308415</v>
      </c>
    </row>
    <row r="59" spans="1:7">
      <c r="A59" s="223"/>
      <c r="B59" s="102">
        <v>41944</v>
      </c>
      <c r="C59" s="85">
        <v>0.61091886809379026</v>
      </c>
      <c r="D59" s="95">
        <v>0.61865512551409996</v>
      </c>
      <c r="E59" s="85">
        <v>0.62639138293440955</v>
      </c>
    </row>
    <row r="60" spans="1:7">
      <c r="A60" s="223"/>
      <c r="B60" s="102">
        <v>41974</v>
      </c>
      <c r="C60" s="85">
        <v>0.37248557503906965</v>
      </c>
      <c r="D60" s="95">
        <v>0.37720247681498908</v>
      </c>
      <c r="E60" s="85">
        <v>0.38191937859090852</v>
      </c>
    </row>
    <row r="61" spans="1:7" ht="15" customHeight="1">
      <c r="A61" s="223"/>
      <c r="B61" s="102">
        <v>42005</v>
      </c>
      <c r="C61" s="85">
        <v>0.26701962279547808</v>
      </c>
      <c r="D61" s="95">
        <v>0.27040097610785058</v>
      </c>
      <c r="E61" s="85">
        <v>0.27378232942022307</v>
      </c>
    </row>
    <row r="62" spans="1:7">
      <c r="A62" s="223"/>
      <c r="B62" s="102">
        <v>42036</v>
      </c>
      <c r="C62" s="85">
        <v>0.26915670105434197</v>
      </c>
      <c r="D62" s="95">
        <v>0.27256511685962703</v>
      </c>
      <c r="E62" s="85">
        <v>0.27597353266491204</v>
      </c>
      <c r="G62" s="97">
        <f>SUM(D51:D62)</f>
        <v>6.0398702374572419</v>
      </c>
    </row>
    <row r="63" spans="1:7">
      <c r="A63" s="218">
        <v>6</v>
      </c>
      <c r="B63" s="103">
        <v>42064</v>
      </c>
      <c r="C63" s="88">
        <v>0.33936081714983402</v>
      </c>
      <c r="D63" s="99">
        <v>0.34365824971731973</v>
      </c>
      <c r="E63" s="88">
        <v>0.34795568228480539</v>
      </c>
    </row>
    <row r="64" spans="1:7">
      <c r="A64" s="219"/>
      <c r="B64" s="103">
        <v>42095</v>
      </c>
      <c r="C64" s="88">
        <v>0.53683583621880171</v>
      </c>
      <c r="D64" s="99">
        <v>0.54363395694863681</v>
      </c>
      <c r="E64" s="88">
        <v>0.55043207767847202</v>
      </c>
    </row>
    <row r="65" spans="1:5">
      <c r="A65" s="219"/>
      <c r="B65" s="98"/>
    </row>
    <row r="66" spans="1:5">
      <c r="A66" s="219"/>
      <c r="B66" s="98"/>
    </row>
    <row r="67" spans="1:5">
      <c r="A67" s="219"/>
      <c r="B67" s="98"/>
    </row>
    <row r="68" spans="1:5">
      <c r="A68" s="219"/>
      <c r="B68" s="98"/>
    </row>
    <row r="69" spans="1:5">
      <c r="A69" s="219"/>
      <c r="B69" s="98"/>
    </row>
    <row r="70" spans="1:5">
      <c r="A70" s="219"/>
      <c r="B70" s="98"/>
    </row>
    <row r="71" spans="1:5">
      <c r="A71" s="219"/>
      <c r="B71" s="98"/>
    </row>
    <row r="72" spans="1:5">
      <c r="A72" s="219"/>
      <c r="B72" s="98"/>
    </row>
    <row r="73" spans="1:5">
      <c r="A73" s="219"/>
      <c r="B73" s="98"/>
    </row>
    <row r="74" spans="1:5">
      <c r="A74" s="219"/>
      <c r="B74" s="98"/>
    </row>
    <row r="78" spans="1:5">
      <c r="A78" s="80"/>
      <c r="E78" s="82"/>
    </row>
    <row r="79" spans="1:5">
      <c r="A79" s="80"/>
      <c r="E79" s="82"/>
    </row>
    <row r="80" spans="1:5">
      <c r="A80" s="80"/>
      <c r="E80" s="88"/>
    </row>
    <row r="81" spans="1:5">
      <c r="A81" s="80"/>
      <c r="E81" s="88"/>
    </row>
    <row r="82" spans="1:5">
      <c r="A82" s="80"/>
      <c r="E82" s="88"/>
    </row>
    <row r="83" spans="1:5">
      <c r="A83" s="80"/>
      <c r="E83" s="88"/>
    </row>
    <row r="84" spans="1:5">
      <c r="A84" s="80"/>
      <c r="E84" s="88"/>
    </row>
    <row r="85" spans="1:5">
      <c r="A85" s="80"/>
      <c r="E85" s="88"/>
    </row>
    <row r="86" spans="1:5">
      <c r="A86" s="80"/>
      <c r="E86" s="88"/>
    </row>
    <row r="87" spans="1:5">
      <c r="A87" s="80"/>
      <c r="E87" s="88"/>
    </row>
    <row r="88" spans="1:5">
      <c r="A88" s="80"/>
      <c r="E88" s="88"/>
    </row>
    <row r="89" spans="1:5">
      <c r="A89" s="80"/>
      <c r="E89" s="88"/>
    </row>
    <row r="90" spans="1:5">
      <c r="A90" s="87"/>
      <c r="E90" s="88"/>
    </row>
    <row r="91" spans="1:5">
      <c r="A91" s="87"/>
      <c r="E91" s="88"/>
    </row>
    <row r="92" spans="1:5">
      <c r="A92" s="87"/>
      <c r="E92" s="88"/>
    </row>
    <row r="93" spans="1:5">
      <c r="A93" s="87"/>
      <c r="E93" s="88"/>
    </row>
    <row r="94" spans="1:5">
      <c r="A94" s="87"/>
      <c r="E94" s="88"/>
    </row>
    <row r="95" spans="1:5">
      <c r="A95" s="87"/>
      <c r="E95" s="88"/>
    </row>
    <row r="96" spans="1:5">
      <c r="A96" s="87"/>
      <c r="E96" s="88"/>
    </row>
    <row r="97" spans="1:5">
      <c r="A97" s="87"/>
      <c r="E97" s="88"/>
    </row>
    <row r="98" spans="1:5">
      <c r="A98" s="87"/>
      <c r="E98" s="88"/>
    </row>
    <row r="99" spans="1:5">
      <c r="A99" s="87"/>
      <c r="E99" s="88"/>
    </row>
    <row r="100" spans="1:5">
      <c r="A100" s="87"/>
      <c r="E100" s="88"/>
    </row>
    <row r="101" spans="1:5">
      <c r="A101" s="87"/>
      <c r="E101" s="88"/>
    </row>
    <row r="102" spans="1:5">
      <c r="A102" s="80"/>
      <c r="E102" s="88"/>
    </row>
    <row r="103" spans="1:5">
      <c r="A103" s="80"/>
      <c r="E103" s="88"/>
    </row>
    <row r="104" spans="1:5">
      <c r="A104" s="80"/>
      <c r="E104" s="88"/>
    </row>
    <row r="105" spans="1:5">
      <c r="A105" s="80"/>
      <c r="E105" s="88"/>
    </row>
    <row r="106" spans="1:5">
      <c r="A106" s="80"/>
      <c r="E106" s="88"/>
    </row>
    <row r="107" spans="1:5">
      <c r="A107" s="80"/>
      <c r="E107" s="88"/>
    </row>
    <row r="108" spans="1:5">
      <c r="A108" s="80"/>
      <c r="E108" s="88"/>
    </row>
    <row r="109" spans="1:5">
      <c r="A109" s="80"/>
      <c r="E109" s="88"/>
    </row>
    <row r="110" spans="1:5">
      <c r="A110" s="80"/>
      <c r="E110" s="88"/>
    </row>
    <row r="111" spans="1:5">
      <c r="A111" s="80"/>
      <c r="E111" s="88"/>
    </row>
    <row r="112" spans="1:5">
      <c r="A112" s="80"/>
      <c r="E112" s="88"/>
    </row>
    <row r="113" spans="1:5">
      <c r="A113" s="80"/>
      <c r="E113" s="88"/>
    </row>
    <row r="114" spans="1:5">
      <c r="A114" s="87"/>
      <c r="E114" s="88"/>
    </row>
    <row r="115" spans="1:5">
      <c r="A115" s="87"/>
      <c r="E115" s="88"/>
    </row>
    <row r="116" spans="1:5">
      <c r="A116" s="87"/>
      <c r="E116" s="88"/>
    </row>
    <row r="117" spans="1:5">
      <c r="A117" s="87"/>
      <c r="E117" s="88"/>
    </row>
    <row r="118" spans="1:5">
      <c r="A118" s="87"/>
      <c r="E118" s="88"/>
    </row>
    <row r="119" spans="1:5">
      <c r="A119" s="87"/>
      <c r="E119" s="88"/>
    </row>
    <row r="120" spans="1:5">
      <c r="A120" s="87"/>
      <c r="E120" s="88"/>
    </row>
    <row r="121" spans="1:5">
      <c r="A121" s="87"/>
      <c r="E121" s="88"/>
    </row>
    <row r="122" spans="1:5">
      <c r="A122" s="87"/>
      <c r="E122" s="88"/>
    </row>
    <row r="123" spans="1:5">
      <c r="A123" s="87"/>
      <c r="E123" s="88"/>
    </row>
    <row r="124" spans="1:5">
      <c r="A124" s="87"/>
      <c r="E124" s="88"/>
    </row>
    <row r="125" spans="1:5">
      <c r="A125" s="87"/>
      <c r="E125" s="88"/>
    </row>
    <row r="126" spans="1:5">
      <c r="A126" s="80"/>
      <c r="E126" s="88"/>
    </row>
    <row r="127" spans="1:5">
      <c r="A127" s="80"/>
      <c r="E127" s="88"/>
    </row>
    <row r="128" spans="1:5">
      <c r="A128" s="80"/>
      <c r="E128" s="88"/>
    </row>
    <row r="129" spans="1:5">
      <c r="A129" s="80"/>
      <c r="E129" s="88"/>
    </row>
    <row r="130" spans="1:5">
      <c r="A130" s="80"/>
      <c r="E130" s="88"/>
    </row>
    <row r="131" spans="1:5">
      <c r="A131" s="80"/>
      <c r="E131" s="88"/>
    </row>
    <row r="132" spans="1:5">
      <c r="A132" s="80"/>
      <c r="E132" s="88"/>
    </row>
    <row r="133" spans="1:5">
      <c r="A133" s="80"/>
      <c r="E133" s="88"/>
    </row>
    <row r="134" spans="1:5">
      <c r="A134" s="80"/>
      <c r="E134" s="88"/>
    </row>
    <row r="135" spans="1:5">
      <c r="A135" s="80"/>
      <c r="E135" s="88"/>
    </row>
    <row r="136" spans="1:5">
      <c r="A136" s="80"/>
      <c r="E136" s="88"/>
    </row>
    <row r="137" spans="1:5">
      <c r="A137" s="80"/>
      <c r="E137" s="88"/>
    </row>
    <row r="138" spans="1:5">
      <c r="A138" s="87"/>
      <c r="E138" s="88"/>
    </row>
    <row r="139" spans="1:5">
      <c r="A139" s="87"/>
      <c r="E139" s="88"/>
    </row>
    <row r="140" spans="1:5">
      <c r="A140" s="87"/>
      <c r="E140" s="88"/>
    </row>
    <row r="141" spans="1:5">
      <c r="A141" s="87"/>
      <c r="E141" s="88"/>
    </row>
    <row r="142" spans="1:5">
      <c r="A142" s="87"/>
      <c r="E142" s="82"/>
    </row>
    <row r="143" spans="1:5">
      <c r="A143" s="87"/>
      <c r="E143" s="82"/>
    </row>
    <row r="144" spans="1:5">
      <c r="A144" s="87"/>
      <c r="E144" s="82"/>
    </row>
    <row r="145" spans="1:5">
      <c r="A145" s="87"/>
      <c r="E145" s="82"/>
    </row>
    <row r="146" spans="1:5">
      <c r="A146" s="87"/>
      <c r="E146" s="82"/>
    </row>
    <row r="147" spans="1:5">
      <c r="A147" s="87"/>
      <c r="E147" s="82"/>
    </row>
    <row r="148" spans="1:5">
      <c r="A148" s="87"/>
      <c r="E148" s="82"/>
    </row>
    <row r="149" spans="1:5">
      <c r="A149" s="87"/>
      <c r="E149" s="82"/>
    </row>
  </sheetData>
  <mergeCells count="7">
    <mergeCell ref="A63:A74"/>
    <mergeCell ref="A1:E1"/>
    <mergeCell ref="A3:A14"/>
    <mergeCell ref="A15:A26"/>
    <mergeCell ref="A27:A38"/>
    <mergeCell ref="A39:A50"/>
    <mergeCell ref="A51:A62"/>
  </mergeCells>
  <hyperlinks>
    <hyperlink ref="I3" r:id="rId1" xr:uid="{E6061C43-6338-4298-8E79-5EB8AC30223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EC42C-8042-4E9E-93D4-8259A83EC817}">
  <dimension ref="A1:AJ85"/>
  <sheetViews>
    <sheetView workbookViewId="0">
      <selection activeCell="J68" sqref="J68"/>
    </sheetView>
  </sheetViews>
  <sheetFormatPr defaultColWidth="8.81640625" defaultRowHeight="14.5"/>
  <cols>
    <col min="4" max="4" width="13.453125" bestFit="1" customWidth="1"/>
    <col min="8" max="8" width="10.81640625" customWidth="1"/>
    <col min="9" max="9" width="12.36328125" bestFit="1" customWidth="1"/>
    <col min="33" max="33" width="9.453125" bestFit="1" customWidth="1"/>
  </cols>
  <sheetData>
    <row r="1" spans="1:36" ht="16.5">
      <c r="A1" s="111" t="s">
        <v>252</v>
      </c>
    </row>
    <row r="2" spans="1:36">
      <c r="A2" s="44" t="s">
        <v>251</v>
      </c>
    </row>
    <row r="3" spans="1:36">
      <c r="B3" s="110" t="s">
        <v>250</v>
      </c>
    </row>
    <row r="4" spans="1:36">
      <c r="B4" s="109" t="s">
        <v>210</v>
      </c>
      <c r="C4" s="108" t="s">
        <v>211</v>
      </c>
      <c r="D4" s="109" t="s">
        <v>50</v>
      </c>
      <c r="E4" s="108" t="s">
        <v>212</v>
      </c>
      <c r="F4" s="109" t="s">
        <v>52</v>
      </c>
      <c r="G4" s="108" t="s">
        <v>53</v>
      </c>
      <c r="H4" s="109" t="s">
        <v>54</v>
      </c>
      <c r="I4" s="108" t="s">
        <v>213</v>
      </c>
      <c r="J4" s="109" t="s">
        <v>214</v>
      </c>
      <c r="K4" s="108" t="s">
        <v>215</v>
      </c>
      <c r="L4" s="109" t="s">
        <v>216</v>
      </c>
      <c r="M4" s="108" t="s">
        <v>217</v>
      </c>
    </row>
    <row r="5" spans="1:36">
      <c r="A5" s="107">
        <v>2010</v>
      </c>
      <c r="B5" s="106">
        <v>15040</v>
      </c>
      <c r="C5" s="106">
        <v>11600</v>
      </c>
      <c r="D5" s="106">
        <v>9947</v>
      </c>
      <c r="E5" s="106">
        <v>10330</v>
      </c>
      <c r="F5" s="106">
        <v>9951</v>
      </c>
      <c r="G5" s="106">
        <v>10280</v>
      </c>
      <c r="H5" s="106">
        <v>13390</v>
      </c>
      <c r="I5" s="106">
        <v>13430</v>
      </c>
      <c r="J5" s="106">
        <v>8227</v>
      </c>
      <c r="K5" s="106">
        <v>8171</v>
      </c>
      <c r="L5" s="106">
        <v>13890</v>
      </c>
      <c r="M5" s="106">
        <v>14070</v>
      </c>
    </row>
    <row r="6" spans="1:36">
      <c r="A6" s="107">
        <v>2011</v>
      </c>
      <c r="B6" s="106">
        <v>16450</v>
      </c>
      <c r="C6" s="106">
        <v>17570</v>
      </c>
      <c r="D6" s="106">
        <v>17010</v>
      </c>
      <c r="E6" s="106">
        <v>16180</v>
      </c>
      <c r="F6" s="106">
        <v>19360</v>
      </c>
      <c r="G6" s="106">
        <v>23370</v>
      </c>
      <c r="H6" s="106">
        <v>24430</v>
      </c>
      <c r="I6" s="106">
        <v>24410</v>
      </c>
      <c r="J6" s="106">
        <v>16080</v>
      </c>
      <c r="K6" s="106">
        <v>15930</v>
      </c>
      <c r="L6" s="106">
        <v>18550</v>
      </c>
      <c r="M6" s="106">
        <v>19940</v>
      </c>
    </row>
    <row r="7" spans="1:36">
      <c r="A7" s="107">
        <v>2012</v>
      </c>
      <c r="B7" s="106">
        <v>13760</v>
      </c>
      <c r="C7" s="106">
        <v>11370</v>
      </c>
      <c r="D7" s="106">
        <v>9871</v>
      </c>
      <c r="E7" s="106">
        <v>10280</v>
      </c>
      <c r="F7" s="106">
        <v>9854</v>
      </c>
      <c r="G7" s="106">
        <v>11970</v>
      </c>
      <c r="H7" s="106">
        <v>14510</v>
      </c>
      <c r="I7" s="106">
        <v>13180</v>
      </c>
      <c r="J7" s="106">
        <v>8033</v>
      </c>
      <c r="K7" s="106">
        <v>8054</v>
      </c>
      <c r="L7" s="106">
        <v>12370</v>
      </c>
      <c r="M7" s="106">
        <v>13000</v>
      </c>
    </row>
    <row r="8" spans="1:36">
      <c r="A8" s="107">
        <v>2013</v>
      </c>
      <c r="B8" s="106">
        <v>13030</v>
      </c>
      <c r="C8" s="106">
        <v>10720</v>
      </c>
      <c r="D8" s="106">
        <v>9660</v>
      </c>
      <c r="E8" s="106">
        <v>9234</v>
      </c>
      <c r="F8" s="106">
        <v>9803</v>
      </c>
      <c r="G8" s="106">
        <v>13550</v>
      </c>
      <c r="H8" s="106">
        <v>14030</v>
      </c>
      <c r="I8" s="106">
        <v>13250</v>
      </c>
      <c r="J8" s="106">
        <v>10210</v>
      </c>
      <c r="K8" s="106">
        <v>7862</v>
      </c>
      <c r="L8" s="106">
        <v>11680</v>
      </c>
      <c r="M8" s="106">
        <v>9671</v>
      </c>
    </row>
    <row r="9" spans="1:36">
      <c r="A9" s="107">
        <v>2014</v>
      </c>
      <c r="B9" s="106">
        <v>13190</v>
      </c>
      <c r="C9" s="106">
        <v>10870</v>
      </c>
      <c r="D9" s="106">
        <v>8288</v>
      </c>
      <c r="E9" s="106">
        <v>8597</v>
      </c>
      <c r="F9" s="106">
        <v>8103</v>
      </c>
      <c r="G9" s="106">
        <v>10230</v>
      </c>
      <c r="H9" s="106">
        <v>13250</v>
      </c>
      <c r="I9" s="106">
        <v>13300</v>
      </c>
      <c r="J9" s="106">
        <v>10410</v>
      </c>
      <c r="K9" s="106">
        <v>9964</v>
      </c>
      <c r="L9" s="106">
        <v>13100</v>
      </c>
      <c r="M9" s="106">
        <v>14310</v>
      </c>
    </row>
    <row r="10" spans="1:36">
      <c r="A10" s="107">
        <v>2015</v>
      </c>
      <c r="B10" s="106">
        <v>14280</v>
      </c>
      <c r="C10" s="106">
        <v>10720</v>
      </c>
      <c r="D10" s="106">
        <v>10670</v>
      </c>
      <c r="E10" s="106">
        <v>10250</v>
      </c>
      <c r="F10" s="106">
        <v>11520</v>
      </c>
      <c r="G10" s="106">
        <v>13470</v>
      </c>
      <c r="H10" s="106">
        <v>17500</v>
      </c>
      <c r="I10" s="106">
        <v>13240</v>
      </c>
      <c r="J10" s="106">
        <v>12190</v>
      </c>
      <c r="K10" s="106">
        <v>9900</v>
      </c>
      <c r="L10" s="106">
        <v>9794</v>
      </c>
      <c r="M10" s="106">
        <v>14040</v>
      </c>
    </row>
    <row r="12" spans="1:36">
      <c r="E12" t="s">
        <v>249</v>
      </c>
    </row>
    <row r="13" spans="1:36">
      <c r="B13" t="s">
        <v>248</v>
      </c>
      <c r="C13" t="s">
        <v>247</v>
      </c>
      <c r="D13" t="s">
        <v>246</v>
      </c>
      <c r="E13" s="105" t="s">
        <v>245</v>
      </c>
    </row>
    <row r="14" spans="1:36">
      <c r="A14" s="80">
        <v>3684</v>
      </c>
      <c r="B14">
        <v>15040</v>
      </c>
      <c r="C14" s="83">
        <v>31</v>
      </c>
      <c r="D14" s="65">
        <f t="shared" ref="D14:D45" si="0">B14*C14*86400</f>
        <v>40283136000</v>
      </c>
      <c r="E14" s="40">
        <f t="shared" ref="E14:E45" si="1">D14*0.0000229569</f>
        <v>924775.92483839998</v>
      </c>
      <c r="F14" s="40"/>
      <c r="G14" s="40"/>
      <c r="M14" s="91"/>
      <c r="Q14" s="40"/>
      <c r="V14" s="40"/>
    </row>
    <row r="15" spans="1:36">
      <c r="A15" s="80">
        <v>3712</v>
      </c>
      <c r="B15">
        <v>11600</v>
      </c>
      <c r="C15" s="83">
        <v>28</v>
      </c>
      <c r="D15" s="65">
        <f t="shared" si="0"/>
        <v>28062720000</v>
      </c>
      <c r="E15" s="40">
        <f t="shared" si="1"/>
        <v>644233.05676800001</v>
      </c>
      <c r="F15" s="40"/>
      <c r="G15" s="40"/>
      <c r="M15" s="91"/>
      <c r="Q15" s="40"/>
      <c r="V15" s="40"/>
    </row>
    <row r="16" spans="1:36">
      <c r="A16" s="80">
        <v>3743</v>
      </c>
      <c r="B16">
        <v>9947</v>
      </c>
      <c r="C16" s="83">
        <v>31</v>
      </c>
      <c r="D16" s="65">
        <f t="shared" si="0"/>
        <v>26642044800</v>
      </c>
      <c r="E16" s="40">
        <f t="shared" si="1"/>
        <v>611618.75826912001</v>
      </c>
      <c r="F16" s="40"/>
      <c r="G16" s="40"/>
      <c r="I16" s="40"/>
      <c r="J16" s="43"/>
      <c r="O16" s="43"/>
      <c r="P16" s="104"/>
      <c r="Q16" s="40"/>
      <c r="V16" s="40"/>
      <c r="Z16" s="40"/>
      <c r="AE16" s="40"/>
      <c r="AG16" s="40"/>
      <c r="AH16" s="40"/>
      <c r="AI16" s="40"/>
      <c r="AJ16" s="38"/>
    </row>
    <row r="17" spans="1:36">
      <c r="A17" s="80">
        <v>3773</v>
      </c>
      <c r="B17">
        <v>10330</v>
      </c>
      <c r="C17" s="83">
        <v>30</v>
      </c>
      <c r="D17" s="65">
        <f t="shared" si="0"/>
        <v>26775360000</v>
      </c>
      <c r="E17" s="40">
        <f t="shared" si="1"/>
        <v>614679.26198399998</v>
      </c>
      <c r="F17" s="40"/>
      <c r="G17" s="40"/>
      <c r="I17" s="40"/>
      <c r="J17" s="43"/>
      <c r="O17" s="43"/>
      <c r="P17" s="104"/>
      <c r="Q17" s="40"/>
      <c r="V17" s="40"/>
      <c r="Z17" s="40"/>
      <c r="AE17" s="40"/>
      <c r="AG17" s="40"/>
      <c r="AH17" s="40"/>
      <c r="AI17" s="40"/>
      <c r="AJ17" s="38"/>
    </row>
    <row r="18" spans="1:36">
      <c r="A18" s="80">
        <v>3804</v>
      </c>
      <c r="B18">
        <v>9951</v>
      </c>
      <c r="C18" s="83">
        <v>31</v>
      </c>
      <c r="D18" s="65">
        <f t="shared" si="0"/>
        <v>26652758400</v>
      </c>
      <c r="E18" s="40">
        <f t="shared" si="1"/>
        <v>611864.70931296004</v>
      </c>
      <c r="F18" s="40"/>
      <c r="G18" s="40"/>
      <c r="I18" s="40"/>
      <c r="J18" s="43"/>
      <c r="O18" s="43"/>
      <c r="P18" s="104"/>
      <c r="Q18" s="40"/>
      <c r="U18" s="40"/>
      <c r="V18" s="40"/>
      <c r="Z18" s="40"/>
      <c r="AE18" s="40"/>
      <c r="AG18" s="40"/>
      <c r="AH18" s="40"/>
      <c r="AI18" s="40"/>
      <c r="AJ18" s="38"/>
    </row>
    <row r="19" spans="1:36">
      <c r="A19" s="80">
        <v>3834</v>
      </c>
      <c r="B19">
        <v>10280</v>
      </c>
      <c r="C19" s="83">
        <v>30</v>
      </c>
      <c r="D19" s="65">
        <f t="shared" si="0"/>
        <v>26645760000</v>
      </c>
      <c r="E19" s="40">
        <f t="shared" si="1"/>
        <v>611704.04774399998</v>
      </c>
      <c r="F19" s="40"/>
      <c r="G19" s="40"/>
      <c r="I19" s="40"/>
      <c r="J19" s="43"/>
      <c r="O19" s="43"/>
      <c r="P19" s="104"/>
      <c r="Q19" s="40"/>
      <c r="U19" s="40"/>
      <c r="V19" s="40"/>
      <c r="Z19" s="40"/>
      <c r="AE19" s="40"/>
      <c r="AG19" s="40"/>
      <c r="AH19" s="40"/>
      <c r="AI19" s="40"/>
      <c r="AJ19" s="38"/>
    </row>
    <row r="20" spans="1:36">
      <c r="A20" s="80">
        <v>3865</v>
      </c>
      <c r="B20">
        <v>13390</v>
      </c>
      <c r="C20" s="83">
        <v>31</v>
      </c>
      <c r="D20" s="65">
        <f t="shared" si="0"/>
        <v>35863776000</v>
      </c>
      <c r="E20" s="40">
        <f t="shared" si="1"/>
        <v>823321.11925440002</v>
      </c>
      <c r="F20" s="40"/>
      <c r="G20" s="40"/>
      <c r="I20" s="40"/>
      <c r="J20" s="43"/>
      <c r="O20" s="43"/>
      <c r="P20" s="104"/>
      <c r="V20" s="40"/>
      <c r="Z20" s="40"/>
      <c r="AD20" s="40"/>
      <c r="AE20" s="40"/>
      <c r="AG20" s="40"/>
      <c r="AH20" s="40"/>
      <c r="AI20" s="40"/>
      <c r="AJ20" s="38"/>
    </row>
    <row r="21" spans="1:36">
      <c r="A21" s="80">
        <v>3896</v>
      </c>
      <c r="B21">
        <v>13430</v>
      </c>
      <c r="C21" s="83">
        <v>31</v>
      </c>
      <c r="D21" s="65">
        <f t="shared" si="0"/>
        <v>35970912000</v>
      </c>
      <c r="E21" s="40">
        <f t="shared" si="1"/>
        <v>825780.62969279999</v>
      </c>
      <c r="F21" s="40"/>
      <c r="G21" s="40"/>
      <c r="I21" s="40"/>
      <c r="J21" s="43"/>
      <c r="O21" s="43"/>
      <c r="P21" s="104"/>
      <c r="V21" s="91"/>
      <c r="Z21" s="40"/>
      <c r="AD21" s="40"/>
      <c r="AE21" s="40"/>
      <c r="AG21" s="40"/>
      <c r="AH21" s="40"/>
      <c r="AI21" s="40"/>
      <c r="AJ21" s="38"/>
    </row>
    <row r="22" spans="1:36">
      <c r="A22" s="80">
        <v>3926</v>
      </c>
      <c r="B22">
        <v>8227</v>
      </c>
      <c r="C22" s="83">
        <v>30</v>
      </c>
      <c r="D22" s="65">
        <f t="shared" si="0"/>
        <v>21324384000</v>
      </c>
      <c r="E22" s="40">
        <f t="shared" si="1"/>
        <v>489541.75104960002</v>
      </c>
      <c r="F22" s="40"/>
      <c r="G22" s="40"/>
      <c r="I22" s="40"/>
      <c r="J22" s="43"/>
      <c r="O22" s="43"/>
      <c r="P22" s="104"/>
      <c r="U22" s="40"/>
      <c r="V22" s="40"/>
      <c r="AE22" s="40"/>
      <c r="AG22" s="40"/>
      <c r="AH22" s="40"/>
      <c r="AI22" s="40"/>
      <c r="AJ22" s="38"/>
    </row>
    <row r="23" spans="1:36">
      <c r="A23" s="80">
        <v>3957</v>
      </c>
      <c r="B23">
        <v>8171</v>
      </c>
      <c r="C23" s="83">
        <v>31</v>
      </c>
      <c r="D23" s="65">
        <f t="shared" si="0"/>
        <v>21885206400</v>
      </c>
      <c r="E23" s="40">
        <f t="shared" si="1"/>
        <v>502416.49480416003</v>
      </c>
      <c r="F23" s="40"/>
      <c r="G23" s="40"/>
      <c r="I23" s="40"/>
      <c r="J23" s="43"/>
      <c r="N23" s="40"/>
      <c r="O23" s="43"/>
      <c r="P23" s="104"/>
      <c r="U23" s="40"/>
      <c r="V23" s="91"/>
      <c r="AG23" s="40"/>
      <c r="AH23" s="40"/>
      <c r="AI23" s="40"/>
      <c r="AJ23" s="38"/>
    </row>
    <row r="24" spans="1:36">
      <c r="A24" s="80">
        <v>3987</v>
      </c>
      <c r="B24">
        <v>13890</v>
      </c>
      <c r="C24" s="83">
        <v>30</v>
      </c>
      <c r="D24" s="65">
        <f t="shared" si="0"/>
        <v>36002880000</v>
      </c>
      <c r="E24" s="40">
        <f t="shared" si="1"/>
        <v>826514.51587200002</v>
      </c>
      <c r="F24" s="40"/>
      <c r="G24" s="40"/>
      <c r="I24" s="40"/>
      <c r="J24" s="43"/>
      <c r="N24" s="40"/>
      <c r="O24" s="43"/>
      <c r="P24" s="104"/>
      <c r="U24" s="40"/>
      <c r="V24" s="91"/>
      <c r="AD24" s="40"/>
      <c r="AE24" s="40"/>
      <c r="AG24" s="40"/>
      <c r="AH24" s="40"/>
      <c r="AI24" s="40"/>
      <c r="AJ24" s="38"/>
    </row>
    <row r="25" spans="1:36">
      <c r="A25" s="80">
        <v>4018</v>
      </c>
      <c r="B25">
        <v>14070</v>
      </c>
      <c r="C25" s="83">
        <v>31</v>
      </c>
      <c r="D25" s="65">
        <f t="shared" si="0"/>
        <v>37685088000</v>
      </c>
      <c r="E25" s="40">
        <f t="shared" si="1"/>
        <v>865132.7967072</v>
      </c>
      <c r="F25" s="40"/>
      <c r="G25" s="40"/>
      <c r="I25" s="40"/>
      <c r="J25" s="43"/>
      <c r="N25" s="40"/>
      <c r="O25" s="43"/>
      <c r="P25" s="104"/>
      <c r="U25" s="40"/>
      <c r="V25" s="91"/>
      <c r="W25" s="40"/>
      <c r="AD25" s="40"/>
      <c r="AG25" s="40"/>
      <c r="AH25" s="40"/>
      <c r="AI25" s="40"/>
      <c r="AJ25" s="38"/>
    </row>
    <row r="26" spans="1:36">
      <c r="A26" s="80">
        <v>4049</v>
      </c>
      <c r="B26">
        <v>16450</v>
      </c>
      <c r="C26" s="83">
        <v>31</v>
      </c>
      <c r="D26" s="65">
        <f t="shared" si="0"/>
        <v>44059680000</v>
      </c>
      <c r="E26" s="40">
        <f t="shared" si="1"/>
        <v>1011473.667792</v>
      </c>
      <c r="F26" s="40"/>
      <c r="G26" s="40"/>
      <c r="I26" s="40"/>
      <c r="J26" s="43"/>
      <c r="N26" s="40"/>
      <c r="O26" s="43"/>
      <c r="P26" s="104"/>
      <c r="Q26" s="40"/>
      <c r="U26" s="40"/>
      <c r="V26" s="40"/>
      <c r="W26" s="40"/>
      <c r="AD26" s="40"/>
      <c r="AG26" s="40"/>
      <c r="AH26" s="40"/>
      <c r="AI26" s="40"/>
      <c r="AJ26" s="38"/>
    </row>
    <row r="27" spans="1:36">
      <c r="A27" s="80">
        <v>4077</v>
      </c>
      <c r="B27">
        <v>17570</v>
      </c>
      <c r="C27" s="83">
        <v>28</v>
      </c>
      <c r="D27" s="65">
        <f t="shared" si="0"/>
        <v>42505344000</v>
      </c>
      <c r="E27" s="40">
        <f t="shared" si="1"/>
        <v>975790.93167359999</v>
      </c>
      <c r="F27" s="40"/>
      <c r="G27" s="40"/>
      <c r="H27" s="40">
        <f>SUM(E16:E27)</f>
        <v>8769838.6841558386</v>
      </c>
      <c r="I27" s="40"/>
      <c r="J27" s="43"/>
      <c r="N27" s="40"/>
      <c r="O27" s="43"/>
      <c r="P27" s="104"/>
      <c r="Q27" s="40"/>
      <c r="U27" s="40"/>
      <c r="V27" s="40"/>
      <c r="W27" s="40"/>
      <c r="AD27" s="40"/>
      <c r="AG27" s="40"/>
      <c r="AH27" s="40"/>
      <c r="AI27" s="40"/>
      <c r="AJ27" s="38"/>
    </row>
    <row r="28" spans="1:36">
      <c r="A28" s="80">
        <v>4108</v>
      </c>
      <c r="B28">
        <v>17010</v>
      </c>
      <c r="C28" s="83">
        <v>31</v>
      </c>
      <c r="D28" s="65">
        <f t="shared" si="0"/>
        <v>45559584000</v>
      </c>
      <c r="E28" s="40">
        <f t="shared" si="1"/>
        <v>1045906.8139296001</v>
      </c>
      <c r="F28" s="40"/>
      <c r="G28" s="40"/>
      <c r="I28" s="40"/>
      <c r="J28" s="43"/>
      <c r="N28" s="40"/>
      <c r="O28" s="43"/>
      <c r="P28" s="104"/>
      <c r="Q28" s="40"/>
      <c r="U28" s="40"/>
      <c r="V28" s="40"/>
      <c r="W28" s="40"/>
      <c r="Z28" s="40"/>
      <c r="AD28" s="40"/>
      <c r="AE28" s="40"/>
      <c r="AG28" s="40"/>
      <c r="AH28" s="40"/>
      <c r="AI28" s="40"/>
      <c r="AJ28" s="38"/>
    </row>
    <row r="29" spans="1:36">
      <c r="A29" s="80">
        <v>4138</v>
      </c>
      <c r="B29">
        <v>16180</v>
      </c>
      <c r="C29" s="83">
        <v>30</v>
      </c>
      <c r="D29" s="65">
        <f t="shared" si="0"/>
        <v>41938560000</v>
      </c>
      <c r="E29" s="40">
        <f t="shared" si="1"/>
        <v>962779.328064</v>
      </c>
      <c r="F29" s="40"/>
      <c r="G29" s="40"/>
      <c r="I29" s="40"/>
      <c r="J29" s="43"/>
      <c r="N29" s="40"/>
      <c r="O29" s="43"/>
      <c r="P29" s="104"/>
      <c r="Q29" s="40"/>
      <c r="U29" s="40"/>
      <c r="V29" s="40"/>
      <c r="W29" s="40"/>
      <c r="Z29" s="40"/>
      <c r="AD29" s="40"/>
      <c r="AE29" s="40"/>
      <c r="AG29" s="40"/>
      <c r="AH29" s="40"/>
      <c r="AI29" s="40"/>
      <c r="AJ29" s="38"/>
    </row>
    <row r="30" spans="1:36">
      <c r="A30" s="80">
        <v>4169</v>
      </c>
      <c r="B30">
        <v>19360</v>
      </c>
      <c r="C30" s="83">
        <v>31</v>
      </c>
      <c r="D30" s="65">
        <f t="shared" si="0"/>
        <v>51853824000</v>
      </c>
      <c r="E30" s="40">
        <f t="shared" si="1"/>
        <v>1190403.0521855999</v>
      </c>
      <c r="F30" s="40"/>
      <c r="G30" s="40"/>
      <c r="I30" s="40"/>
      <c r="J30" s="43"/>
      <c r="N30" s="40"/>
      <c r="O30" s="43"/>
      <c r="P30" s="104"/>
      <c r="Q30" s="40"/>
      <c r="U30" s="40"/>
      <c r="V30" s="40"/>
      <c r="W30" s="40"/>
      <c r="Z30" s="40"/>
      <c r="AD30" s="40"/>
      <c r="AE30" s="40"/>
      <c r="AG30" s="40"/>
      <c r="AH30" s="40"/>
      <c r="AI30" s="40"/>
      <c r="AJ30" s="38"/>
    </row>
    <row r="31" spans="1:36">
      <c r="A31" s="80">
        <v>4199</v>
      </c>
      <c r="B31">
        <v>23370</v>
      </c>
      <c r="C31" s="83">
        <v>30</v>
      </c>
      <c r="D31" s="65">
        <f t="shared" si="0"/>
        <v>60575040000</v>
      </c>
      <c r="E31" s="40">
        <f t="shared" si="1"/>
        <v>1390615.1357760001</v>
      </c>
      <c r="F31" s="40"/>
      <c r="G31" s="40"/>
      <c r="I31" s="40"/>
      <c r="J31" s="43"/>
      <c r="N31" s="40"/>
      <c r="O31" s="43"/>
      <c r="P31" s="104"/>
      <c r="Q31" s="40"/>
      <c r="U31" s="40"/>
      <c r="V31" s="40"/>
      <c r="W31" s="40"/>
      <c r="Z31" s="40"/>
      <c r="AD31" s="40"/>
      <c r="AE31" s="40"/>
      <c r="AG31" s="40"/>
      <c r="AH31" s="40"/>
      <c r="AI31" s="40"/>
      <c r="AJ31" s="38"/>
    </row>
    <row r="32" spans="1:36">
      <c r="A32" s="80">
        <v>4230</v>
      </c>
      <c r="B32">
        <v>24430</v>
      </c>
      <c r="C32" s="83">
        <v>31</v>
      </c>
      <c r="D32" s="65">
        <f t="shared" si="0"/>
        <v>65433312000</v>
      </c>
      <c r="E32" s="40">
        <f t="shared" si="1"/>
        <v>1502146.0002528001</v>
      </c>
      <c r="F32" s="40"/>
      <c r="G32" s="40"/>
      <c r="I32" s="40"/>
      <c r="J32" s="43"/>
      <c r="N32" s="40"/>
      <c r="O32" s="43"/>
      <c r="P32" s="104"/>
      <c r="U32" s="40"/>
      <c r="V32" s="91"/>
      <c r="W32" s="40"/>
      <c r="Z32" s="40"/>
      <c r="AD32" s="40"/>
      <c r="AE32" s="40"/>
      <c r="AG32" s="40"/>
      <c r="AH32" s="40"/>
      <c r="AI32" s="40"/>
      <c r="AJ32" s="38"/>
    </row>
    <row r="33" spans="1:36">
      <c r="A33" s="80">
        <v>4261</v>
      </c>
      <c r="B33">
        <v>24410</v>
      </c>
      <c r="C33" s="83">
        <v>31</v>
      </c>
      <c r="D33" s="65">
        <f t="shared" si="0"/>
        <v>65379744000</v>
      </c>
      <c r="E33" s="40">
        <f t="shared" si="1"/>
        <v>1500916.2450336001</v>
      </c>
      <c r="F33" s="40"/>
      <c r="G33" s="40"/>
      <c r="I33" s="40"/>
      <c r="J33" s="43"/>
      <c r="N33" s="40"/>
      <c r="O33" s="43"/>
      <c r="P33" s="104"/>
      <c r="U33" s="40"/>
      <c r="V33" s="91"/>
      <c r="W33" s="40"/>
      <c r="Z33" s="40"/>
      <c r="AD33" s="40"/>
      <c r="AE33" s="40"/>
      <c r="AG33" s="40"/>
      <c r="AH33" s="40"/>
      <c r="AI33" s="40"/>
      <c r="AJ33" s="38"/>
    </row>
    <row r="34" spans="1:36">
      <c r="A34" s="80">
        <v>4291</v>
      </c>
      <c r="B34">
        <v>16080</v>
      </c>
      <c r="C34" s="83">
        <v>30</v>
      </c>
      <c r="D34" s="65">
        <f t="shared" si="0"/>
        <v>41679360000</v>
      </c>
      <c r="E34" s="40">
        <f t="shared" si="1"/>
        <v>956828.899584</v>
      </c>
      <c r="F34" s="40"/>
      <c r="G34" s="40"/>
      <c r="I34" s="40"/>
      <c r="J34" s="43"/>
      <c r="N34" s="40"/>
      <c r="O34" s="43"/>
      <c r="P34" s="104"/>
      <c r="U34" s="40"/>
      <c r="V34" s="91"/>
      <c r="W34" s="40"/>
      <c r="AD34" s="40"/>
      <c r="AG34" s="40"/>
      <c r="AH34" s="40"/>
      <c r="AI34" s="40"/>
      <c r="AJ34" s="38"/>
    </row>
    <row r="35" spans="1:36">
      <c r="A35" s="80">
        <v>4322</v>
      </c>
      <c r="B35">
        <v>15930</v>
      </c>
      <c r="C35" s="83">
        <v>31</v>
      </c>
      <c r="D35" s="65">
        <f t="shared" si="0"/>
        <v>42666912000</v>
      </c>
      <c r="E35" s="40">
        <f t="shared" si="1"/>
        <v>979500.03209280001</v>
      </c>
      <c r="F35" s="40"/>
      <c r="G35" s="40"/>
      <c r="I35" s="40"/>
      <c r="J35" s="43"/>
      <c r="N35" s="40"/>
      <c r="O35" s="43"/>
      <c r="P35" s="104"/>
      <c r="U35" s="40"/>
      <c r="V35" s="91"/>
      <c r="W35" s="40"/>
      <c r="AD35" s="40"/>
      <c r="AG35" s="40"/>
      <c r="AH35" s="40"/>
      <c r="AI35" s="40"/>
      <c r="AJ35" s="38"/>
    </row>
    <row r="36" spans="1:36">
      <c r="A36" s="80">
        <v>4352</v>
      </c>
      <c r="B36">
        <v>18550</v>
      </c>
      <c r="C36" s="83">
        <v>30</v>
      </c>
      <c r="D36" s="65">
        <f t="shared" si="0"/>
        <v>48081600000</v>
      </c>
      <c r="E36" s="40">
        <f t="shared" si="1"/>
        <v>1103804.4830400001</v>
      </c>
      <c r="F36" s="40"/>
      <c r="G36" s="40"/>
      <c r="I36" s="40"/>
      <c r="J36" s="43"/>
      <c r="N36" s="40"/>
      <c r="O36" s="43"/>
      <c r="P36" s="104"/>
      <c r="U36" s="40"/>
      <c r="V36" s="91"/>
      <c r="W36" s="40"/>
      <c r="AD36" s="40"/>
      <c r="AG36" s="40"/>
      <c r="AH36" s="40"/>
      <c r="AI36" s="40"/>
      <c r="AJ36" s="38"/>
    </row>
    <row r="37" spans="1:36">
      <c r="A37" s="80">
        <v>4383</v>
      </c>
      <c r="B37">
        <v>19940</v>
      </c>
      <c r="C37" s="83">
        <v>31</v>
      </c>
      <c r="D37" s="65">
        <f t="shared" si="0"/>
        <v>53407296000</v>
      </c>
      <c r="E37" s="40">
        <f t="shared" si="1"/>
        <v>1226065.9535423999</v>
      </c>
      <c r="F37" s="40"/>
      <c r="G37" s="40"/>
      <c r="I37" s="40"/>
      <c r="J37" s="43"/>
      <c r="O37" s="43"/>
      <c r="P37" s="104"/>
      <c r="V37" s="40"/>
      <c r="W37" s="40"/>
      <c r="AD37" s="40"/>
      <c r="AG37" s="40"/>
      <c r="AH37" s="40"/>
      <c r="AI37" s="40"/>
      <c r="AJ37" s="38"/>
    </row>
    <row r="38" spans="1:36">
      <c r="A38" s="80">
        <v>4414</v>
      </c>
      <c r="B38">
        <v>13760</v>
      </c>
      <c r="C38" s="83">
        <v>31</v>
      </c>
      <c r="D38" s="65">
        <f t="shared" si="0"/>
        <v>36854784000</v>
      </c>
      <c r="E38" s="40">
        <f t="shared" si="1"/>
        <v>846071.59080959996</v>
      </c>
      <c r="F38" s="40"/>
      <c r="G38" s="40"/>
      <c r="I38" s="40"/>
      <c r="J38" s="43"/>
      <c r="O38" s="43"/>
      <c r="P38" s="104"/>
      <c r="V38" s="91"/>
      <c r="W38" s="40"/>
      <c r="AD38" s="40"/>
      <c r="AG38" s="40"/>
      <c r="AH38" s="40"/>
      <c r="AI38" s="40"/>
      <c r="AJ38" s="38"/>
    </row>
    <row r="39" spans="1:36">
      <c r="A39" s="80">
        <v>4443</v>
      </c>
      <c r="B39">
        <v>11370</v>
      </c>
      <c r="C39" s="83">
        <v>29</v>
      </c>
      <c r="D39" s="65">
        <f t="shared" si="0"/>
        <v>28488672000</v>
      </c>
      <c r="E39" s="40">
        <f t="shared" si="1"/>
        <v>654011.59423679998</v>
      </c>
      <c r="F39" s="40"/>
      <c r="G39" s="40"/>
      <c r="H39" s="40">
        <f>SUM(E28:E39)</f>
        <v>13359049.128547201</v>
      </c>
      <c r="I39" s="40"/>
      <c r="J39" s="43"/>
      <c r="O39" s="43"/>
      <c r="P39" s="104"/>
      <c r="V39" s="91"/>
      <c r="AE39" s="40"/>
      <c r="AG39" s="40"/>
      <c r="AH39" s="40"/>
      <c r="AI39" s="40"/>
      <c r="AJ39" s="38"/>
    </row>
    <row r="40" spans="1:36">
      <c r="A40" s="80">
        <v>4474</v>
      </c>
      <c r="B40">
        <v>9871</v>
      </c>
      <c r="C40" s="83">
        <v>31</v>
      </c>
      <c r="D40" s="65">
        <f t="shared" si="0"/>
        <v>26438486400</v>
      </c>
      <c r="E40" s="40">
        <f t="shared" si="1"/>
        <v>606945.68843615998</v>
      </c>
      <c r="F40" s="40"/>
      <c r="G40" s="40"/>
    </row>
    <row r="41" spans="1:36">
      <c r="A41" s="80">
        <v>4504</v>
      </c>
      <c r="B41">
        <v>10280</v>
      </c>
      <c r="C41" s="83">
        <v>30</v>
      </c>
      <c r="D41" s="65">
        <f t="shared" si="0"/>
        <v>26645760000</v>
      </c>
      <c r="E41" s="40">
        <f t="shared" si="1"/>
        <v>611704.04774399998</v>
      </c>
      <c r="F41" s="40"/>
      <c r="G41" s="40"/>
    </row>
    <row r="42" spans="1:36">
      <c r="A42" s="80">
        <v>4535</v>
      </c>
      <c r="B42">
        <v>9854</v>
      </c>
      <c r="C42" s="83">
        <v>31</v>
      </c>
      <c r="D42" s="65">
        <f t="shared" si="0"/>
        <v>26392953600</v>
      </c>
      <c r="E42" s="40">
        <f t="shared" si="1"/>
        <v>605900.39649983996</v>
      </c>
      <c r="F42" s="40"/>
      <c r="G42" s="40"/>
    </row>
    <row r="43" spans="1:36">
      <c r="A43" s="80">
        <v>4565</v>
      </c>
      <c r="B43">
        <v>11970</v>
      </c>
      <c r="C43" s="83">
        <v>30</v>
      </c>
      <c r="D43" s="65">
        <f t="shared" si="0"/>
        <v>31026240000</v>
      </c>
      <c r="E43" s="40">
        <f t="shared" si="1"/>
        <v>712266.28905600007</v>
      </c>
      <c r="F43" s="40"/>
      <c r="G43" s="40"/>
    </row>
    <row r="44" spans="1:36">
      <c r="A44" s="80">
        <v>4596</v>
      </c>
      <c r="B44">
        <v>14510</v>
      </c>
      <c r="C44" s="83">
        <v>31</v>
      </c>
      <c r="D44" s="65">
        <f t="shared" si="0"/>
        <v>38863584000</v>
      </c>
      <c r="E44" s="40">
        <f t="shared" si="1"/>
        <v>892187.41152960004</v>
      </c>
      <c r="F44" s="40"/>
      <c r="G44" s="40"/>
    </row>
    <row r="45" spans="1:36">
      <c r="A45" s="80">
        <v>4627</v>
      </c>
      <c r="B45">
        <v>13180</v>
      </c>
      <c r="C45" s="83">
        <v>31</v>
      </c>
      <c r="D45" s="65">
        <f t="shared" si="0"/>
        <v>35301312000</v>
      </c>
      <c r="E45" s="40">
        <f t="shared" si="1"/>
        <v>810408.68945279997</v>
      </c>
      <c r="F45" s="40"/>
      <c r="G45" s="40"/>
      <c r="K45">
        <v>2000</v>
      </c>
      <c r="L45">
        <v>13120</v>
      </c>
      <c r="M45">
        <f t="shared" ref="M45:M64" si="2">L45*723.968</f>
        <v>9498460.1600000001</v>
      </c>
    </row>
    <row r="46" spans="1:36">
      <c r="A46" s="80">
        <v>4657</v>
      </c>
      <c r="B46">
        <v>8033</v>
      </c>
      <c r="C46" s="83">
        <v>30</v>
      </c>
      <c r="D46" s="65">
        <f t="shared" ref="D46:D77" si="3">B46*C46*86400</f>
        <v>20821536000</v>
      </c>
      <c r="E46" s="40">
        <f t="shared" ref="E46:E77" si="4">D46*0.0000229569</f>
        <v>477997.91979840002</v>
      </c>
      <c r="F46" s="40"/>
      <c r="G46" s="40"/>
      <c r="K46">
        <v>2001</v>
      </c>
      <c r="L46">
        <v>11520</v>
      </c>
      <c r="M46">
        <f t="shared" si="2"/>
        <v>8340111.3599999994</v>
      </c>
    </row>
    <row r="47" spans="1:36">
      <c r="A47" s="80">
        <v>4688</v>
      </c>
      <c r="B47">
        <v>8054</v>
      </c>
      <c r="C47" s="83">
        <v>31</v>
      </c>
      <c r="D47" s="65">
        <f t="shared" si="3"/>
        <v>21571833600</v>
      </c>
      <c r="E47" s="40">
        <f t="shared" si="4"/>
        <v>495222.42677184002</v>
      </c>
      <c r="F47" s="40"/>
      <c r="G47" s="40"/>
      <c r="K47">
        <v>2002</v>
      </c>
      <c r="L47">
        <v>11520</v>
      </c>
      <c r="M47">
        <f t="shared" si="2"/>
        <v>8340111.3599999994</v>
      </c>
    </row>
    <row r="48" spans="1:36">
      <c r="A48" s="80">
        <v>4718</v>
      </c>
      <c r="B48">
        <v>12370</v>
      </c>
      <c r="C48" s="83">
        <v>30</v>
      </c>
      <c r="D48" s="65">
        <f t="shared" si="3"/>
        <v>32063040000</v>
      </c>
      <c r="E48" s="40">
        <f t="shared" si="4"/>
        <v>736068.00297599996</v>
      </c>
      <c r="F48" s="40"/>
      <c r="G48" s="40"/>
      <c r="K48">
        <v>2003</v>
      </c>
      <c r="L48">
        <v>11550</v>
      </c>
      <c r="M48">
        <f t="shared" si="2"/>
        <v>8361830.3999999994</v>
      </c>
    </row>
    <row r="49" spans="1:15">
      <c r="A49" s="80">
        <v>4749</v>
      </c>
      <c r="B49">
        <v>13000</v>
      </c>
      <c r="C49" s="83">
        <v>31</v>
      </c>
      <c r="D49" s="65">
        <f t="shared" si="3"/>
        <v>34819200000</v>
      </c>
      <c r="E49" s="40">
        <f t="shared" si="4"/>
        <v>799340.89248000004</v>
      </c>
      <c r="F49" s="40"/>
      <c r="G49" s="40"/>
      <c r="K49">
        <v>2004</v>
      </c>
      <c r="L49">
        <v>11480</v>
      </c>
      <c r="M49">
        <f t="shared" si="2"/>
        <v>8311152.6399999997</v>
      </c>
    </row>
    <row r="50" spans="1:15">
      <c r="A50" s="80">
        <v>4780</v>
      </c>
      <c r="B50">
        <v>13030</v>
      </c>
      <c r="C50" s="83">
        <v>31</v>
      </c>
      <c r="D50" s="65">
        <f t="shared" si="3"/>
        <v>34899552000</v>
      </c>
      <c r="E50" s="40">
        <f t="shared" si="4"/>
        <v>801185.52530880005</v>
      </c>
      <c r="F50" s="40"/>
      <c r="G50" s="40"/>
      <c r="K50">
        <v>2005</v>
      </c>
      <c r="L50">
        <v>11550</v>
      </c>
      <c r="M50">
        <f t="shared" si="2"/>
        <v>8361830.3999999994</v>
      </c>
    </row>
    <row r="51" spans="1:15">
      <c r="A51" s="80">
        <v>4808</v>
      </c>
      <c r="B51">
        <v>10720</v>
      </c>
      <c r="C51" s="83">
        <v>28</v>
      </c>
      <c r="D51" s="65">
        <f t="shared" si="3"/>
        <v>25933824000</v>
      </c>
      <c r="E51" s="40">
        <f t="shared" si="4"/>
        <v>595360.20418560004</v>
      </c>
      <c r="F51" s="40"/>
      <c r="G51" s="40"/>
      <c r="H51" s="40">
        <f>SUM(E40:E51)</f>
        <v>8144587.4942390407</v>
      </c>
      <c r="K51">
        <v>2006</v>
      </c>
      <c r="L51">
        <v>11730</v>
      </c>
      <c r="M51">
        <f t="shared" si="2"/>
        <v>8492144.6399999987</v>
      </c>
    </row>
    <row r="52" spans="1:15">
      <c r="A52" s="80">
        <v>4839</v>
      </c>
      <c r="B52">
        <v>9660</v>
      </c>
      <c r="C52" s="83">
        <v>31</v>
      </c>
      <c r="D52" s="65">
        <f t="shared" si="3"/>
        <v>25873344000</v>
      </c>
      <c r="E52" s="40">
        <f t="shared" si="4"/>
        <v>593971.77087360003</v>
      </c>
      <c r="F52" s="40"/>
      <c r="G52" s="40"/>
      <c r="K52">
        <v>2007</v>
      </c>
      <c r="L52">
        <v>11600</v>
      </c>
      <c r="M52">
        <f t="shared" si="2"/>
        <v>8398028.7999999989</v>
      </c>
    </row>
    <row r="53" spans="1:15">
      <c r="A53" s="80">
        <v>4869</v>
      </c>
      <c r="B53">
        <v>9234</v>
      </c>
      <c r="C53" s="83">
        <v>30</v>
      </c>
      <c r="D53" s="65">
        <f t="shared" si="3"/>
        <v>23934528000</v>
      </c>
      <c r="E53" s="40">
        <f t="shared" si="4"/>
        <v>549462.56584319996</v>
      </c>
      <c r="F53" s="40"/>
      <c r="G53" s="40"/>
      <c r="K53">
        <v>2008</v>
      </c>
      <c r="L53">
        <v>12620</v>
      </c>
      <c r="M53">
        <f t="shared" si="2"/>
        <v>9136476.1600000001</v>
      </c>
    </row>
    <row r="54" spans="1:15">
      <c r="A54" s="80">
        <v>4900</v>
      </c>
      <c r="B54">
        <v>9803</v>
      </c>
      <c r="C54" s="83">
        <v>31</v>
      </c>
      <c r="D54" s="65">
        <f t="shared" si="3"/>
        <v>26256355200</v>
      </c>
      <c r="E54" s="40">
        <f t="shared" si="4"/>
        <v>602764.52069088002</v>
      </c>
      <c r="F54" s="40"/>
      <c r="G54" s="40"/>
      <c r="K54">
        <v>2009</v>
      </c>
      <c r="L54">
        <v>11600</v>
      </c>
      <c r="M54">
        <f t="shared" si="2"/>
        <v>8398028.7999999989</v>
      </c>
    </row>
    <row r="55" spans="1:15">
      <c r="A55" s="80">
        <v>4930</v>
      </c>
      <c r="B55">
        <v>13550</v>
      </c>
      <c r="C55" s="83">
        <v>30</v>
      </c>
      <c r="D55" s="65">
        <f t="shared" si="3"/>
        <v>35121600000</v>
      </c>
      <c r="E55" s="40">
        <f t="shared" si="4"/>
        <v>806283.05903999996</v>
      </c>
      <c r="F55" s="40"/>
      <c r="G55" s="40"/>
      <c r="K55">
        <v>2010</v>
      </c>
      <c r="L55">
        <v>11630</v>
      </c>
      <c r="M55">
        <f t="shared" si="2"/>
        <v>8419747.8399999999</v>
      </c>
    </row>
    <row r="56" spans="1:15">
      <c r="A56" s="80">
        <v>4961</v>
      </c>
      <c r="B56">
        <v>14030</v>
      </c>
      <c r="C56" s="83">
        <v>31</v>
      </c>
      <c r="D56" s="65">
        <f t="shared" si="3"/>
        <v>37577952000</v>
      </c>
      <c r="E56" s="40">
        <f t="shared" si="4"/>
        <v>862673.28626880003</v>
      </c>
      <c r="F56" s="40"/>
      <c r="G56" s="40"/>
      <c r="K56">
        <v>2011</v>
      </c>
      <c r="L56">
        <v>17580</v>
      </c>
      <c r="M56">
        <f t="shared" si="2"/>
        <v>12727357.439999999</v>
      </c>
    </row>
    <row r="57" spans="1:15">
      <c r="A57" s="80">
        <v>4992</v>
      </c>
      <c r="B57">
        <v>13250</v>
      </c>
      <c r="C57" s="83">
        <v>31</v>
      </c>
      <c r="D57" s="65">
        <f t="shared" si="3"/>
        <v>35488800000</v>
      </c>
      <c r="E57" s="40">
        <f t="shared" si="4"/>
        <v>814712.83272000006</v>
      </c>
      <c r="F57" s="40"/>
      <c r="G57" s="40"/>
      <c r="K57">
        <v>2012</v>
      </c>
      <c r="L57">
        <v>13120</v>
      </c>
      <c r="M57">
        <f t="shared" si="2"/>
        <v>9498460.1600000001</v>
      </c>
    </row>
    <row r="58" spans="1:15">
      <c r="A58" s="80">
        <v>5022</v>
      </c>
      <c r="B58">
        <v>10210</v>
      </c>
      <c r="C58" s="83">
        <v>30</v>
      </c>
      <c r="D58" s="65">
        <f t="shared" si="3"/>
        <v>26464320000</v>
      </c>
      <c r="E58" s="40">
        <f t="shared" si="4"/>
        <v>607538.74780799996</v>
      </c>
      <c r="F58" s="40"/>
      <c r="G58" s="40"/>
      <c r="K58">
        <v>2013</v>
      </c>
      <c r="L58">
        <v>11410</v>
      </c>
      <c r="M58">
        <f t="shared" si="2"/>
        <v>8260474.8799999999</v>
      </c>
    </row>
    <row r="59" spans="1:15">
      <c r="A59" s="80">
        <v>5053</v>
      </c>
      <c r="B59">
        <v>7862</v>
      </c>
      <c r="C59" s="83">
        <v>31</v>
      </c>
      <c r="D59" s="65">
        <f t="shared" si="3"/>
        <v>21057580800</v>
      </c>
      <c r="E59" s="40">
        <f t="shared" si="4"/>
        <v>483416.77666752</v>
      </c>
      <c r="F59" s="40"/>
      <c r="G59" s="40"/>
      <c r="K59">
        <v>2014</v>
      </c>
      <c r="L59">
        <v>10450</v>
      </c>
      <c r="M59">
        <f t="shared" si="2"/>
        <v>7565465.5999999996</v>
      </c>
    </row>
    <row r="60" spans="1:15">
      <c r="A60" s="80">
        <v>5083</v>
      </c>
      <c r="B60">
        <v>11680</v>
      </c>
      <c r="C60" s="83">
        <v>30</v>
      </c>
      <c r="D60" s="65">
        <f t="shared" si="3"/>
        <v>30274560000</v>
      </c>
      <c r="E60" s="40">
        <f t="shared" si="4"/>
        <v>695010.04646400001</v>
      </c>
      <c r="F60" s="40"/>
      <c r="G60" s="40"/>
      <c r="K60">
        <v>2015</v>
      </c>
      <c r="L60">
        <v>12620</v>
      </c>
      <c r="M60">
        <f t="shared" si="2"/>
        <v>9136476.1600000001</v>
      </c>
    </row>
    <row r="61" spans="1:15">
      <c r="A61" s="80">
        <v>5114</v>
      </c>
      <c r="B61">
        <v>9671</v>
      </c>
      <c r="C61" s="83">
        <v>31</v>
      </c>
      <c r="D61" s="65">
        <f t="shared" si="3"/>
        <v>25902806400</v>
      </c>
      <c r="E61" s="40">
        <f t="shared" si="4"/>
        <v>594648.13624416001</v>
      </c>
      <c r="F61" s="40"/>
      <c r="G61" s="40"/>
      <c r="K61">
        <v>2016</v>
      </c>
      <c r="L61">
        <v>12560</v>
      </c>
      <c r="M61">
        <f t="shared" si="2"/>
        <v>9093038.0800000001</v>
      </c>
    </row>
    <row r="62" spans="1:15">
      <c r="A62" s="80">
        <v>5145</v>
      </c>
      <c r="B62">
        <v>13190</v>
      </c>
      <c r="C62" s="83">
        <v>31</v>
      </c>
      <c r="D62" s="65">
        <f t="shared" si="3"/>
        <v>35328096000</v>
      </c>
      <c r="E62" s="40">
        <f t="shared" si="4"/>
        <v>811023.56706240005</v>
      </c>
      <c r="F62" s="40"/>
      <c r="G62" s="40"/>
      <c r="K62">
        <v>2017</v>
      </c>
      <c r="L62">
        <v>12640</v>
      </c>
      <c r="M62">
        <f t="shared" si="2"/>
        <v>9150955.5199999996</v>
      </c>
      <c r="O62">
        <f>AVERAGE(M52:M62)</f>
        <v>9071319.0399999991</v>
      </c>
    </row>
    <row r="63" spans="1:15">
      <c r="A63" s="80">
        <v>5173</v>
      </c>
      <c r="B63">
        <v>10870</v>
      </c>
      <c r="C63" s="83">
        <v>28</v>
      </c>
      <c r="D63" s="65">
        <f t="shared" si="3"/>
        <v>26296704000</v>
      </c>
      <c r="E63" s="40">
        <f t="shared" si="4"/>
        <v>603690.80405759998</v>
      </c>
      <c r="F63" s="40"/>
      <c r="G63" s="40"/>
      <c r="H63" s="40">
        <f>SUM(E52:E63)</f>
        <v>8025196.1137401611</v>
      </c>
      <c r="K63">
        <v>2018</v>
      </c>
      <c r="L63">
        <v>12650</v>
      </c>
      <c r="M63">
        <f t="shared" si="2"/>
        <v>9158195.1999999993</v>
      </c>
    </row>
    <row r="64" spans="1:15">
      <c r="A64" s="80">
        <v>5204</v>
      </c>
      <c r="B64">
        <v>8288</v>
      </c>
      <c r="C64" s="83">
        <v>31</v>
      </c>
      <c r="D64" s="65">
        <f t="shared" si="3"/>
        <v>22198579200</v>
      </c>
      <c r="E64" s="40">
        <f t="shared" si="4"/>
        <v>509610.56283648004</v>
      </c>
      <c r="F64" s="40"/>
      <c r="G64" s="40"/>
      <c r="K64">
        <v>2019</v>
      </c>
      <c r="L64">
        <v>12770</v>
      </c>
      <c r="M64">
        <f t="shared" si="2"/>
        <v>9245071.3599999994</v>
      </c>
    </row>
    <row r="65" spans="1:8">
      <c r="A65" s="80">
        <v>5234</v>
      </c>
      <c r="B65">
        <v>8597</v>
      </c>
      <c r="C65" s="83">
        <v>30</v>
      </c>
      <c r="D65" s="65">
        <f t="shared" si="3"/>
        <v>22283424000</v>
      </c>
      <c r="E65" s="40">
        <f t="shared" si="4"/>
        <v>511558.33642559999</v>
      </c>
      <c r="F65" s="40"/>
      <c r="G65" s="40"/>
    </row>
    <row r="66" spans="1:8">
      <c r="A66" s="80">
        <v>5265</v>
      </c>
      <c r="B66">
        <v>8103</v>
      </c>
      <c r="C66" s="83">
        <v>31</v>
      </c>
      <c r="D66" s="65">
        <f t="shared" si="3"/>
        <v>21703075200</v>
      </c>
      <c r="E66" s="40">
        <f t="shared" si="4"/>
        <v>498235.32705888001</v>
      </c>
      <c r="F66" s="40"/>
      <c r="G66" s="40"/>
    </row>
    <row r="67" spans="1:8">
      <c r="A67" s="80">
        <v>5295</v>
      </c>
      <c r="B67">
        <v>10230</v>
      </c>
      <c r="C67" s="83">
        <v>30</v>
      </c>
      <c r="D67" s="65">
        <f t="shared" si="3"/>
        <v>26516160000</v>
      </c>
      <c r="E67" s="40">
        <f t="shared" si="4"/>
        <v>608728.83350399998</v>
      </c>
      <c r="F67" s="40"/>
      <c r="G67" s="40"/>
    </row>
    <row r="68" spans="1:8">
      <c r="A68" s="80">
        <v>5326</v>
      </c>
      <c r="B68">
        <v>13250</v>
      </c>
      <c r="C68" s="83">
        <v>31</v>
      </c>
      <c r="D68" s="65">
        <f t="shared" si="3"/>
        <v>35488800000</v>
      </c>
      <c r="E68" s="40">
        <f t="shared" si="4"/>
        <v>814712.83272000006</v>
      </c>
      <c r="F68" s="40"/>
      <c r="G68" s="40"/>
    </row>
    <row r="69" spans="1:8">
      <c r="A69" s="80">
        <v>5357</v>
      </c>
      <c r="B69">
        <v>13300</v>
      </c>
      <c r="C69" s="83">
        <v>31</v>
      </c>
      <c r="D69" s="65">
        <f t="shared" si="3"/>
        <v>35622720000</v>
      </c>
      <c r="E69" s="40">
        <f t="shared" si="4"/>
        <v>817787.220768</v>
      </c>
      <c r="F69" s="40"/>
      <c r="G69" s="40"/>
    </row>
    <row r="70" spans="1:8">
      <c r="A70" s="80">
        <v>5387</v>
      </c>
      <c r="B70">
        <v>10410</v>
      </c>
      <c r="C70" s="83">
        <v>30</v>
      </c>
      <c r="D70" s="65">
        <f t="shared" si="3"/>
        <v>26982720000</v>
      </c>
      <c r="E70" s="40">
        <f t="shared" si="4"/>
        <v>619439.60476799996</v>
      </c>
      <c r="F70" s="40"/>
      <c r="G70" s="40"/>
    </row>
    <row r="71" spans="1:8">
      <c r="A71" s="80">
        <v>5418</v>
      </c>
      <c r="B71">
        <v>9964</v>
      </c>
      <c r="C71" s="83">
        <v>31</v>
      </c>
      <c r="D71" s="65">
        <f t="shared" si="3"/>
        <v>26687577600</v>
      </c>
      <c r="E71" s="40">
        <f t="shared" si="4"/>
        <v>612664.05020544003</v>
      </c>
      <c r="F71" s="40"/>
      <c r="G71" s="40"/>
    </row>
    <row r="72" spans="1:8">
      <c r="A72" s="80">
        <v>5448</v>
      </c>
      <c r="B72">
        <v>13100</v>
      </c>
      <c r="C72" s="83">
        <v>30</v>
      </c>
      <c r="D72" s="65">
        <f t="shared" si="3"/>
        <v>33955200000</v>
      </c>
      <c r="E72" s="40">
        <f t="shared" si="4"/>
        <v>779506.13088000007</v>
      </c>
      <c r="F72" s="40"/>
      <c r="G72" s="40"/>
    </row>
    <row r="73" spans="1:8">
      <c r="A73" s="80">
        <v>5479</v>
      </c>
      <c r="B73">
        <v>14310</v>
      </c>
      <c r="C73" s="83">
        <v>31</v>
      </c>
      <c r="D73" s="65">
        <f t="shared" si="3"/>
        <v>38327904000</v>
      </c>
      <c r="E73" s="40">
        <f t="shared" si="4"/>
        <v>879889.85933760006</v>
      </c>
      <c r="F73" s="40"/>
      <c r="G73" s="40"/>
    </row>
    <row r="74" spans="1:8">
      <c r="A74" s="80">
        <v>5510</v>
      </c>
      <c r="B74">
        <v>14280</v>
      </c>
      <c r="C74" s="83">
        <v>31</v>
      </c>
      <c r="D74" s="65">
        <f t="shared" si="3"/>
        <v>38247552000</v>
      </c>
      <c r="E74" s="40">
        <f t="shared" si="4"/>
        <v>878045.22650880006</v>
      </c>
      <c r="F74" s="40"/>
      <c r="G74" s="40"/>
    </row>
    <row r="75" spans="1:8">
      <c r="A75" s="80">
        <v>5538</v>
      </c>
      <c r="B75">
        <v>10720</v>
      </c>
      <c r="C75" s="83">
        <v>28</v>
      </c>
      <c r="D75" s="65">
        <f t="shared" si="3"/>
        <v>25933824000</v>
      </c>
      <c r="E75" s="40">
        <f t="shared" si="4"/>
        <v>595360.20418560004</v>
      </c>
      <c r="F75" s="40"/>
      <c r="G75" s="40"/>
      <c r="H75" s="40">
        <f>SUM(E64:E75)</f>
        <v>8125538.1891984008</v>
      </c>
    </row>
    <row r="76" spans="1:8">
      <c r="A76" s="80">
        <v>5569</v>
      </c>
      <c r="B76">
        <v>10670</v>
      </c>
      <c r="C76" s="83">
        <v>31</v>
      </c>
      <c r="D76" s="65">
        <f t="shared" si="3"/>
        <v>28578528000</v>
      </c>
      <c r="E76" s="40">
        <f t="shared" si="4"/>
        <v>656074.40944319998</v>
      </c>
      <c r="F76" s="40"/>
      <c r="G76" s="40"/>
    </row>
    <row r="77" spans="1:8">
      <c r="A77" s="80">
        <v>5599</v>
      </c>
      <c r="B77">
        <v>10250</v>
      </c>
      <c r="C77" s="83">
        <v>30</v>
      </c>
      <c r="D77" s="65">
        <f t="shared" si="3"/>
        <v>26568000000</v>
      </c>
      <c r="E77" s="40">
        <f t="shared" si="4"/>
        <v>609918.9192</v>
      </c>
      <c r="F77" s="40"/>
      <c r="G77" s="40"/>
    </row>
    <row r="78" spans="1:8">
      <c r="A78" s="80">
        <v>5630</v>
      </c>
      <c r="B78">
        <v>11520</v>
      </c>
      <c r="C78" s="83">
        <v>31</v>
      </c>
      <c r="D78" s="65">
        <f t="shared" ref="D78:D85" si="5">B78*C78*86400</f>
        <v>30855168000</v>
      </c>
      <c r="E78" s="40">
        <f t="shared" ref="E78:E85" si="6">D78*0.0000229569</f>
        <v>708339.00625920005</v>
      </c>
      <c r="F78" s="40"/>
      <c r="G78" s="40"/>
    </row>
    <row r="79" spans="1:8">
      <c r="A79" s="80">
        <v>5660</v>
      </c>
      <c r="B79">
        <v>13470</v>
      </c>
      <c r="C79" s="83">
        <v>30</v>
      </c>
      <c r="D79" s="65">
        <f t="shared" si="5"/>
        <v>34914240000</v>
      </c>
      <c r="E79" s="40">
        <f t="shared" si="6"/>
        <v>801522.71625599999</v>
      </c>
      <c r="F79" s="40"/>
      <c r="G79" s="40"/>
    </row>
    <row r="80" spans="1:8">
      <c r="A80" s="80">
        <v>5691</v>
      </c>
      <c r="B80">
        <v>17500</v>
      </c>
      <c r="C80" s="83">
        <v>31</v>
      </c>
      <c r="D80" s="65">
        <f t="shared" si="5"/>
        <v>46872000000</v>
      </c>
      <c r="E80" s="40">
        <f t="shared" si="6"/>
        <v>1076035.8167999999</v>
      </c>
      <c r="F80" s="40"/>
      <c r="G80" s="40"/>
    </row>
    <row r="81" spans="1:7">
      <c r="A81" s="80">
        <v>5722</v>
      </c>
      <c r="B81">
        <v>13240</v>
      </c>
      <c r="C81" s="83">
        <v>31</v>
      </c>
      <c r="D81" s="65">
        <f t="shared" si="5"/>
        <v>35462016000</v>
      </c>
      <c r="E81" s="40">
        <f t="shared" si="6"/>
        <v>814097.95511039998</v>
      </c>
      <c r="F81" s="40"/>
      <c r="G81" s="40"/>
    </row>
    <row r="82" spans="1:7">
      <c r="A82" s="80">
        <v>5752</v>
      </c>
      <c r="B82">
        <v>12190</v>
      </c>
      <c r="C82" s="83">
        <v>30</v>
      </c>
      <c r="D82" s="65">
        <f t="shared" si="5"/>
        <v>31596480000</v>
      </c>
      <c r="E82" s="40">
        <f t="shared" si="6"/>
        <v>725357.23171199998</v>
      </c>
      <c r="F82" s="40"/>
      <c r="G82" s="40"/>
    </row>
    <row r="83" spans="1:7">
      <c r="A83" s="80">
        <v>5783</v>
      </c>
      <c r="B83">
        <v>9900</v>
      </c>
      <c r="C83" s="83">
        <v>31</v>
      </c>
      <c r="D83" s="65">
        <f t="shared" si="5"/>
        <v>26516160000</v>
      </c>
      <c r="E83" s="40">
        <f t="shared" si="6"/>
        <v>608728.83350399998</v>
      </c>
      <c r="F83" s="40"/>
      <c r="G83" s="40"/>
    </row>
    <row r="84" spans="1:7">
      <c r="A84" s="80">
        <v>5813</v>
      </c>
      <c r="B84">
        <v>9794</v>
      </c>
      <c r="C84" s="83">
        <v>30</v>
      </c>
      <c r="D84" s="65">
        <f t="shared" si="5"/>
        <v>25386048000</v>
      </c>
      <c r="E84" s="40">
        <f t="shared" si="6"/>
        <v>582784.96533120004</v>
      </c>
      <c r="F84" s="40"/>
      <c r="G84" s="40"/>
    </row>
    <row r="85" spans="1:7">
      <c r="A85" s="80">
        <v>5844</v>
      </c>
      <c r="B85">
        <v>14040</v>
      </c>
      <c r="C85" s="83">
        <v>31</v>
      </c>
      <c r="D85" s="65">
        <f t="shared" si="5"/>
        <v>37604736000</v>
      </c>
      <c r="E85" s="40">
        <f t="shared" si="6"/>
        <v>863288.1638784</v>
      </c>
      <c r="F85" s="40"/>
      <c r="G85" s="40"/>
    </row>
  </sheetData>
  <hyperlinks>
    <hyperlink ref="A2" r:id="rId1" display="https://waterdata.usgs.gov/az/nwis/monthly/?referred_module=sw&amp;amp;site_no=09380000&amp;amp;por_09380000_236239=19133,00060,236239,1921-10,2020-04&amp;amp;format=html_table&amp;amp;date_format=YYYY-MM-DD&amp;amp;rdb_compression=file&amp;amp;submitted_form=parameter_selection_list" xr:uid="{331F7364-8763-4E3C-8FAF-0E60841D705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E2F4D-5580-44E2-BC9C-2909D7F38A4D}">
  <dimension ref="A4:J76"/>
  <sheetViews>
    <sheetView topLeftCell="A4" workbookViewId="0">
      <selection activeCell="G18" sqref="G18"/>
    </sheetView>
  </sheetViews>
  <sheetFormatPr defaultColWidth="11.54296875" defaultRowHeight="14.5"/>
  <sheetData>
    <row r="4" spans="1:5">
      <c r="B4" t="s">
        <v>248</v>
      </c>
      <c r="C4" t="s">
        <v>247</v>
      </c>
      <c r="D4" t="s">
        <v>246</v>
      </c>
      <c r="E4" s="105" t="s">
        <v>245</v>
      </c>
    </row>
    <row r="5" spans="1:5">
      <c r="A5" s="80">
        <v>3684</v>
      </c>
      <c r="B5">
        <v>26.8</v>
      </c>
      <c r="C5" s="83">
        <v>31</v>
      </c>
      <c r="D5" s="65">
        <f>B5*C5*86400</f>
        <v>71781120</v>
      </c>
      <c r="E5" s="40">
        <f>D5*0.0000229569</f>
        <v>1647.871993728</v>
      </c>
    </row>
    <row r="6" spans="1:5">
      <c r="A6" s="80">
        <v>3712</v>
      </c>
      <c r="B6">
        <v>43.7</v>
      </c>
      <c r="C6" s="83">
        <v>28</v>
      </c>
      <c r="D6" s="65">
        <f t="shared" ref="D6:D69" si="0">B6*C6*86400</f>
        <v>105719040.00000001</v>
      </c>
      <c r="E6" s="40">
        <f t="shared" ref="E6:E69" si="1">D6*0.0000229569</f>
        <v>2426.9814293760005</v>
      </c>
    </row>
    <row r="7" spans="1:5">
      <c r="A7" s="80">
        <v>3743</v>
      </c>
      <c r="B7">
        <v>67.8</v>
      </c>
      <c r="C7" s="83">
        <v>31</v>
      </c>
      <c r="D7" s="65">
        <f t="shared" si="0"/>
        <v>181595519.99999997</v>
      </c>
      <c r="E7" s="40">
        <f t="shared" si="1"/>
        <v>4168.8701930879997</v>
      </c>
    </row>
    <row r="8" spans="1:5">
      <c r="A8" s="80">
        <v>3773</v>
      </c>
      <c r="B8">
        <v>34.9</v>
      </c>
      <c r="C8" s="83">
        <v>30</v>
      </c>
      <c r="D8" s="65">
        <f t="shared" si="0"/>
        <v>90460800</v>
      </c>
      <c r="E8" s="40">
        <f t="shared" si="1"/>
        <v>2076.6995395200001</v>
      </c>
    </row>
    <row r="9" spans="1:5">
      <c r="A9" s="80">
        <v>3804</v>
      </c>
      <c r="B9">
        <v>8.7899999999999991</v>
      </c>
      <c r="C9" s="83">
        <v>31</v>
      </c>
      <c r="D9" s="65">
        <f t="shared" si="0"/>
        <v>23543135.999999996</v>
      </c>
      <c r="E9" s="40">
        <f t="shared" si="1"/>
        <v>540.4774188383999</v>
      </c>
    </row>
    <row r="10" spans="1:5">
      <c r="A10" s="80">
        <v>3834</v>
      </c>
      <c r="B10">
        <v>4.51</v>
      </c>
      <c r="C10" s="83">
        <v>30</v>
      </c>
      <c r="D10" s="65">
        <f t="shared" si="0"/>
        <v>11689919.999999998</v>
      </c>
      <c r="E10" s="40">
        <f t="shared" si="1"/>
        <v>268.36432444799993</v>
      </c>
    </row>
    <row r="11" spans="1:5">
      <c r="A11" s="80">
        <v>3865</v>
      </c>
      <c r="B11">
        <v>19.2</v>
      </c>
      <c r="C11" s="83">
        <v>31</v>
      </c>
      <c r="D11" s="65">
        <f t="shared" si="0"/>
        <v>51425279.999999993</v>
      </c>
      <c r="E11" s="40">
        <f t="shared" si="1"/>
        <v>1180.5650104319998</v>
      </c>
    </row>
    <row r="12" spans="1:5">
      <c r="A12" s="80">
        <v>3896</v>
      </c>
      <c r="B12">
        <v>51.8</v>
      </c>
      <c r="C12" s="83">
        <v>31</v>
      </c>
      <c r="D12" s="65">
        <f t="shared" si="0"/>
        <v>138741120</v>
      </c>
      <c r="E12" s="40">
        <f t="shared" si="1"/>
        <v>3185.0660177280001</v>
      </c>
    </row>
    <row r="13" spans="1:5">
      <c r="A13" s="80">
        <v>3926</v>
      </c>
      <c r="B13">
        <v>4.82</v>
      </c>
      <c r="C13" s="83">
        <v>30</v>
      </c>
      <c r="D13" s="65">
        <f t="shared" si="0"/>
        <v>12493440.000000002</v>
      </c>
      <c r="E13" s="40">
        <f t="shared" si="1"/>
        <v>286.81065273600007</v>
      </c>
    </row>
    <row r="14" spans="1:5">
      <c r="A14" s="80">
        <v>3957</v>
      </c>
      <c r="B14">
        <v>100.5</v>
      </c>
      <c r="C14" s="83">
        <v>31</v>
      </c>
      <c r="D14" s="65">
        <f t="shared" si="0"/>
        <v>269179200</v>
      </c>
      <c r="E14" s="40">
        <f t="shared" si="1"/>
        <v>6179.51997648</v>
      </c>
    </row>
    <row r="15" spans="1:5">
      <c r="A15" s="80">
        <v>3987</v>
      </c>
      <c r="B15">
        <v>18.2</v>
      </c>
      <c r="C15" s="83">
        <v>30</v>
      </c>
      <c r="D15" s="65">
        <f t="shared" si="0"/>
        <v>47174400</v>
      </c>
      <c r="E15" s="40">
        <f t="shared" si="1"/>
        <v>1082.9779833600001</v>
      </c>
    </row>
    <row r="16" spans="1:5">
      <c r="A16" s="80">
        <v>4018</v>
      </c>
      <c r="B16">
        <v>74.400000000000006</v>
      </c>
      <c r="C16" s="83">
        <v>31</v>
      </c>
      <c r="D16" s="65">
        <f t="shared" si="0"/>
        <v>199272960</v>
      </c>
      <c r="E16" s="40">
        <f t="shared" si="1"/>
        <v>4574.6894154239999</v>
      </c>
    </row>
    <row r="17" spans="1:10">
      <c r="A17" s="80">
        <v>4049</v>
      </c>
      <c r="B17">
        <v>16.2</v>
      </c>
      <c r="C17" s="83">
        <v>31</v>
      </c>
      <c r="D17" s="65">
        <f t="shared" si="0"/>
        <v>43390080</v>
      </c>
      <c r="E17" s="40">
        <f t="shared" si="1"/>
        <v>996.10172755200006</v>
      </c>
    </row>
    <row r="18" spans="1:10">
      <c r="A18" s="80">
        <v>4077</v>
      </c>
      <c r="B18">
        <v>19.899999999999999</v>
      </c>
      <c r="C18" s="83">
        <v>28</v>
      </c>
      <c r="D18" s="65">
        <f t="shared" si="0"/>
        <v>48142079.999999993</v>
      </c>
      <c r="E18" s="40">
        <f t="shared" si="1"/>
        <v>1105.1929163519999</v>
      </c>
      <c r="G18" s="40">
        <f>SUM(E7:E18)</f>
        <v>25645.335175958397</v>
      </c>
      <c r="J18" s="40">
        <f>AVERAGE(G18,G30,G42,G54,G66)</f>
        <v>20244.285955802879</v>
      </c>
    </row>
    <row r="19" spans="1:10">
      <c r="A19" s="80">
        <v>4108</v>
      </c>
      <c r="B19">
        <v>39.799999999999997</v>
      </c>
      <c r="C19" s="83">
        <v>31</v>
      </c>
      <c r="D19" s="65">
        <f t="shared" si="0"/>
        <v>106600320</v>
      </c>
      <c r="E19" s="40">
        <f t="shared" si="1"/>
        <v>2447.2128862079999</v>
      </c>
    </row>
    <row r="20" spans="1:10">
      <c r="A20" s="80">
        <v>4138</v>
      </c>
      <c r="B20">
        <v>28.2</v>
      </c>
      <c r="C20" s="83">
        <v>30</v>
      </c>
      <c r="D20" s="65">
        <f t="shared" si="0"/>
        <v>73094400</v>
      </c>
      <c r="E20" s="40">
        <f t="shared" si="1"/>
        <v>1678.0208313600001</v>
      </c>
    </row>
    <row r="21" spans="1:10">
      <c r="A21" s="80">
        <v>4169</v>
      </c>
      <c r="B21">
        <v>15.8</v>
      </c>
      <c r="C21" s="83">
        <v>31</v>
      </c>
      <c r="D21" s="65">
        <f t="shared" si="0"/>
        <v>42318720</v>
      </c>
      <c r="E21" s="40">
        <f t="shared" si="1"/>
        <v>971.50662316800003</v>
      </c>
    </row>
    <row r="22" spans="1:10">
      <c r="A22" s="80">
        <v>4199</v>
      </c>
      <c r="B22">
        <v>7.65</v>
      </c>
      <c r="C22" s="83">
        <v>30</v>
      </c>
      <c r="D22" s="65">
        <f t="shared" si="0"/>
        <v>19828800</v>
      </c>
      <c r="E22" s="40">
        <f t="shared" si="1"/>
        <v>455.20777872000002</v>
      </c>
    </row>
    <row r="23" spans="1:10">
      <c r="A23" s="80">
        <v>4230</v>
      </c>
      <c r="B23">
        <v>6.26</v>
      </c>
      <c r="C23" s="83">
        <v>31</v>
      </c>
      <c r="D23" s="65">
        <f t="shared" si="0"/>
        <v>16766784</v>
      </c>
      <c r="E23" s="40">
        <f t="shared" si="1"/>
        <v>384.91338360960003</v>
      </c>
    </row>
    <row r="24" spans="1:10">
      <c r="A24" s="80">
        <v>4261</v>
      </c>
      <c r="B24">
        <v>10.199999999999999</v>
      </c>
      <c r="C24" s="83">
        <v>31</v>
      </c>
      <c r="D24" s="65">
        <f t="shared" si="0"/>
        <v>27319680</v>
      </c>
      <c r="E24" s="40">
        <f t="shared" si="1"/>
        <v>627.17516179200004</v>
      </c>
    </row>
    <row r="25" spans="1:10">
      <c r="A25" s="80">
        <v>4291</v>
      </c>
      <c r="B25">
        <v>34.9</v>
      </c>
      <c r="C25" s="83">
        <v>30</v>
      </c>
      <c r="D25" s="65">
        <f t="shared" si="0"/>
        <v>90460800</v>
      </c>
      <c r="E25" s="40">
        <f t="shared" si="1"/>
        <v>2076.6995395200001</v>
      </c>
    </row>
    <row r="26" spans="1:10">
      <c r="A26" s="80">
        <v>4322</v>
      </c>
      <c r="B26">
        <v>20.6</v>
      </c>
      <c r="C26" s="83">
        <v>31</v>
      </c>
      <c r="D26" s="65">
        <f t="shared" si="0"/>
        <v>55175040</v>
      </c>
      <c r="E26" s="40">
        <f t="shared" si="1"/>
        <v>1266.6478757760001</v>
      </c>
    </row>
    <row r="27" spans="1:10">
      <c r="A27" s="80">
        <v>4352</v>
      </c>
      <c r="B27">
        <v>11.6</v>
      </c>
      <c r="C27" s="83">
        <v>30</v>
      </c>
      <c r="D27" s="65">
        <f t="shared" si="0"/>
        <v>30067200</v>
      </c>
      <c r="E27" s="40">
        <f t="shared" si="1"/>
        <v>690.24970368000004</v>
      </c>
    </row>
    <row r="28" spans="1:10">
      <c r="A28" s="80">
        <v>4383</v>
      </c>
      <c r="B28">
        <v>14.1</v>
      </c>
      <c r="C28" s="83">
        <v>31</v>
      </c>
      <c r="D28" s="65">
        <f t="shared" si="0"/>
        <v>37765440</v>
      </c>
      <c r="E28" s="40">
        <f t="shared" si="1"/>
        <v>866.97742953600005</v>
      </c>
    </row>
    <row r="29" spans="1:10">
      <c r="A29" s="80">
        <v>4414</v>
      </c>
      <c r="B29">
        <v>22.4</v>
      </c>
      <c r="C29" s="83">
        <v>31</v>
      </c>
      <c r="D29" s="65">
        <f t="shared" si="0"/>
        <v>59996160</v>
      </c>
      <c r="E29" s="40">
        <f t="shared" si="1"/>
        <v>1377.325845504</v>
      </c>
    </row>
    <row r="30" spans="1:10">
      <c r="A30" s="80">
        <v>4443</v>
      </c>
      <c r="B30">
        <v>17.7</v>
      </c>
      <c r="C30" s="83">
        <v>29</v>
      </c>
      <c r="D30" s="65">
        <f t="shared" si="0"/>
        <v>44349119.999999993</v>
      </c>
      <c r="E30" s="40">
        <f t="shared" si="1"/>
        <v>1018.1183129279998</v>
      </c>
      <c r="G30" s="40">
        <f>SUM(E19:E30)</f>
        <v>13860.0553718016</v>
      </c>
    </row>
    <row r="31" spans="1:10">
      <c r="A31" s="80">
        <v>4474</v>
      </c>
      <c r="B31">
        <v>20.9</v>
      </c>
      <c r="C31" s="83">
        <v>31</v>
      </c>
      <c r="D31" s="65">
        <f t="shared" si="0"/>
        <v>55978560</v>
      </c>
      <c r="E31" s="40">
        <f t="shared" si="1"/>
        <v>1285.094204064</v>
      </c>
    </row>
    <row r="32" spans="1:10">
      <c r="A32" s="80">
        <v>4504</v>
      </c>
      <c r="B32">
        <v>9.74</v>
      </c>
      <c r="C32" s="83">
        <v>30</v>
      </c>
      <c r="D32" s="65">
        <f t="shared" si="0"/>
        <v>25246080</v>
      </c>
      <c r="E32" s="40">
        <f t="shared" si="1"/>
        <v>579.57173395200005</v>
      </c>
    </row>
    <row r="33" spans="1:7">
      <c r="A33" s="80">
        <v>4535</v>
      </c>
      <c r="B33">
        <v>3.17</v>
      </c>
      <c r="C33" s="83">
        <v>31</v>
      </c>
      <c r="D33" s="65">
        <f t="shared" si="0"/>
        <v>8490528</v>
      </c>
      <c r="E33" s="40">
        <f t="shared" si="1"/>
        <v>194.91620224319999</v>
      </c>
    </row>
    <row r="34" spans="1:7">
      <c r="A34" s="80">
        <v>4565</v>
      </c>
      <c r="B34">
        <v>2.34</v>
      </c>
      <c r="C34" s="83">
        <v>30</v>
      </c>
      <c r="D34" s="65">
        <f t="shared" si="0"/>
        <v>6065279.9999999991</v>
      </c>
      <c r="E34" s="40">
        <f t="shared" si="1"/>
        <v>139.24002643199998</v>
      </c>
    </row>
    <row r="35" spans="1:7">
      <c r="A35" s="80">
        <v>4596</v>
      </c>
      <c r="B35">
        <v>18.8</v>
      </c>
      <c r="C35" s="83">
        <v>31</v>
      </c>
      <c r="D35" s="65">
        <f t="shared" si="0"/>
        <v>50353920.000000007</v>
      </c>
      <c r="E35" s="40">
        <f t="shared" si="1"/>
        <v>1155.9699060480002</v>
      </c>
    </row>
    <row r="36" spans="1:7">
      <c r="A36" s="80">
        <v>4627</v>
      </c>
      <c r="B36">
        <v>85.2</v>
      </c>
      <c r="C36" s="83">
        <v>31</v>
      </c>
      <c r="D36" s="65">
        <f t="shared" si="0"/>
        <v>228199680.00000003</v>
      </c>
      <c r="E36" s="40">
        <f t="shared" si="1"/>
        <v>5238.757233792001</v>
      </c>
    </row>
    <row r="37" spans="1:7">
      <c r="A37" s="80">
        <v>4657</v>
      </c>
      <c r="B37">
        <v>25.5</v>
      </c>
      <c r="C37" s="83">
        <v>30</v>
      </c>
      <c r="D37" s="65">
        <f t="shared" si="0"/>
        <v>66096000</v>
      </c>
      <c r="E37" s="40">
        <f t="shared" si="1"/>
        <v>1517.3592624</v>
      </c>
    </row>
    <row r="38" spans="1:7">
      <c r="A38" s="80">
        <v>4688</v>
      </c>
      <c r="B38">
        <v>13.8</v>
      </c>
      <c r="C38" s="83">
        <v>31</v>
      </c>
      <c r="D38" s="65">
        <f t="shared" si="0"/>
        <v>36961920</v>
      </c>
      <c r="E38" s="40">
        <f t="shared" si="1"/>
        <v>848.53110124800003</v>
      </c>
    </row>
    <row r="39" spans="1:7">
      <c r="A39" s="80">
        <v>4718</v>
      </c>
      <c r="B39">
        <v>17.399999999999999</v>
      </c>
      <c r="C39" s="83">
        <v>30</v>
      </c>
      <c r="D39" s="65">
        <f t="shared" si="0"/>
        <v>45100800</v>
      </c>
      <c r="E39" s="40">
        <f t="shared" si="1"/>
        <v>1035.3745555200001</v>
      </c>
    </row>
    <row r="40" spans="1:7">
      <c r="A40" s="80">
        <v>4749</v>
      </c>
      <c r="B40">
        <v>19.600000000000001</v>
      </c>
      <c r="C40" s="83">
        <v>31</v>
      </c>
      <c r="D40" s="65">
        <f t="shared" si="0"/>
        <v>52496640</v>
      </c>
      <c r="E40" s="40">
        <f t="shared" si="1"/>
        <v>1205.160114816</v>
      </c>
    </row>
    <row r="41" spans="1:7">
      <c r="A41" s="80">
        <v>4780</v>
      </c>
      <c r="B41">
        <v>28.9</v>
      </c>
      <c r="C41" s="83">
        <v>31</v>
      </c>
      <c r="D41" s="65">
        <f t="shared" si="0"/>
        <v>77405760</v>
      </c>
      <c r="E41" s="40">
        <f t="shared" si="1"/>
        <v>1776.996291744</v>
      </c>
    </row>
    <row r="42" spans="1:7">
      <c r="A42" s="80">
        <v>4808</v>
      </c>
      <c r="B42">
        <v>21.4</v>
      </c>
      <c r="C42" s="83">
        <v>28</v>
      </c>
      <c r="D42" s="65">
        <f t="shared" si="0"/>
        <v>51770879.999999993</v>
      </c>
      <c r="E42" s="40">
        <f t="shared" si="1"/>
        <v>1188.4989150719998</v>
      </c>
      <c r="G42" s="40">
        <f>SUM(E31:E42)</f>
        <v>16165.4695473312</v>
      </c>
    </row>
    <row r="43" spans="1:7">
      <c r="A43" s="80">
        <v>4839</v>
      </c>
      <c r="B43">
        <v>21.2</v>
      </c>
      <c r="C43" s="83">
        <v>31</v>
      </c>
      <c r="D43" s="65">
        <f t="shared" si="0"/>
        <v>56782079.999999993</v>
      </c>
      <c r="E43" s="40">
        <f t="shared" si="1"/>
        <v>1303.5405323519999</v>
      </c>
    </row>
    <row r="44" spans="1:7">
      <c r="A44" s="80">
        <v>4869</v>
      </c>
      <c r="B44">
        <v>11.5</v>
      </c>
      <c r="C44" s="83">
        <v>30</v>
      </c>
      <c r="D44" s="65">
        <f t="shared" si="0"/>
        <v>29808000</v>
      </c>
      <c r="E44" s="40">
        <f t="shared" si="1"/>
        <v>684.29927520000001</v>
      </c>
    </row>
    <row r="45" spans="1:7">
      <c r="A45" s="80">
        <v>4900</v>
      </c>
      <c r="B45">
        <v>8.23</v>
      </c>
      <c r="C45" s="83">
        <v>31</v>
      </c>
      <c r="D45" s="65">
        <f t="shared" si="0"/>
        <v>22043232.000000004</v>
      </c>
      <c r="E45" s="40">
        <f t="shared" si="1"/>
        <v>506.04427270080009</v>
      </c>
    </row>
    <row r="46" spans="1:7">
      <c r="A46" s="80">
        <v>4930</v>
      </c>
      <c r="B46">
        <v>6.38</v>
      </c>
      <c r="C46" s="83">
        <v>30</v>
      </c>
      <c r="D46" s="65">
        <f t="shared" si="0"/>
        <v>16536960</v>
      </c>
      <c r="E46" s="40">
        <f t="shared" si="1"/>
        <v>379.63733702400003</v>
      </c>
    </row>
    <row r="47" spans="1:7">
      <c r="A47" s="80">
        <v>4961</v>
      </c>
      <c r="B47">
        <v>27.5</v>
      </c>
      <c r="C47" s="83">
        <v>31</v>
      </c>
      <c r="D47" s="65">
        <f t="shared" si="0"/>
        <v>73656000</v>
      </c>
      <c r="E47" s="40">
        <f t="shared" si="1"/>
        <v>1690.9134263999999</v>
      </c>
    </row>
    <row r="48" spans="1:7">
      <c r="A48" s="80">
        <v>4992</v>
      </c>
      <c r="B48">
        <v>47.1</v>
      </c>
      <c r="C48" s="83">
        <v>31</v>
      </c>
      <c r="D48" s="65">
        <f t="shared" si="0"/>
        <v>126152640.00000001</v>
      </c>
      <c r="E48" s="40">
        <f t="shared" si="1"/>
        <v>2896.0735412160002</v>
      </c>
    </row>
    <row r="49" spans="1:7">
      <c r="A49" s="80">
        <v>5022</v>
      </c>
      <c r="B49">
        <v>188.4</v>
      </c>
      <c r="C49" s="83">
        <v>30</v>
      </c>
      <c r="D49" s="65">
        <f t="shared" si="0"/>
        <v>488332800</v>
      </c>
      <c r="E49" s="40">
        <f t="shared" si="1"/>
        <v>11210.60725632</v>
      </c>
    </row>
    <row r="50" spans="1:7">
      <c r="A50" s="80">
        <v>5053</v>
      </c>
      <c r="B50">
        <v>18.7</v>
      </c>
      <c r="C50" s="83">
        <v>31</v>
      </c>
      <c r="D50" s="65">
        <f t="shared" si="0"/>
        <v>50086079.999999993</v>
      </c>
      <c r="E50" s="40">
        <f t="shared" si="1"/>
        <v>1149.8211299519999</v>
      </c>
    </row>
    <row r="51" spans="1:7">
      <c r="A51" s="80">
        <v>5083</v>
      </c>
      <c r="B51">
        <v>34.299999999999997</v>
      </c>
      <c r="C51" s="83">
        <v>30</v>
      </c>
      <c r="D51" s="65">
        <f t="shared" si="0"/>
        <v>88905600</v>
      </c>
      <c r="E51" s="40">
        <f t="shared" si="1"/>
        <v>2040.99696864</v>
      </c>
    </row>
    <row r="52" spans="1:7">
      <c r="A52" s="80">
        <v>5114</v>
      </c>
      <c r="B52">
        <v>25.3</v>
      </c>
      <c r="C52" s="83">
        <v>31</v>
      </c>
      <c r="D52" s="65">
        <f t="shared" si="0"/>
        <v>67763520</v>
      </c>
      <c r="E52" s="40">
        <f t="shared" si="1"/>
        <v>1555.640352288</v>
      </c>
    </row>
    <row r="53" spans="1:7">
      <c r="A53" s="80">
        <v>5145</v>
      </c>
      <c r="B53">
        <v>20.8</v>
      </c>
      <c r="C53" s="83">
        <v>31</v>
      </c>
      <c r="D53" s="65">
        <f t="shared" si="0"/>
        <v>55710720.000000007</v>
      </c>
      <c r="E53" s="40">
        <f t="shared" si="1"/>
        <v>1278.9454279680001</v>
      </c>
    </row>
    <row r="54" spans="1:7">
      <c r="A54" s="80">
        <v>5173</v>
      </c>
      <c r="B54">
        <v>21.9</v>
      </c>
      <c r="C54" s="83">
        <v>28</v>
      </c>
      <c r="D54" s="65">
        <f t="shared" si="0"/>
        <v>52980479.999999993</v>
      </c>
      <c r="E54" s="40">
        <f t="shared" si="1"/>
        <v>1216.2675813119999</v>
      </c>
      <c r="G54" s="40">
        <f>SUM(E43:E54)</f>
        <v>25912.7871013728</v>
      </c>
    </row>
    <row r="55" spans="1:7">
      <c r="A55" s="80">
        <v>5204</v>
      </c>
      <c r="B55">
        <v>23.6</v>
      </c>
      <c r="C55" s="83">
        <v>31</v>
      </c>
      <c r="D55" s="65">
        <f t="shared" si="0"/>
        <v>63210240</v>
      </c>
      <c r="E55" s="40">
        <f t="shared" si="1"/>
        <v>1451.111158656</v>
      </c>
    </row>
    <row r="56" spans="1:7">
      <c r="A56" s="80">
        <v>5234</v>
      </c>
      <c r="B56">
        <v>8.7100000000000009</v>
      </c>
      <c r="C56" s="83">
        <v>30</v>
      </c>
      <c r="D56" s="65">
        <f t="shared" si="0"/>
        <v>22576320</v>
      </c>
      <c r="E56" s="40">
        <f t="shared" si="1"/>
        <v>518.28232060799996</v>
      </c>
    </row>
    <row r="57" spans="1:7">
      <c r="A57" s="80">
        <v>5265</v>
      </c>
      <c r="B57">
        <v>4.45</v>
      </c>
      <c r="C57" s="83">
        <v>31</v>
      </c>
      <c r="D57" s="65">
        <f t="shared" si="0"/>
        <v>11918880.000000002</v>
      </c>
      <c r="E57" s="40">
        <f t="shared" si="1"/>
        <v>273.62053627200004</v>
      </c>
    </row>
    <row r="58" spans="1:7">
      <c r="A58" s="80">
        <v>5295</v>
      </c>
      <c r="B58">
        <v>3.38</v>
      </c>
      <c r="C58" s="83">
        <v>30</v>
      </c>
      <c r="D58" s="65">
        <f t="shared" si="0"/>
        <v>8760960</v>
      </c>
      <c r="E58" s="40">
        <f t="shared" si="1"/>
        <v>201.124482624</v>
      </c>
    </row>
    <row r="59" spans="1:7">
      <c r="A59" s="80">
        <v>5326</v>
      </c>
      <c r="B59">
        <v>4.6399999999999997</v>
      </c>
      <c r="C59" s="83">
        <v>31</v>
      </c>
      <c r="D59" s="65">
        <f t="shared" si="0"/>
        <v>12427776</v>
      </c>
      <c r="E59" s="40">
        <f t="shared" si="1"/>
        <v>285.30321085439999</v>
      </c>
    </row>
    <row r="60" spans="1:7">
      <c r="A60" s="80">
        <v>5357</v>
      </c>
      <c r="B60">
        <v>49.8</v>
      </c>
      <c r="C60" s="83">
        <v>31</v>
      </c>
      <c r="D60" s="65">
        <f t="shared" si="0"/>
        <v>133384320</v>
      </c>
      <c r="E60" s="40">
        <f t="shared" si="1"/>
        <v>3062.090495808</v>
      </c>
    </row>
    <row r="61" spans="1:7">
      <c r="A61" s="80">
        <v>5387</v>
      </c>
      <c r="B61">
        <v>153.5</v>
      </c>
      <c r="C61" s="83">
        <v>30</v>
      </c>
      <c r="D61" s="65">
        <f t="shared" si="0"/>
        <v>397872000</v>
      </c>
      <c r="E61" s="40">
        <f t="shared" si="1"/>
        <v>9133.9077168000003</v>
      </c>
    </row>
    <row r="62" spans="1:7">
      <c r="A62" s="80">
        <v>5418</v>
      </c>
      <c r="B62">
        <v>13.8</v>
      </c>
      <c r="C62" s="83">
        <v>31</v>
      </c>
      <c r="D62" s="65">
        <f t="shared" si="0"/>
        <v>36961920</v>
      </c>
      <c r="E62" s="40">
        <f t="shared" si="1"/>
        <v>848.53110124800003</v>
      </c>
    </row>
    <row r="63" spans="1:7">
      <c r="A63" s="80">
        <v>5448</v>
      </c>
      <c r="B63">
        <v>13</v>
      </c>
      <c r="C63" s="83">
        <v>30</v>
      </c>
      <c r="D63" s="65">
        <f t="shared" si="0"/>
        <v>33696000</v>
      </c>
      <c r="E63" s="40">
        <f t="shared" si="1"/>
        <v>773.55570239999997</v>
      </c>
    </row>
    <row r="64" spans="1:7">
      <c r="A64" s="80">
        <v>5479</v>
      </c>
      <c r="B64">
        <v>14.5</v>
      </c>
      <c r="C64" s="83">
        <v>31</v>
      </c>
      <c r="D64" s="65">
        <f t="shared" si="0"/>
        <v>38836800</v>
      </c>
      <c r="E64" s="40">
        <f t="shared" si="1"/>
        <v>891.57253392000007</v>
      </c>
    </row>
    <row r="65" spans="1:7">
      <c r="A65" s="80">
        <v>5510</v>
      </c>
      <c r="B65">
        <v>16.7</v>
      </c>
      <c r="C65" s="83">
        <v>31</v>
      </c>
      <c r="D65" s="65">
        <f t="shared" si="0"/>
        <v>44729279.999999993</v>
      </c>
      <c r="E65" s="40">
        <f t="shared" si="1"/>
        <v>1026.8456080319997</v>
      </c>
    </row>
    <row r="66" spans="1:7">
      <c r="A66" s="80">
        <v>5538</v>
      </c>
      <c r="B66">
        <v>21.1</v>
      </c>
      <c r="C66" s="83">
        <v>28</v>
      </c>
      <c r="D66" s="65">
        <f t="shared" si="0"/>
        <v>51045120.000000007</v>
      </c>
      <c r="E66" s="40">
        <f t="shared" si="1"/>
        <v>1171.8377153280003</v>
      </c>
      <c r="G66" s="40">
        <f>SUM(E55:E66)</f>
        <v>19637.782582550401</v>
      </c>
    </row>
    <row r="67" spans="1:7">
      <c r="A67" s="80">
        <v>5569</v>
      </c>
      <c r="B67">
        <v>46.2</v>
      </c>
      <c r="C67" s="83">
        <v>31</v>
      </c>
      <c r="D67" s="65">
        <f t="shared" si="0"/>
        <v>123742080</v>
      </c>
      <c r="E67" s="40">
        <f t="shared" si="1"/>
        <v>2840.7345563520003</v>
      </c>
    </row>
    <row r="68" spans="1:7">
      <c r="A68" s="80">
        <v>5599</v>
      </c>
      <c r="B68">
        <v>10.199999999999999</v>
      </c>
      <c r="C68" s="83">
        <v>30</v>
      </c>
      <c r="D68" s="65">
        <f t="shared" si="0"/>
        <v>26438400</v>
      </c>
      <c r="E68" s="40">
        <f t="shared" si="1"/>
        <v>606.94370495999999</v>
      </c>
    </row>
    <row r="69" spans="1:7">
      <c r="A69" s="80">
        <v>5630</v>
      </c>
      <c r="B69">
        <v>18.8</v>
      </c>
      <c r="C69" s="83">
        <v>31</v>
      </c>
      <c r="D69" s="65">
        <f t="shared" si="0"/>
        <v>50353920.000000007</v>
      </c>
      <c r="E69" s="40">
        <f t="shared" si="1"/>
        <v>1155.9699060480002</v>
      </c>
    </row>
    <row r="70" spans="1:7">
      <c r="A70" s="80">
        <v>5660</v>
      </c>
      <c r="B70">
        <v>51</v>
      </c>
      <c r="C70" s="83">
        <v>30</v>
      </c>
      <c r="D70" s="65">
        <f t="shared" ref="D70:D76" si="2">B70*C70*86400</f>
        <v>132192000</v>
      </c>
      <c r="E70" s="40">
        <f t="shared" ref="E70:E76" si="3">D70*0.0000229569</f>
        <v>3034.7185248000001</v>
      </c>
    </row>
    <row r="71" spans="1:7">
      <c r="A71" s="80">
        <v>5691</v>
      </c>
      <c r="B71">
        <v>13.7</v>
      </c>
      <c r="C71" s="83">
        <v>31</v>
      </c>
      <c r="D71" s="65">
        <f t="shared" si="2"/>
        <v>36694080</v>
      </c>
      <c r="E71" s="40">
        <f t="shared" si="3"/>
        <v>842.38232515200002</v>
      </c>
    </row>
    <row r="72" spans="1:7">
      <c r="A72" s="80">
        <v>5722</v>
      </c>
      <c r="B72">
        <v>69.099999999999994</v>
      </c>
      <c r="C72" s="83">
        <v>31</v>
      </c>
      <c r="D72" s="65">
        <f t="shared" si="2"/>
        <v>185077440</v>
      </c>
      <c r="E72" s="40">
        <f t="shared" si="3"/>
        <v>4248.8042823360001</v>
      </c>
    </row>
    <row r="73" spans="1:7">
      <c r="A73" s="80">
        <v>5752</v>
      </c>
      <c r="B73">
        <v>59</v>
      </c>
      <c r="C73" s="83">
        <v>30</v>
      </c>
      <c r="D73" s="65">
        <f t="shared" si="2"/>
        <v>152928000</v>
      </c>
      <c r="E73" s="40">
        <f t="shared" si="3"/>
        <v>3510.7528032</v>
      </c>
    </row>
    <row r="74" spans="1:7">
      <c r="A74" s="80">
        <v>5783</v>
      </c>
      <c r="B74">
        <v>85.9</v>
      </c>
      <c r="C74" s="83">
        <v>31</v>
      </c>
      <c r="D74" s="65">
        <f t="shared" si="2"/>
        <v>230074560</v>
      </c>
      <c r="E74" s="40">
        <f t="shared" si="3"/>
        <v>5281.7986664640002</v>
      </c>
    </row>
    <row r="75" spans="1:7">
      <c r="A75" s="80">
        <v>5813</v>
      </c>
      <c r="B75">
        <v>18.8</v>
      </c>
      <c r="C75" s="83">
        <v>30</v>
      </c>
      <c r="D75" s="65">
        <f t="shared" si="2"/>
        <v>48729600</v>
      </c>
      <c r="E75" s="40">
        <f t="shared" si="3"/>
        <v>1118.68055424</v>
      </c>
    </row>
    <row r="76" spans="1:7">
      <c r="A76" s="80">
        <v>5844</v>
      </c>
      <c r="B76">
        <v>15.9</v>
      </c>
      <c r="C76" s="83">
        <v>31</v>
      </c>
      <c r="D76" s="65">
        <f t="shared" si="2"/>
        <v>42586560</v>
      </c>
      <c r="E76" s="40">
        <f t="shared" si="3"/>
        <v>977.65539926400004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FB8F-E0B5-4448-8BEE-F626387A43FC}">
  <dimension ref="A4:J76"/>
  <sheetViews>
    <sheetView workbookViewId="0">
      <selection activeCell="B4" sqref="B4:E4"/>
    </sheetView>
  </sheetViews>
  <sheetFormatPr defaultColWidth="11.54296875" defaultRowHeight="14.5"/>
  <cols>
    <col min="4" max="4" width="13" customWidth="1"/>
  </cols>
  <sheetData>
    <row r="4" spans="1:5">
      <c r="B4" t="s">
        <v>248</v>
      </c>
      <c r="C4" t="s">
        <v>247</v>
      </c>
      <c r="D4" t="s">
        <v>246</v>
      </c>
      <c r="E4" s="105" t="s">
        <v>245</v>
      </c>
    </row>
    <row r="5" spans="1:5">
      <c r="A5" s="80">
        <v>3684</v>
      </c>
      <c r="B5">
        <v>237.3</v>
      </c>
      <c r="C5" s="83">
        <v>31</v>
      </c>
      <c r="D5" s="65">
        <f t="shared" ref="D5:D36" si="0">B5*C5*86400</f>
        <v>635584320</v>
      </c>
      <c r="E5" s="40">
        <f t="shared" ref="E5:E36" si="1">D5*0.0000229569</f>
        <v>14591.045675808</v>
      </c>
    </row>
    <row r="6" spans="1:5">
      <c r="A6" s="80">
        <v>3712</v>
      </c>
      <c r="B6">
        <v>48.8</v>
      </c>
      <c r="C6" s="83">
        <v>28</v>
      </c>
      <c r="D6" s="65">
        <f t="shared" si="0"/>
        <v>118056959.99999999</v>
      </c>
      <c r="E6" s="40">
        <f t="shared" si="1"/>
        <v>2710.2218250239998</v>
      </c>
    </row>
    <row r="7" spans="1:5">
      <c r="A7" s="80">
        <v>3743</v>
      </c>
      <c r="B7">
        <v>595.1</v>
      </c>
      <c r="C7" s="83">
        <v>31</v>
      </c>
      <c r="D7" s="65">
        <f t="shared" si="0"/>
        <v>1593915840.0000002</v>
      </c>
      <c r="E7" s="40">
        <f t="shared" si="1"/>
        <v>36591.366547296006</v>
      </c>
    </row>
    <row r="8" spans="1:5">
      <c r="A8" s="80">
        <v>3773</v>
      </c>
      <c r="B8">
        <v>1088</v>
      </c>
      <c r="C8" s="83">
        <v>30</v>
      </c>
      <c r="D8" s="65">
        <f t="shared" si="0"/>
        <v>2820096000</v>
      </c>
      <c r="E8" s="40">
        <f t="shared" si="1"/>
        <v>64740.661862400004</v>
      </c>
    </row>
    <row r="9" spans="1:5">
      <c r="A9" s="80">
        <v>3804</v>
      </c>
      <c r="B9">
        <v>63.9</v>
      </c>
      <c r="C9" s="83">
        <v>31</v>
      </c>
      <c r="D9" s="65">
        <f t="shared" si="0"/>
        <v>171149760</v>
      </c>
      <c r="E9" s="40">
        <f t="shared" si="1"/>
        <v>3929.0679253440003</v>
      </c>
    </row>
    <row r="10" spans="1:5">
      <c r="A10" s="80">
        <v>3834</v>
      </c>
      <c r="B10">
        <v>0</v>
      </c>
      <c r="C10" s="83">
        <v>30</v>
      </c>
      <c r="D10" s="65">
        <f t="shared" si="0"/>
        <v>0</v>
      </c>
      <c r="E10" s="40">
        <f t="shared" si="1"/>
        <v>0</v>
      </c>
    </row>
    <row r="11" spans="1:5">
      <c r="A11" s="80">
        <v>3865</v>
      </c>
      <c r="B11">
        <v>159.6</v>
      </c>
      <c r="C11" s="83">
        <v>31</v>
      </c>
      <c r="D11" s="65">
        <f t="shared" si="0"/>
        <v>427472639.99999994</v>
      </c>
      <c r="E11" s="40">
        <f t="shared" si="1"/>
        <v>9813.4466492159991</v>
      </c>
    </row>
    <row r="12" spans="1:5">
      <c r="A12" s="80">
        <v>3896</v>
      </c>
      <c r="B12">
        <v>963.4</v>
      </c>
      <c r="C12" s="83">
        <v>31</v>
      </c>
      <c r="D12" s="65">
        <f t="shared" si="0"/>
        <v>2580370560</v>
      </c>
      <c r="E12" s="40">
        <f t="shared" si="1"/>
        <v>59237.308908864004</v>
      </c>
    </row>
    <row r="13" spans="1:5">
      <c r="A13" s="80">
        <v>3926</v>
      </c>
      <c r="B13">
        <v>262.5</v>
      </c>
      <c r="C13" s="83">
        <v>30</v>
      </c>
      <c r="D13" s="65">
        <f t="shared" si="0"/>
        <v>680400000</v>
      </c>
      <c r="E13" s="40">
        <f t="shared" si="1"/>
        <v>15619.874760000001</v>
      </c>
    </row>
    <row r="14" spans="1:5">
      <c r="A14" s="80">
        <v>3957</v>
      </c>
      <c r="B14">
        <v>168.2</v>
      </c>
      <c r="C14" s="83">
        <v>31</v>
      </c>
      <c r="D14" s="65">
        <f t="shared" si="0"/>
        <v>450506880</v>
      </c>
      <c r="E14" s="40">
        <f t="shared" si="1"/>
        <v>10342.241393472001</v>
      </c>
    </row>
    <row r="15" spans="1:5">
      <c r="A15" s="80">
        <v>3987</v>
      </c>
      <c r="B15">
        <v>0</v>
      </c>
      <c r="C15" s="83">
        <v>30</v>
      </c>
      <c r="D15" s="65">
        <f t="shared" si="0"/>
        <v>0</v>
      </c>
      <c r="E15" s="40">
        <f t="shared" si="1"/>
        <v>0</v>
      </c>
    </row>
    <row r="16" spans="1:5">
      <c r="A16" s="80">
        <v>4018</v>
      </c>
      <c r="B16">
        <v>6.44</v>
      </c>
      <c r="C16" s="83">
        <v>31</v>
      </c>
      <c r="D16" s="65">
        <f t="shared" si="0"/>
        <v>17248896</v>
      </c>
      <c r="E16" s="40">
        <f t="shared" si="1"/>
        <v>395.98118058239999</v>
      </c>
    </row>
    <row r="17" spans="1:10">
      <c r="A17" s="80">
        <v>4049</v>
      </c>
      <c r="B17">
        <v>1.05</v>
      </c>
      <c r="C17" s="83">
        <v>31</v>
      </c>
      <c r="D17" s="65">
        <f t="shared" si="0"/>
        <v>2812320.0000000005</v>
      </c>
      <c r="E17" s="40">
        <f t="shared" si="1"/>
        <v>64.562149008000006</v>
      </c>
    </row>
    <row r="18" spans="1:10">
      <c r="A18" s="80">
        <v>4077</v>
      </c>
      <c r="B18">
        <v>8.9</v>
      </c>
      <c r="C18" s="83">
        <v>28</v>
      </c>
      <c r="D18" s="65">
        <f t="shared" si="0"/>
        <v>21530880</v>
      </c>
      <c r="E18" s="40">
        <f t="shared" si="1"/>
        <v>494.28225907199999</v>
      </c>
      <c r="G18" s="40">
        <f>SUM(E7:E18)</f>
        <v>201228.79363525443</v>
      </c>
      <c r="J18" s="40">
        <f>AVERAGE(G18,G30,G42,G54,G66)</f>
        <v>96131.56178647757</v>
      </c>
    </row>
    <row r="19" spans="1:10">
      <c r="A19" s="80">
        <v>4108</v>
      </c>
      <c r="B19">
        <v>199.9</v>
      </c>
      <c r="C19" s="83">
        <v>31</v>
      </c>
      <c r="D19" s="65">
        <f t="shared" si="0"/>
        <v>535412160.00000006</v>
      </c>
      <c r="E19" s="40">
        <f t="shared" si="1"/>
        <v>12291.403415904002</v>
      </c>
    </row>
    <row r="20" spans="1:10">
      <c r="A20" s="80">
        <v>4138</v>
      </c>
      <c r="B20">
        <v>71.8</v>
      </c>
      <c r="C20" s="83">
        <v>30</v>
      </c>
      <c r="D20" s="65">
        <f t="shared" si="0"/>
        <v>186105600</v>
      </c>
      <c r="E20" s="40">
        <f t="shared" si="1"/>
        <v>4272.4076486399999</v>
      </c>
    </row>
    <row r="21" spans="1:10">
      <c r="A21" s="80">
        <v>4169</v>
      </c>
      <c r="B21">
        <v>0</v>
      </c>
      <c r="C21" s="83">
        <v>31</v>
      </c>
      <c r="D21" s="65">
        <f t="shared" si="0"/>
        <v>0</v>
      </c>
      <c r="E21" s="40">
        <f t="shared" si="1"/>
        <v>0</v>
      </c>
    </row>
    <row r="22" spans="1:10">
      <c r="A22" s="80">
        <v>4199</v>
      </c>
      <c r="B22">
        <v>0</v>
      </c>
      <c r="C22" s="83">
        <v>30</v>
      </c>
      <c r="D22" s="65">
        <f t="shared" si="0"/>
        <v>0</v>
      </c>
      <c r="E22" s="40">
        <f t="shared" si="1"/>
        <v>0</v>
      </c>
    </row>
    <row r="23" spans="1:10">
      <c r="A23" s="80">
        <v>4230</v>
      </c>
      <c r="B23">
        <v>30.3</v>
      </c>
      <c r="C23" s="83">
        <v>31</v>
      </c>
      <c r="D23" s="65">
        <f t="shared" si="0"/>
        <v>81155520</v>
      </c>
      <c r="E23" s="40">
        <f t="shared" si="1"/>
        <v>1863.0791570880001</v>
      </c>
    </row>
    <row r="24" spans="1:10">
      <c r="A24" s="80">
        <v>4261</v>
      </c>
      <c r="B24">
        <v>75.5</v>
      </c>
      <c r="C24" s="83">
        <v>31</v>
      </c>
      <c r="D24" s="65">
        <f t="shared" si="0"/>
        <v>202219200</v>
      </c>
      <c r="E24" s="40">
        <f t="shared" si="1"/>
        <v>4642.3259524800005</v>
      </c>
    </row>
    <row r="25" spans="1:10">
      <c r="A25" s="80">
        <v>4291</v>
      </c>
      <c r="B25">
        <v>241.3</v>
      </c>
      <c r="C25" s="83">
        <v>30</v>
      </c>
      <c r="D25" s="65">
        <f t="shared" si="0"/>
        <v>625449600</v>
      </c>
      <c r="E25" s="40">
        <f t="shared" si="1"/>
        <v>14358.38392224</v>
      </c>
    </row>
    <row r="26" spans="1:10">
      <c r="A26" s="80">
        <v>4322</v>
      </c>
      <c r="B26">
        <v>18.600000000000001</v>
      </c>
      <c r="C26" s="83">
        <v>31</v>
      </c>
      <c r="D26" s="65">
        <f t="shared" si="0"/>
        <v>49818240</v>
      </c>
      <c r="E26" s="40">
        <f t="shared" si="1"/>
        <v>1143.672353856</v>
      </c>
    </row>
    <row r="27" spans="1:10">
      <c r="A27" s="80">
        <v>4352</v>
      </c>
      <c r="B27">
        <v>16.899999999999999</v>
      </c>
      <c r="C27" s="83">
        <v>30</v>
      </c>
      <c r="D27" s="65">
        <f t="shared" si="0"/>
        <v>43804799.999999993</v>
      </c>
      <c r="E27" s="40">
        <f t="shared" si="1"/>
        <v>1005.6224131199998</v>
      </c>
    </row>
    <row r="28" spans="1:10">
      <c r="A28" s="80">
        <v>4383</v>
      </c>
      <c r="B28">
        <v>54.4</v>
      </c>
      <c r="C28" s="83">
        <v>31</v>
      </c>
      <c r="D28" s="65">
        <f t="shared" si="0"/>
        <v>145704960</v>
      </c>
      <c r="E28" s="40">
        <f t="shared" si="1"/>
        <v>3344.9341962240001</v>
      </c>
    </row>
    <row r="29" spans="1:10">
      <c r="A29" s="80">
        <v>4414</v>
      </c>
      <c r="B29">
        <v>1.1499999999999999</v>
      </c>
      <c r="C29" s="83">
        <v>31</v>
      </c>
      <c r="D29" s="65">
        <f t="shared" si="0"/>
        <v>3080160</v>
      </c>
      <c r="E29" s="40">
        <f t="shared" si="1"/>
        <v>70.710925103999998</v>
      </c>
    </row>
    <row r="30" spans="1:10">
      <c r="A30" s="80">
        <v>4443</v>
      </c>
      <c r="B30">
        <v>0</v>
      </c>
      <c r="C30" s="83">
        <v>29</v>
      </c>
      <c r="D30" s="65">
        <f t="shared" si="0"/>
        <v>0</v>
      </c>
      <c r="E30" s="40">
        <f t="shared" si="1"/>
        <v>0</v>
      </c>
      <c r="G30" s="40">
        <f>SUM(E19:E30)</f>
        <v>42992.53998465601</v>
      </c>
    </row>
    <row r="31" spans="1:10">
      <c r="A31" s="80">
        <v>4474</v>
      </c>
      <c r="B31">
        <v>49.8</v>
      </c>
      <c r="C31" s="83">
        <v>31</v>
      </c>
      <c r="D31" s="65">
        <f t="shared" si="0"/>
        <v>133384320</v>
      </c>
      <c r="E31" s="40">
        <f t="shared" si="1"/>
        <v>3062.090495808</v>
      </c>
    </row>
    <row r="32" spans="1:10">
      <c r="A32" s="80">
        <v>4504</v>
      </c>
      <c r="B32">
        <v>29.2</v>
      </c>
      <c r="C32" s="83">
        <v>30</v>
      </c>
      <c r="D32" s="65">
        <f t="shared" si="0"/>
        <v>75686400</v>
      </c>
      <c r="E32" s="40">
        <f t="shared" si="1"/>
        <v>1737.5251161599999</v>
      </c>
    </row>
    <row r="33" spans="1:7">
      <c r="A33" s="80">
        <v>4535</v>
      </c>
      <c r="B33">
        <v>0</v>
      </c>
      <c r="C33" s="83">
        <v>31</v>
      </c>
      <c r="D33" s="65">
        <f t="shared" si="0"/>
        <v>0</v>
      </c>
      <c r="E33" s="40">
        <f t="shared" si="1"/>
        <v>0</v>
      </c>
    </row>
    <row r="34" spans="1:7">
      <c r="A34" s="80">
        <v>4565</v>
      </c>
      <c r="B34">
        <v>0</v>
      </c>
      <c r="C34" s="83">
        <v>30</v>
      </c>
      <c r="D34" s="65">
        <f t="shared" si="0"/>
        <v>0</v>
      </c>
      <c r="E34" s="40">
        <f t="shared" si="1"/>
        <v>0</v>
      </c>
    </row>
    <row r="35" spans="1:7">
      <c r="A35" s="80">
        <v>4596</v>
      </c>
      <c r="B35">
        <v>121.2</v>
      </c>
      <c r="C35" s="83">
        <v>31</v>
      </c>
      <c r="D35" s="65">
        <f t="shared" si="0"/>
        <v>324622080</v>
      </c>
      <c r="E35" s="40">
        <f t="shared" si="1"/>
        <v>7452.3166283520004</v>
      </c>
    </row>
    <row r="36" spans="1:7">
      <c r="A36" s="80">
        <v>4627</v>
      </c>
      <c r="B36">
        <v>445.9</v>
      </c>
      <c r="C36" s="83">
        <v>31</v>
      </c>
      <c r="D36" s="65">
        <f t="shared" si="0"/>
        <v>1194298560</v>
      </c>
      <c r="E36" s="40">
        <f t="shared" si="1"/>
        <v>27417.392612063999</v>
      </c>
    </row>
    <row r="37" spans="1:7">
      <c r="A37" s="80">
        <v>4657</v>
      </c>
      <c r="B37">
        <v>221.4</v>
      </c>
      <c r="C37" s="83">
        <v>30</v>
      </c>
      <c r="D37" s="65">
        <f t="shared" ref="D37:D68" si="2">B37*C37*86400</f>
        <v>573868800</v>
      </c>
      <c r="E37" s="40">
        <f t="shared" ref="E37:E68" si="3">D37*0.0000229569</f>
        <v>13174.248654720001</v>
      </c>
    </row>
    <row r="38" spans="1:7">
      <c r="A38" s="80">
        <v>4688</v>
      </c>
      <c r="B38">
        <v>0.10199999999999999</v>
      </c>
      <c r="C38" s="83">
        <v>31</v>
      </c>
      <c r="D38" s="65">
        <f t="shared" si="2"/>
        <v>273196.79999999999</v>
      </c>
      <c r="E38" s="40">
        <f t="shared" si="3"/>
        <v>6.2717516179199997</v>
      </c>
    </row>
    <row r="39" spans="1:7">
      <c r="A39" s="80">
        <v>4718</v>
      </c>
      <c r="B39">
        <v>0</v>
      </c>
      <c r="C39" s="83">
        <v>30</v>
      </c>
      <c r="D39" s="65">
        <f t="shared" si="2"/>
        <v>0</v>
      </c>
      <c r="E39" s="40">
        <f t="shared" si="3"/>
        <v>0</v>
      </c>
    </row>
    <row r="40" spans="1:7">
      <c r="A40" s="80">
        <v>4749</v>
      </c>
      <c r="B40">
        <v>3.3000000000000002E-2</v>
      </c>
      <c r="C40" s="83">
        <v>31</v>
      </c>
      <c r="D40" s="65">
        <f t="shared" si="2"/>
        <v>88387.200000000012</v>
      </c>
      <c r="E40" s="40">
        <f t="shared" si="3"/>
        <v>2.0290961116800004</v>
      </c>
    </row>
    <row r="41" spans="1:7">
      <c r="A41" s="80">
        <v>4780</v>
      </c>
      <c r="B41">
        <v>77.5</v>
      </c>
      <c r="C41" s="83">
        <v>31</v>
      </c>
      <c r="D41" s="65">
        <f t="shared" si="2"/>
        <v>207576000</v>
      </c>
      <c r="E41" s="40">
        <f t="shared" si="3"/>
        <v>4765.3014744000002</v>
      </c>
    </row>
    <row r="42" spans="1:7">
      <c r="A42" s="80">
        <v>4808</v>
      </c>
      <c r="B42">
        <v>131.19999999999999</v>
      </c>
      <c r="C42" s="83">
        <v>28</v>
      </c>
      <c r="D42" s="65">
        <f t="shared" si="2"/>
        <v>317399039.99999994</v>
      </c>
      <c r="E42" s="40">
        <f t="shared" si="3"/>
        <v>7286.4980213759991</v>
      </c>
      <c r="G42" s="40">
        <f>SUM(E31:E42)</f>
        <v>64903.673850609601</v>
      </c>
    </row>
    <row r="43" spans="1:7">
      <c r="A43" s="80">
        <v>4839</v>
      </c>
      <c r="B43">
        <v>422.8</v>
      </c>
      <c r="C43" s="83">
        <v>31</v>
      </c>
      <c r="D43" s="65">
        <f t="shared" si="2"/>
        <v>1132427520</v>
      </c>
      <c r="E43" s="40">
        <f t="shared" si="3"/>
        <v>25997.025333887999</v>
      </c>
    </row>
    <row r="44" spans="1:7">
      <c r="A44" s="80">
        <v>4869</v>
      </c>
      <c r="B44">
        <v>95.4</v>
      </c>
      <c r="C44" s="83">
        <v>30</v>
      </c>
      <c r="D44" s="65">
        <f t="shared" si="2"/>
        <v>247276800</v>
      </c>
      <c r="E44" s="40">
        <f t="shared" si="3"/>
        <v>5676.7087699200001</v>
      </c>
    </row>
    <row r="45" spans="1:7">
      <c r="A45" s="80">
        <v>4900</v>
      </c>
      <c r="B45">
        <v>2.48</v>
      </c>
      <c r="C45" s="83">
        <v>31</v>
      </c>
      <c r="D45" s="65">
        <f t="shared" si="2"/>
        <v>6642432</v>
      </c>
      <c r="E45" s="40">
        <f t="shared" si="3"/>
        <v>152.48964718080001</v>
      </c>
    </row>
    <row r="46" spans="1:7">
      <c r="A46" s="80">
        <v>4930</v>
      </c>
      <c r="B46">
        <v>0</v>
      </c>
      <c r="C46" s="83">
        <v>30</v>
      </c>
      <c r="D46" s="65">
        <f t="shared" si="2"/>
        <v>0</v>
      </c>
      <c r="E46" s="40">
        <f t="shared" si="3"/>
        <v>0</v>
      </c>
    </row>
    <row r="47" spans="1:7">
      <c r="A47" s="80">
        <v>4961</v>
      </c>
      <c r="B47">
        <v>460.9</v>
      </c>
      <c r="C47" s="83">
        <v>31</v>
      </c>
      <c r="D47" s="65">
        <f t="shared" si="2"/>
        <v>1234474560</v>
      </c>
      <c r="E47" s="40">
        <f t="shared" si="3"/>
        <v>28339.709026463999</v>
      </c>
    </row>
    <row r="48" spans="1:7">
      <c r="A48" s="80">
        <v>4992</v>
      </c>
      <c r="B48">
        <v>331.7</v>
      </c>
      <c r="C48" s="83">
        <v>31</v>
      </c>
      <c r="D48" s="65">
        <f t="shared" si="2"/>
        <v>888425279.99999988</v>
      </c>
      <c r="E48" s="40">
        <f t="shared" si="3"/>
        <v>20395.490310431996</v>
      </c>
    </row>
    <row r="49" spans="1:7">
      <c r="A49" s="80">
        <v>5022</v>
      </c>
      <c r="B49">
        <v>465.4</v>
      </c>
      <c r="C49" s="83">
        <v>30</v>
      </c>
      <c r="D49" s="65">
        <f t="shared" si="2"/>
        <v>1206316800</v>
      </c>
      <c r="E49" s="40">
        <f t="shared" si="3"/>
        <v>27693.294145920001</v>
      </c>
    </row>
    <row r="50" spans="1:7">
      <c r="A50" s="80">
        <v>5053</v>
      </c>
      <c r="B50">
        <v>1.9E-2</v>
      </c>
      <c r="C50" s="83">
        <v>31</v>
      </c>
      <c r="D50" s="65">
        <f t="shared" si="2"/>
        <v>50889.599999999999</v>
      </c>
      <c r="E50" s="40">
        <f t="shared" si="3"/>
        <v>1.1682674582399999</v>
      </c>
    </row>
    <row r="51" spans="1:7">
      <c r="A51" s="80">
        <v>5083</v>
      </c>
      <c r="B51">
        <v>237.1</v>
      </c>
      <c r="C51" s="83">
        <v>30</v>
      </c>
      <c r="D51" s="65">
        <f t="shared" si="2"/>
        <v>614563200</v>
      </c>
      <c r="E51" s="40">
        <f t="shared" si="3"/>
        <v>14108.46592608</v>
      </c>
    </row>
    <row r="52" spans="1:7">
      <c r="A52" s="80">
        <v>5114</v>
      </c>
      <c r="B52">
        <v>3.74</v>
      </c>
      <c r="C52" s="83">
        <v>31</v>
      </c>
      <c r="D52" s="65">
        <f t="shared" si="2"/>
        <v>10017216.000000002</v>
      </c>
      <c r="E52" s="40">
        <f t="shared" si="3"/>
        <v>229.96422599040005</v>
      </c>
    </row>
    <row r="53" spans="1:7">
      <c r="A53" s="80">
        <v>5145</v>
      </c>
      <c r="B53">
        <v>0</v>
      </c>
      <c r="C53" s="83">
        <v>31</v>
      </c>
      <c r="D53" s="65">
        <f t="shared" si="2"/>
        <v>0</v>
      </c>
      <c r="E53" s="40">
        <f t="shared" si="3"/>
        <v>0</v>
      </c>
    </row>
    <row r="54" spans="1:7">
      <c r="A54" s="80">
        <v>5173</v>
      </c>
      <c r="B54">
        <v>0</v>
      </c>
      <c r="C54" s="83">
        <v>28</v>
      </c>
      <c r="D54" s="65">
        <f t="shared" si="2"/>
        <v>0</v>
      </c>
      <c r="E54" s="40">
        <f t="shared" si="3"/>
        <v>0</v>
      </c>
      <c r="G54" s="40">
        <f>SUM(E43:E54)</f>
        <v>122594.31565333343</v>
      </c>
    </row>
    <row r="55" spans="1:7">
      <c r="A55" s="80">
        <v>5204</v>
      </c>
      <c r="B55">
        <v>60.2</v>
      </c>
      <c r="C55" s="83">
        <v>31</v>
      </c>
      <c r="D55" s="65">
        <f t="shared" si="2"/>
        <v>161239680</v>
      </c>
      <c r="E55" s="40">
        <f t="shared" si="3"/>
        <v>3701.5632097920002</v>
      </c>
    </row>
    <row r="56" spans="1:7">
      <c r="A56" s="80">
        <v>5234</v>
      </c>
      <c r="B56">
        <v>0</v>
      </c>
      <c r="C56" s="83">
        <v>30</v>
      </c>
      <c r="D56" s="65">
        <f t="shared" si="2"/>
        <v>0</v>
      </c>
      <c r="E56" s="40">
        <f t="shared" si="3"/>
        <v>0</v>
      </c>
    </row>
    <row r="57" spans="1:7">
      <c r="A57" s="80">
        <v>5265</v>
      </c>
      <c r="B57">
        <v>0</v>
      </c>
      <c r="C57" s="83">
        <v>31</v>
      </c>
      <c r="D57" s="65">
        <f t="shared" si="2"/>
        <v>0</v>
      </c>
      <c r="E57" s="40">
        <f t="shared" si="3"/>
        <v>0</v>
      </c>
    </row>
    <row r="58" spans="1:7">
      <c r="A58" s="80">
        <v>5295</v>
      </c>
      <c r="B58">
        <v>0</v>
      </c>
      <c r="C58" s="83">
        <v>30</v>
      </c>
      <c r="D58" s="65">
        <f t="shared" si="2"/>
        <v>0</v>
      </c>
      <c r="E58" s="40">
        <f t="shared" si="3"/>
        <v>0</v>
      </c>
    </row>
    <row r="59" spans="1:7">
      <c r="A59" s="80">
        <v>5326</v>
      </c>
      <c r="B59">
        <v>52</v>
      </c>
      <c r="C59" s="83">
        <v>31</v>
      </c>
      <c r="D59" s="65">
        <f t="shared" si="2"/>
        <v>139276800</v>
      </c>
      <c r="E59" s="40">
        <f t="shared" si="3"/>
        <v>3197.3635699199999</v>
      </c>
    </row>
    <row r="60" spans="1:7">
      <c r="A60" s="80">
        <v>5357</v>
      </c>
      <c r="B60">
        <v>102.8</v>
      </c>
      <c r="C60" s="83">
        <v>31</v>
      </c>
      <c r="D60" s="65">
        <f t="shared" si="2"/>
        <v>275339520</v>
      </c>
      <c r="E60" s="40">
        <f t="shared" si="3"/>
        <v>6320.9418266880002</v>
      </c>
    </row>
    <row r="61" spans="1:7">
      <c r="A61" s="80">
        <v>5387</v>
      </c>
      <c r="B61">
        <v>90.5</v>
      </c>
      <c r="C61" s="83">
        <v>30</v>
      </c>
      <c r="D61" s="65">
        <f t="shared" si="2"/>
        <v>234576000</v>
      </c>
      <c r="E61" s="40">
        <f t="shared" si="3"/>
        <v>5385.1377744000001</v>
      </c>
    </row>
    <row r="62" spans="1:7">
      <c r="A62" s="80">
        <v>5418</v>
      </c>
      <c r="B62">
        <v>169.4</v>
      </c>
      <c r="C62" s="83">
        <v>31</v>
      </c>
      <c r="D62" s="65">
        <f t="shared" si="2"/>
        <v>453720960.00000006</v>
      </c>
      <c r="E62" s="40">
        <f t="shared" si="3"/>
        <v>10416.026706624001</v>
      </c>
    </row>
    <row r="63" spans="1:7">
      <c r="A63" s="80">
        <v>5448</v>
      </c>
      <c r="B63">
        <v>3.0000000000000001E-3</v>
      </c>
      <c r="C63" s="83">
        <v>30</v>
      </c>
      <c r="D63" s="65">
        <f t="shared" si="2"/>
        <v>7776</v>
      </c>
      <c r="E63" s="40">
        <f t="shared" si="3"/>
        <v>0.1785128544</v>
      </c>
    </row>
    <row r="64" spans="1:7">
      <c r="A64" s="80">
        <v>5479</v>
      </c>
      <c r="B64">
        <v>80.3</v>
      </c>
      <c r="C64" s="83">
        <v>31</v>
      </c>
      <c r="D64" s="65">
        <f t="shared" si="2"/>
        <v>215075519.99999997</v>
      </c>
      <c r="E64" s="40">
        <f t="shared" si="3"/>
        <v>4937.467205087999</v>
      </c>
    </row>
    <row r="65" spans="1:7">
      <c r="A65" s="80">
        <v>5510</v>
      </c>
      <c r="B65">
        <v>49.7</v>
      </c>
      <c r="C65" s="83">
        <v>31</v>
      </c>
      <c r="D65" s="65">
        <f t="shared" si="2"/>
        <v>133116480</v>
      </c>
      <c r="E65" s="40">
        <f t="shared" si="3"/>
        <v>3055.9417197120001</v>
      </c>
    </row>
    <row r="66" spans="1:7">
      <c r="A66" s="80">
        <v>5538</v>
      </c>
      <c r="B66">
        <v>214.7</v>
      </c>
      <c r="C66" s="83">
        <v>28</v>
      </c>
      <c r="D66" s="65">
        <f t="shared" si="2"/>
        <v>519402239.99999994</v>
      </c>
      <c r="E66" s="40">
        <f t="shared" si="3"/>
        <v>11923.865283455998</v>
      </c>
      <c r="G66" s="40">
        <f>SUM(E55:E66)</f>
        <v>48938.485808534395</v>
      </c>
    </row>
    <row r="67" spans="1:7">
      <c r="A67" s="80">
        <v>5569</v>
      </c>
      <c r="B67">
        <v>233.5</v>
      </c>
      <c r="C67" s="83">
        <v>31</v>
      </c>
      <c r="D67" s="65">
        <f t="shared" si="2"/>
        <v>625406400</v>
      </c>
      <c r="E67" s="40">
        <f t="shared" si="3"/>
        <v>14357.39218416</v>
      </c>
    </row>
    <row r="68" spans="1:7">
      <c r="A68" s="80">
        <v>5599</v>
      </c>
      <c r="B68">
        <v>1.4E-2</v>
      </c>
      <c r="C68" s="83">
        <v>30</v>
      </c>
      <c r="D68" s="65">
        <f t="shared" si="2"/>
        <v>36288</v>
      </c>
      <c r="E68" s="40">
        <f t="shared" si="3"/>
        <v>0.83305998719999996</v>
      </c>
    </row>
    <row r="69" spans="1:7">
      <c r="A69" s="80">
        <v>5630</v>
      </c>
      <c r="B69">
        <v>0.84399999999999997</v>
      </c>
      <c r="C69" s="83">
        <v>31</v>
      </c>
      <c r="D69" s="65">
        <f t="shared" ref="D69:D76" si="4">B69*C69*86400</f>
        <v>2260569.5999999996</v>
      </c>
      <c r="E69" s="40">
        <f t="shared" ref="E69:E76" si="5">D69*0.0000229569</f>
        <v>51.895670250239995</v>
      </c>
    </row>
    <row r="70" spans="1:7">
      <c r="A70" s="80">
        <v>5660</v>
      </c>
      <c r="B70">
        <v>3.57</v>
      </c>
      <c r="C70" s="83">
        <v>30</v>
      </c>
      <c r="D70" s="65">
        <f t="shared" si="4"/>
        <v>9253440</v>
      </c>
      <c r="E70" s="40">
        <f t="shared" si="5"/>
        <v>212.430296736</v>
      </c>
    </row>
    <row r="71" spans="1:7">
      <c r="A71" s="80">
        <v>5691</v>
      </c>
      <c r="B71">
        <v>205</v>
      </c>
      <c r="C71" s="83">
        <v>31</v>
      </c>
      <c r="D71" s="65">
        <f t="shared" si="4"/>
        <v>549072000</v>
      </c>
      <c r="E71" s="40">
        <f t="shared" si="5"/>
        <v>12604.990996800001</v>
      </c>
    </row>
    <row r="72" spans="1:7">
      <c r="A72" s="80">
        <v>5722</v>
      </c>
      <c r="B72">
        <v>271.5</v>
      </c>
      <c r="C72" s="83">
        <v>31</v>
      </c>
      <c r="D72" s="65">
        <f t="shared" si="4"/>
        <v>727185600</v>
      </c>
      <c r="E72" s="40">
        <f t="shared" si="5"/>
        <v>16693.927100640001</v>
      </c>
    </row>
    <row r="73" spans="1:7">
      <c r="A73" s="80">
        <v>5752</v>
      </c>
      <c r="B73">
        <v>113.6</v>
      </c>
      <c r="C73" s="83">
        <v>30</v>
      </c>
      <c r="D73" s="65">
        <f t="shared" si="4"/>
        <v>294451200</v>
      </c>
      <c r="E73" s="40">
        <f t="shared" si="5"/>
        <v>6759.6867532799997</v>
      </c>
    </row>
    <row r="74" spans="1:7">
      <c r="A74" s="80">
        <v>5783</v>
      </c>
      <c r="B74">
        <v>222.4</v>
      </c>
      <c r="C74" s="83">
        <v>31</v>
      </c>
      <c r="D74" s="65">
        <f t="shared" si="4"/>
        <v>595676160</v>
      </c>
      <c r="E74" s="40">
        <f t="shared" si="5"/>
        <v>13674.878037504001</v>
      </c>
    </row>
    <row r="75" spans="1:7">
      <c r="A75" s="80">
        <v>5813</v>
      </c>
      <c r="B75">
        <v>39.200000000000003</v>
      </c>
      <c r="C75" s="83">
        <v>30</v>
      </c>
      <c r="D75" s="65">
        <f t="shared" si="4"/>
        <v>101606400</v>
      </c>
      <c r="E75" s="40">
        <f t="shared" si="5"/>
        <v>2332.56796416</v>
      </c>
    </row>
    <row r="76" spans="1:7">
      <c r="A76" s="80">
        <v>5844</v>
      </c>
      <c r="B76">
        <v>4.4400000000000004</v>
      </c>
      <c r="C76" s="83">
        <v>31</v>
      </c>
      <c r="D76" s="65">
        <f t="shared" si="4"/>
        <v>11892096.000000002</v>
      </c>
      <c r="E76" s="40">
        <f t="shared" si="5"/>
        <v>273.00565866240004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CD0D-4648-4954-B243-F5E8F509086B}">
  <dimension ref="A2:J77"/>
  <sheetViews>
    <sheetView workbookViewId="0">
      <selection activeCell="I6" sqref="I6"/>
    </sheetView>
  </sheetViews>
  <sheetFormatPr defaultColWidth="11.54296875" defaultRowHeight="14.5"/>
  <cols>
    <col min="4" max="4" width="14.453125" customWidth="1"/>
  </cols>
  <sheetData>
    <row r="2" spans="1:5">
      <c r="A2" t="s">
        <v>262</v>
      </c>
    </row>
    <row r="5" spans="1:5">
      <c r="B5" t="s">
        <v>248</v>
      </c>
      <c r="C5" t="s">
        <v>247</v>
      </c>
      <c r="D5" t="s">
        <v>246</v>
      </c>
      <c r="E5" s="105" t="s">
        <v>245</v>
      </c>
    </row>
    <row r="6" spans="1:5">
      <c r="A6" s="80">
        <v>3684</v>
      </c>
      <c r="B6">
        <v>15710</v>
      </c>
      <c r="C6" s="83">
        <v>31</v>
      </c>
      <c r="D6" s="65">
        <f>B6*C6*86400</f>
        <v>42077664000</v>
      </c>
      <c r="E6" s="40">
        <f>D6*0.0000229569</f>
        <v>965972.7246816</v>
      </c>
    </row>
    <row r="7" spans="1:5">
      <c r="A7" s="80">
        <v>3712</v>
      </c>
      <c r="B7">
        <v>12230</v>
      </c>
      <c r="C7" s="83">
        <v>28</v>
      </c>
      <c r="D7" s="65">
        <f t="shared" ref="D7:D70" si="0">B7*C7*86400</f>
        <v>29586816000</v>
      </c>
      <c r="E7" s="40">
        <f t="shared" ref="E7:E70" si="1">D7*0.0000229569</f>
        <v>679221.57623040001</v>
      </c>
    </row>
    <row r="8" spans="1:5">
      <c r="A8" s="80">
        <v>3743</v>
      </c>
      <c r="B8">
        <v>10910</v>
      </c>
      <c r="C8" s="83">
        <v>31</v>
      </c>
      <c r="D8" s="65">
        <f t="shared" si="0"/>
        <v>29221344000</v>
      </c>
      <c r="E8" s="40">
        <f t="shared" si="1"/>
        <v>670831.47207360005</v>
      </c>
    </row>
    <row r="9" spans="1:5">
      <c r="A9" s="80">
        <v>3773</v>
      </c>
      <c r="B9">
        <v>11820</v>
      </c>
      <c r="C9" s="83">
        <v>30</v>
      </c>
      <c r="D9" s="65">
        <f t="shared" si="0"/>
        <v>30637440000</v>
      </c>
      <c r="E9" s="40">
        <f t="shared" si="1"/>
        <v>703340.64633600006</v>
      </c>
    </row>
    <row r="10" spans="1:5">
      <c r="A10" s="80">
        <v>3804</v>
      </c>
      <c r="B10">
        <v>10540</v>
      </c>
      <c r="C10" s="83">
        <v>31</v>
      </c>
      <c r="D10" s="65">
        <f t="shared" si="0"/>
        <v>28230336000</v>
      </c>
      <c r="E10" s="40">
        <f t="shared" si="1"/>
        <v>648081.00051839999</v>
      </c>
    </row>
    <row r="11" spans="1:5">
      <c r="A11" s="80">
        <v>3834</v>
      </c>
      <c r="B11">
        <v>10680</v>
      </c>
      <c r="C11" s="83">
        <v>30</v>
      </c>
      <c r="D11" s="65">
        <f t="shared" si="0"/>
        <v>27682560000</v>
      </c>
      <c r="E11" s="40">
        <f t="shared" si="1"/>
        <v>635505.76166399999</v>
      </c>
    </row>
    <row r="12" spans="1:5">
      <c r="A12" s="80">
        <v>3865</v>
      </c>
      <c r="B12">
        <v>13870</v>
      </c>
      <c r="C12" s="83">
        <v>31</v>
      </c>
      <c r="D12" s="65">
        <f t="shared" si="0"/>
        <v>37149408000</v>
      </c>
      <c r="E12" s="40">
        <f t="shared" si="1"/>
        <v>852835.24451520003</v>
      </c>
    </row>
    <row r="13" spans="1:5">
      <c r="A13" s="80">
        <v>3896</v>
      </c>
      <c r="B13">
        <v>14910</v>
      </c>
      <c r="C13" s="83">
        <v>31</v>
      </c>
      <c r="D13" s="65">
        <f t="shared" si="0"/>
        <v>39934944000</v>
      </c>
      <c r="E13" s="40">
        <f t="shared" si="1"/>
        <v>916782.51591359999</v>
      </c>
    </row>
    <row r="14" spans="1:5">
      <c r="A14" s="80">
        <v>3926</v>
      </c>
      <c r="B14">
        <v>8971</v>
      </c>
      <c r="C14" s="83">
        <v>30</v>
      </c>
      <c r="D14" s="65">
        <f t="shared" si="0"/>
        <v>23252832000</v>
      </c>
      <c r="E14" s="40">
        <f t="shared" si="1"/>
        <v>533812.93894080003</v>
      </c>
    </row>
    <row r="15" spans="1:5">
      <c r="A15" s="80">
        <v>3957</v>
      </c>
      <c r="B15">
        <v>8833</v>
      </c>
      <c r="C15" s="83">
        <v>31</v>
      </c>
      <c r="D15" s="65">
        <f t="shared" si="0"/>
        <v>23658307200</v>
      </c>
      <c r="E15" s="40">
        <f t="shared" si="1"/>
        <v>543121.39255968004</v>
      </c>
    </row>
    <row r="16" spans="1:5">
      <c r="A16" s="80">
        <v>3987</v>
      </c>
      <c r="B16">
        <v>14130</v>
      </c>
      <c r="C16" s="83">
        <v>30</v>
      </c>
      <c r="D16" s="65">
        <f t="shared" si="0"/>
        <v>36624960000</v>
      </c>
      <c r="E16" s="40">
        <f t="shared" si="1"/>
        <v>840795.54422400007</v>
      </c>
    </row>
    <row r="17" spans="1:10">
      <c r="A17" s="80">
        <v>4018</v>
      </c>
      <c r="B17">
        <v>14620</v>
      </c>
      <c r="C17" s="83">
        <v>31</v>
      </c>
      <c r="D17" s="65">
        <f t="shared" si="0"/>
        <v>39158208000</v>
      </c>
      <c r="E17" s="40">
        <f t="shared" si="1"/>
        <v>898951.06523519999</v>
      </c>
    </row>
    <row r="18" spans="1:10">
      <c r="A18" s="80">
        <v>4049</v>
      </c>
      <c r="B18">
        <v>16850</v>
      </c>
      <c r="C18" s="83">
        <v>31</v>
      </c>
      <c r="D18" s="65">
        <f t="shared" si="0"/>
        <v>45131040000</v>
      </c>
      <c r="E18" s="40">
        <f t="shared" si="1"/>
        <v>1036068.7721760001</v>
      </c>
    </row>
    <row r="19" spans="1:10">
      <c r="A19" s="80">
        <v>4077</v>
      </c>
      <c r="B19">
        <v>18170</v>
      </c>
      <c r="C19" s="83">
        <v>28</v>
      </c>
      <c r="D19" s="65">
        <f t="shared" si="0"/>
        <v>43956864000</v>
      </c>
      <c r="E19" s="40">
        <f t="shared" si="1"/>
        <v>1009113.3311616001</v>
      </c>
      <c r="G19" s="40">
        <f>SUM(E8:E19)</f>
        <v>9289239.6853180807</v>
      </c>
      <c r="J19" s="40">
        <f>AVERAGE(G19,G31,G43,G55,G67)</f>
        <v>9714778.6276368015</v>
      </c>
    </row>
    <row r="20" spans="1:10">
      <c r="A20" s="80">
        <v>4108</v>
      </c>
      <c r="B20">
        <v>17700</v>
      </c>
      <c r="C20" s="83">
        <v>31</v>
      </c>
      <c r="D20" s="65">
        <f t="shared" si="0"/>
        <v>47407680000</v>
      </c>
      <c r="E20" s="40">
        <f t="shared" si="1"/>
        <v>1088333.3689920001</v>
      </c>
    </row>
    <row r="21" spans="1:10">
      <c r="A21" s="80">
        <v>4138</v>
      </c>
      <c r="B21">
        <v>16910</v>
      </c>
      <c r="C21" s="83">
        <v>30</v>
      </c>
      <c r="D21" s="65">
        <f t="shared" si="0"/>
        <v>43830720000</v>
      </c>
      <c r="E21" s="40">
        <f t="shared" si="1"/>
        <v>1006217.455968</v>
      </c>
    </row>
    <row r="22" spans="1:10">
      <c r="A22" s="80">
        <v>4169</v>
      </c>
      <c r="B22">
        <v>19710</v>
      </c>
      <c r="C22" s="83">
        <v>31</v>
      </c>
      <c r="D22" s="65">
        <f t="shared" si="0"/>
        <v>52791264000</v>
      </c>
      <c r="E22" s="40">
        <f t="shared" si="1"/>
        <v>1211923.7685215999</v>
      </c>
    </row>
    <row r="23" spans="1:10">
      <c r="A23" s="80">
        <v>4199</v>
      </c>
      <c r="B23">
        <v>23780</v>
      </c>
      <c r="C23" s="83">
        <v>30</v>
      </c>
      <c r="D23" s="65">
        <f t="shared" si="0"/>
        <v>61637760000</v>
      </c>
      <c r="E23" s="40">
        <f t="shared" si="1"/>
        <v>1415011.8925439999</v>
      </c>
    </row>
    <row r="24" spans="1:10">
      <c r="A24" s="80">
        <v>4230</v>
      </c>
      <c r="B24">
        <v>24940</v>
      </c>
      <c r="C24" s="83">
        <v>31</v>
      </c>
      <c r="D24" s="65">
        <f t="shared" si="0"/>
        <v>66799296000</v>
      </c>
      <c r="E24" s="40">
        <f t="shared" si="1"/>
        <v>1533504.7583424</v>
      </c>
    </row>
    <row r="25" spans="1:10">
      <c r="A25" s="80">
        <v>4261</v>
      </c>
      <c r="B25">
        <v>25010</v>
      </c>
      <c r="C25" s="83">
        <v>31</v>
      </c>
      <c r="D25" s="65">
        <f t="shared" si="0"/>
        <v>66986784000</v>
      </c>
      <c r="E25" s="40">
        <f t="shared" si="1"/>
        <v>1537808.9016096001</v>
      </c>
    </row>
    <row r="26" spans="1:10">
      <c r="A26" s="80">
        <v>4291</v>
      </c>
      <c r="B26">
        <v>16780</v>
      </c>
      <c r="C26" s="83">
        <v>30</v>
      </c>
      <c r="D26" s="65">
        <f t="shared" si="0"/>
        <v>43493760000</v>
      </c>
      <c r="E26" s="40">
        <f t="shared" si="1"/>
        <v>998481.89894400002</v>
      </c>
    </row>
    <row r="27" spans="1:10">
      <c r="A27" s="80">
        <v>4322</v>
      </c>
      <c r="B27">
        <v>16490</v>
      </c>
      <c r="C27" s="83">
        <v>31</v>
      </c>
      <c r="D27" s="65">
        <f t="shared" si="0"/>
        <v>44166816000</v>
      </c>
      <c r="E27" s="40">
        <f t="shared" si="1"/>
        <v>1013933.1782304</v>
      </c>
    </row>
    <row r="28" spans="1:10">
      <c r="A28" s="80">
        <v>4352</v>
      </c>
      <c r="B28">
        <v>18950</v>
      </c>
      <c r="C28" s="83">
        <v>30</v>
      </c>
      <c r="D28" s="65">
        <f t="shared" si="0"/>
        <v>49118400000</v>
      </c>
      <c r="E28" s="40">
        <f t="shared" si="1"/>
        <v>1127606.1969600001</v>
      </c>
    </row>
    <row r="29" spans="1:10">
      <c r="A29" s="80">
        <v>4383</v>
      </c>
      <c r="B29">
        <v>20450</v>
      </c>
      <c r="C29" s="83">
        <v>31</v>
      </c>
      <c r="D29" s="65">
        <f t="shared" si="0"/>
        <v>54773280000</v>
      </c>
      <c r="E29" s="40">
        <f t="shared" si="1"/>
        <v>1257424.711632</v>
      </c>
    </row>
    <row r="30" spans="1:10">
      <c r="A30" s="80">
        <v>4414</v>
      </c>
      <c r="B30">
        <v>14420</v>
      </c>
      <c r="C30" s="83">
        <v>31</v>
      </c>
      <c r="D30" s="65">
        <f t="shared" si="0"/>
        <v>38622528000</v>
      </c>
      <c r="E30" s="40">
        <f t="shared" si="1"/>
        <v>886653.51304320002</v>
      </c>
    </row>
    <row r="31" spans="1:10">
      <c r="A31" s="80">
        <v>4443</v>
      </c>
      <c r="B31">
        <v>11700</v>
      </c>
      <c r="C31" s="83">
        <v>29</v>
      </c>
      <c r="D31" s="65">
        <f t="shared" si="0"/>
        <v>29315520000</v>
      </c>
      <c r="E31" s="40">
        <f t="shared" si="1"/>
        <v>672993.46108799998</v>
      </c>
      <c r="G31" s="40">
        <f>SUM(E20:E31)</f>
        <v>13749893.1058752</v>
      </c>
    </row>
    <row r="32" spans="1:10">
      <c r="A32" s="80">
        <v>4474</v>
      </c>
      <c r="B32">
        <v>10230</v>
      </c>
      <c r="C32" s="83">
        <v>31</v>
      </c>
      <c r="D32" s="65">
        <f t="shared" si="0"/>
        <v>27400032000</v>
      </c>
      <c r="E32" s="40">
        <f t="shared" si="1"/>
        <v>629019.79462080006</v>
      </c>
    </row>
    <row r="33" spans="1:7">
      <c r="A33" s="80">
        <v>4504</v>
      </c>
      <c r="B33">
        <v>10570</v>
      </c>
      <c r="C33" s="83">
        <v>30</v>
      </c>
      <c r="D33" s="65">
        <f t="shared" si="0"/>
        <v>27397440000</v>
      </c>
      <c r="E33" s="40">
        <f t="shared" si="1"/>
        <v>628960.29033600003</v>
      </c>
    </row>
    <row r="34" spans="1:7">
      <c r="A34" s="80">
        <v>4535</v>
      </c>
      <c r="B34">
        <v>10160</v>
      </c>
      <c r="C34" s="83">
        <v>31</v>
      </c>
      <c r="D34" s="65">
        <f t="shared" si="0"/>
        <v>27212544000</v>
      </c>
      <c r="E34" s="40">
        <f t="shared" si="1"/>
        <v>624715.65135359997</v>
      </c>
    </row>
    <row r="35" spans="1:7">
      <c r="A35" s="80">
        <v>4565</v>
      </c>
      <c r="B35">
        <v>12350</v>
      </c>
      <c r="C35" s="83">
        <v>30</v>
      </c>
      <c r="D35" s="65">
        <f t="shared" si="0"/>
        <v>32011200000</v>
      </c>
      <c r="E35" s="40">
        <f t="shared" si="1"/>
        <v>734877.91728000005</v>
      </c>
    </row>
    <row r="36" spans="1:7">
      <c r="A36" s="80">
        <v>4596</v>
      </c>
      <c r="B36">
        <v>14940</v>
      </c>
      <c r="C36" s="83">
        <v>31</v>
      </c>
      <c r="D36" s="65">
        <f t="shared" si="0"/>
        <v>40015296000</v>
      </c>
      <c r="E36" s="40">
        <f t="shared" si="1"/>
        <v>918627.14874239999</v>
      </c>
    </row>
    <row r="37" spans="1:7">
      <c r="A37" s="80">
        <v>4627</v>
      </c>
      <c r="B37">
        <v>14290</v>
      </c>
      <c r="C37" s="83">
        <v>31</v>
      </c>
      <c r="D37" s="65">
        <f t="shared" si="0"/>
        <v>38274336000</v>
      </c>
      <c r="E37" s="40">
        <f t="shared" si="1"/>
        <v>878660.10411840002</v>
      </c>
    </row>
    <row r="38" spans="1:7">
      <c r="A38" s="80">
        <v>4657</v>
      </c>
      <c r="B38">
        <v>8839</v>
      </c>
      <c r="C38" s="83">
        <v>30</v>
      </c>
      <c r="D38" s="65">
        <f t="shared" si="0"/>
        <v>22910688000</v>
      </c>
      <c r="E38" s="40">
        <f t="shared" si="1"/>
        <v>525958.37334719999</v>
      </c>
    </row>
    <row r="39" spans="1:7">
      <c r="A39" s="80">
        <v>4688</v>
      </c>
      <c r="B39">
        <v>8534</v>
      </c>
      <c r="C39" s="83">
        <v>31</v>
      </c>
      <c r="D39" s="65">
        <f t="shared" si="0"/>
        <v>22857465600</v>
      </c>
      <c r="E39" s="40">
        <f t="shared" si="1"/>
        <v>524736.55203263997</v>
      </c>
    </row>
    <row r="40" spans="1:7">
      <c r="A40" s="80">
        <v>4718</v>
      </c>
      <c r="B40">
        <v>12850</v>
      </c>
      <c r="C40" s="83">
        <v>30</v>
      </c>
      <c r="D40" s="65">
        <f t="shared" si="0"/>
        <v>33307200000</v>
      </c>
      <c r="E40" s="40">
        <f t="shared" si="1"/>
        <v>764630.05968000006</v>
      </c>
    </row>
    <row r="41" spans="1:7">
      <c r="A41" s="80">
        <v>4749</v>
      </c>
      <c r="B41">
        <v>13370</v>
      </c>
      <c r="C41" s="83">
        <v>31</v>
      </c>
      <c r="D41" s="65">
        <f t="shared" si="0"/>
        <v>35810208000</v>
      </c>
      <c r="E41" s="40">
        <f t="shared" si="1"/>
        <v>822091.36403519998</v>
      </c>
    </row>
    <row r="42" spans="1:7">
      <c r="A42" s="80">
        <v>4780</v>
      </c>
      <c r="B42">
        <v>13640</v>
      </c>
      <c r="C42" s="83">
        <v>31</v>
      </c>
      <c r="D42" s="65">
        <f t="shared" si="0"/>
        <v>36533376000</v>
      </c>
      <c r="E42" s="40">
        <f t="shared" si="1"/>
        <v>838693.05949440005</v>
      </c>
    </row>
    <row r="43" spans="1:7">
      <c r="A43" s="80">
        <v>4808</v>
      </c>
      <c r="B43">
        <v>11420</v>
      </c>
      <c r="C43" s="83">
        <v>28</v>
      </c>
      <c r="D43" s="65">
        <f t="shared" si="0"/>
        <v>27627264000</v>
      </c>
      <c r="E43" s="40">
        <f t="shared" si="1"/>
        <v>634236.33692160004</v>
      </c>
      <c r="G43" s="40">
        <f>SUM(E32:E43)</f>
        <v>8525206.6519622412</v>
      </c>
    </row>
    <row r="44" spans="1:7">
      <c r="A44" s="80">
        <v>4839</v>
      </c>
      <c r="B44">
        <v>10620</v>
      </c>
      <c r="C44" s="83">
        <v>31</v>
      </c>
      <c r="D44" s="65">
        <f t="shared" si="0"/>
        <v>28444608000</v>
      </c>
      <c r="E44" s="40">
        <f t="shared" si="1"/>
        <v>653000.02139520005</v>
      </c>
    </row>
    <row r="45" spans="1:7">
      <c r="A45" s="80">
        <v>4869</v>
      </c>
      <c r="B45">
        <v>9680</v>
      </c>
      <c r="C45" s="83">
        <v>30</v>
      </c>
      <c r="D45" s="65">
        <f t="shared" si="0"/>
        <v>25090560000</v>
      </c>
      <c r="E45" s="40">
        <f t="shared" si="1"/>
        <v>576001.47686399997</v>
      </c>
    </row>
    <row r="46" spans="1:7">
      <c r="A46" s="80">
        <v>4900</v>
      </c>
      <c r="B46">
        <v>10250</v>
      </c>
      <c r="C46" s="83">
        <v>31</v>
      </c>
      <c r="D46" s="65">
        <f t="shared" si="0"/>
        <v>27453600000</v>
      </c>
      <c r="E46" s="40">
        <f t="shared" si="1"/>
        <v>630249.54983999999</v>
      </c>
    </row>
    <row r="47" spans="1:7">
      <c r="A47" s="80">
        <v>4930</v>
      </c>
      <c r="B47">
        <v>13970</v>
      </c>
      <c r="C47" s="83">
        <v>30</v>
      </c>
      <c r="D47" s="65">
        <f t="shared" si="0"/>
        <v>36210240000</v>
      </c>
      <c r="E47" s="40">
        <f t="shared" si="1"/>
        <v>831274.858656</v>
      </c>
    </row>
    <row r="48" spans="1:7">
      <c r="A48" s="80">
        <v>4961</v>
      </c>
      <c r="B48">
        <v>15030</v>
      </c>
      <c r="C48" s="83">
        <v>31</v>
      </c>
      <c r="D48" s="65">
        <f t="shared" si="0"/>
        <v>40256352000</v>
      </c>
      <c r="E48" s="40">
        <f t="shared" si="1"/>
        <v>924161.04722880002</v>
      </c>
    </row>
    <row r="49" spans="1:7">
      <c r="A49" s="80">
        <v>4992</v>
      </c>
      <c r="B49">
        <v>14340</v>
      </c>
      <c r="C49" s="83">
        <v>31</v>
      </c>
      <c r="D49" s="65">
        <f t="shared" si="0"/>
        <v>38408256000</v>
      </c>
      <c r="E49" s="40">
        <f t="shared" si="1"/>
        <v>881734.49216640007</v>
      </c>
    </row>
    <row r="50" spans="1:7">
      <c r="A50" s="80">
        <v>5022</v>
      </c>
      <c r="B50">
        <v>11530</v>
      </c>
      <c r="C50" s="83">
        <v>30</v>
      </c>
      <c r="D50" s="65">
        <f t="shared" si="0"/>
        <v>29885760000</v>
      </c>
      <c r="E50" s="40">
        <f t="shared" si="1"/>
        <v>686084.40374400001</v>
      </c>
    </row>
    <row r="51" spans="1:7">
      <c r="A51" s="80">
        <v>5053</v>
      </c>
      <c r="B51">
        <v>8172</v>
      </c>
      <c r="C51" s="83">
        <v>31</v>
      </c>
      <c r="D51" s="65">
        <f t="shared" si="0"/>
        <v>21887884800</v>
      </c>
      <c r="E51" s="40">
        <f t="shared" si="1"/>
        <v>502477.98256512004</v>
      </c>
    </row>
    <row r="52" spans="1:7">
      <c r="A52" s="80">
        <v>5083</v>
      </c>
      <c r="B52">
        <v>12150</v>
      </c>
      <c r="C52" s="83">
        <v>30</v>
      </c>
      <c r="D52" s="65">
        <f t="shared" si="0"/>
        <v>31492800000</v>
      </c>
      <c r="E52" s="40">
        <f t="shared" si="1"/>
        <v>722977.06032000005</v>
      </c>
    </row>
    <row r="53" spans="1:7">
      <c r="A53" s="80">
        <v>5114</v>
      </c>
      <c r="B53">
        <v>10080</v>
      </c>
      <c r="C53" s="83">
        <v>31</v>
      </c>
      <c r="D53" s="65">
        <f t="shared" si="0"/>
        <v>26998272000</v>
      </c>
      <c r="E53" s="40">
        <f t="shared" si="1"/>
        <v>619796.63047680003</v>
      </c>
    </row>
    <row r="54" spans="1:7">
      <c r="A54" s="80">
        <v>5145</v>
      </c>
      <c r="B54">
        <v>13560</v>
      </c>
      <c r="C54" s="83">
        <v>31</v>
      </c>
      <c r="D54" s="65">
        <f t="shared" si="0"/>
        <v>36319104000</v>
      </c>
      <c r="E54" s="40">
        <f t="shared" si="1"/>
        <v>833774.03861759999</v>
      </c>
    </row>
    <row r="55" spans="1:7">
      <c r="A55" s="80">
        <v>5173</v>
      </c>
      <c r="B55">
        <v>11460</v>
      </c>
      <c r="C55" s="83">
        <v>28</v>
      </c>
      <c r="D55" s="65">
        <f t="shared" si="0"/>
        <v>27724032000</v>
      </c>
      <c r="E55" s="40">
        <f t="shared" si="1"/>
        <v>636457.83022080001</v>
      </c>
      <c r="G55" s="40">
        <f>SUM(E44:E55)</f>
        <v>8497989.3920947202</v>
      </c>
    </row>
    <row r="56" spans="1:7">
      <c r="A56" s="80">
        <v>5204</v>
      </c>
      <c r="B56">
        <v>8800</v>
      </c>
      <c r="C56" s="83">
        <v>31</v>
      </c>
      <c r="D56" s="65">
        <f t="shared" si="0"/>
        <v>23569920000</v>
      </c>
      <c r="E56" s="40">
        <f t="shared" si="1"/>
        <v>541092.29644800001</v>
      </c>
    </row>
    <row r="57" spans="1:7">
      <c r="A57" s="80">
        <v>5234</v>
      </c>
      <c r="B57">
        <v>8984</v>
      </c>
      <c r="C57" s="83">
        <v>30</v>
      </c>
      <c r="D57" s="65">
        <f t="shared" si="0"/>
        <v>23286528000</v>
      </c>
      <c r="E57" s="40">
        <f t="shared" si="1"/>
        <v>534586.49464319996</v>
      </c>
    </row>
    <row r="58" spans="1:7">
      <c r="A58" s="80">
        <v>5265</v>
      </c>
      <c r="B58">
        <v>8546</v>
      </c>
      <c r="C58" s="83">
        <v>31</v>
      </c>
      <c r="D58" s="65">
        <f t="shared" si="0"/>
        <v>22889606400</v>
      </c>
      <c r="E58" s="40">
        <f t="shared" si="1"/>
        <v>525474.40516415995</v>
      </c>
    </row>
    <row r="59" spans="1:7">
      <c r="A59" s="80">
        <v>5295</v>
      </c>
      <c r="B59">
        <v>10670</v>
      </c>
      <c r="C59" s="83">
        <v>30</v>
      </c>
      <c r="D59" s="65">
        <f t="shared" si="0"/>
        <v>27656640000</v>
      </c>
      <c r="E59" s="40">
        <f t="shared" si="1"/>
        <v>634910.71881600004</v>
      </c>
    </row>
    <row r="60" spans="1:7">
      <c r="A60" s="80">
        <v>5326</v>
      </c>
      <c r="B60">
        <v>13720</v>
      </c>
      <c r="C60" s="83">
        <v>31</v>
      </c>
      <c r="D60" s="65">
        <f t="shared" si="0"/>
        <v>36747648000</v>
      </c>
      <c r="E60" s="40">
        <f t="shared" si="1"/>
        <v>843612.08037119999</v>
      </c>
    </row>
    <row r="61" spans="1:7">
      <c r="A61" s="80">
        <v>5357</v>
      </c>
      <c r="B61">
        <v>13970</v>
      </c>
      <c r="C61" s="83">
        <v>31</v>
      </c>
      <c r="D61" s="65">
        <f t="shared" si="0"/>
        <v>37417248000</v>
      </c>
      <c r="E61" s="40">
        <f t="shared" si="1"/>
        <v>858984.02061120002</v>
      </c>
    </row>
    <row r="62" spans="1:7">
      <c r="A62" s="80">
        <v>5387</v>
      </c>
      <c r="B62">
        <v>11060</v>
      </c>
      <c r="C62" s="83">
        <v>30</v>
      </c>
      <c r="D62" s="65">
        <f t="shared" si="0"/>
        <v>28667520000</v>
      </c>
      <c r="E62" s="40">
        <f t="shared" si="1"/>
        <v>658117.38988799998</v>
      </c>
    </row>
    <row r="63" spans="1:7">
      <c r="A63" s="80">
        <v>5418</v>
      </c>
      <c r="B63">
        <v>10650</v>
      </c>
      <c r="C63" s="83">
        <v>31</v>
      </c>
      <c r="D63" s="65">
        <f t="shared" si="0"/>
        <v>28524960000</v>
      </c>
      <c r="E63" s="40">
        <f t="shared" si="1"/>
        <v>654844.65422400006</v>
      </c>
    </row>
    <row r="64" spans="1:7">
      <c r="A64" s="80">
        <v>5448</v>
      </c>
      <c r="B64">
        <v>13520</v>
      </c>
      <c r="C64" s="83">
        <v>30</v>
      </c>
      <c r="D64" s="65">
        <f t="shared" si="0"/>
        <v>35043840000</v>
      </c>
      <c r="E64" s="40">
        <f t="shared" si="1"/>
        <v>804497.93049599999</v>
      </c>
    </row>
    <row r="65" spans="1:7">
      <c r="A65" s="80">
        <v>5479</v>
      </c>
      <c r="B65">
        <v>14830</v>
      </c>
      <c r="C65" s="83">
        <v>31</v>
      </c>
      <c r="D65" s="65">
        <f t="shared" si="0"/>
        <v>39720672000</v>
      </c>
      <c r="E65" s="40">
        <f t="shared" si="1"/>
        <v>911863.49503680004</v>
      </c>
    </row>
    <row r="66" spans="1:7">
      <c r="A66" s="80">
        <v>5510</v>
      </c>
      <c r="B66">
        <v>14780</v>
      </c>
      <c r="C66" s="83">
        <v>31</v>
      </c>
      <c r="D66" s="65">
        <f t="shared" si="0"/>
        <v>39586752000</v>
      </c>
      <c r="E66" s="40">
        <f t="shared" si="1"/>
        <v>908789.10698879999</v>
      </c>
    </row>
    <row r="67" spans="1:7">
      <c r="A67" s="80">
        <v>5538</v>
      </c>
      <c r="B67">
        <v>11430</v>
      </c>
      <c r="C67" s="83">
        <v>28</v>
      </c>
      <c r="D67" s="65">
        <f t="shared" si="0"/>
        <v>27651456000</v>
      </c>
      <c r="E67" s="40">
        <f t="shared" si="1"/>
        <v>634791.71024639998</v>
      </c>
      <c r="G67" s="40">
        <f>SUM(E56:E67)</f>
        <v>8511564.30293376</v>
      </c>
    </row>
    <row r="68" spans="1:7">
      <c r="A68" s="80">
        <v>5569</v>
      </c>
      <c r="B68">
        <v>11340</v>
      </c>
      <c r="C68" s="83">
        <v>31</v>
      </c>
      <c r="D68" s="65">
        <f t="shared" si="0"/>
        <v>30373056000</v>
      </c>
      <c r="E68" s="40">
        <f t="shared" si="1"/>
        <v>697271.2092864</v>
      </c>
    </row>
    <row r="69" spans="1:7">
      <c r="A69" s="80">
        <v>5599</v>
      </c>
      <c r="B69">
        <v>10680</v>
      </c>
      <c r="C69" s="83">
        <v>30</v>
      </c>
      <c r="D69" s="65">
        <f t="shared" si="0"/>
        <v>27682560000</v>
      </c>
      <c r="E69" s="40">
        <f t="shared" si="1"/>
        <v>635505.76166399999</v>
      </c>
    </row>
    <row r="70" spans="1:7">
      <c r="A70" s="80">
        <v>5630</v>
      </c>
      <c r="B70">
        <v>11990</v>
      </c>
      <c r="C70" s="83">
        <v>31</v>
      </c>
      <c r="D70" s="65">
        <f t="shared" si="0"/>
        <v>32114016000</v>
      </c>
      <c r="E70" s="40">
        <f t="shared" si="1"/>
        <v>737238.25391039997</v>
      </c>
    </row>
    <row r="71" spans="1:7">
      <c r="A71" s="80">
        <v>5660</v>
      </c>
      <c r="B71">
        <v>13900</v>
      </c>
      <c r="C71" s="83">
        <v>30</v>
      </c>
      <c r="D71" s="65">
        <f t="shared" ref="D71:D77" si="2">B71*C71*86400</f>
        <v>36028800000</v>
      </c>
      <c r="E71" s="40">
        <f t="shared" ref="E71:E77" si="3">D71*0.0000229569</f>
        <v>827109.55871999997</v>
      </c>
    </row>
    <row r="72" spans="1:7">
      <c r="A72" s="80">
        <v>5691</v>
      </c>
      <c r="B72">
        <v>18040</v>
      </c>
      <c r="C72" s="83">
        <v>31</v>
      </c>
      <c r="D72" s="65">
        <f t="shared" si="2"/>
        <v>48318336000</v>
      </c>
      <c r="E72" s="40">
        <f t="shared" si="3"/>
        <v>1109239.2077184001</v>
      </c>
    </row>
    <row r="73" spans="1:7">
      <c r="A73" s="80">
        <v>5722</v>
      </c>
      <c r="B73">
        <v>13960</v>
      </c>
      <c r="C73" s="83">
        <v>31</v>
      </c>
      <c r="D73" s="65">
        <f t="shared" si="2"/>
        <v>37390464000</v>
      </c>
      <c r="E73" s="40">
        <f t="shared" si="3"/>
        <v>858369.14300160005</v>
      </c>
    </row>
    <row r="74" spans="1:7">
      <c r="A74" s="80">
        <v>5752</v>
      </c>
      <c r="B74">
        <v>12740</v>
      </c>
      <c r="C74" s="83">
        <v>30</v>
      </c>
      <c r="D74" s="65">
        <f t="shared" si="2"/>
        <v>33022080000</v>
      </c>
      <c r="E74" s="40">
        <f t="shared" si="3"/>
        <v>758084.58835199999</v>
      </c>
    </row>
    <row r="75" spans="1:7">
      <c r="A75" s="80">
        <v>5783</v>
      </c>
      <c r="B75">
        <v>10810</v>
      </c>
      <c r="C75" s="83">
        <v>31</v>
      </c>
      <c r="D75" s="65">
        <f t="shared" si="2"/>
        <v>28953504000</v>
      </c>
      <c r="E75" s="40">
        <f t="shared" si="3"/>
        <v>664682.69597760006</v>
      </c>
    </row>
    <row r="76" spans="1:7">
      <c r="A76" s="80">
        <v>5813</v>
      </c>
      <c r="B76">
        <v>10170</v>
      </c>
      <c r="C76" s="83">
        <v>30</v>
      </c>
      <c r="D76" s="65">
        <f t="shared" si="2"/>
        <v>26360640000</v>
      </c>
      <c r="E76" s="40">
        <f t="shared" si="3"/>
        <v>605158.57641600003</v>
      </c>
    </row>
    <row r="77" spans="1:7">
      <c r="A77" s="80">
        <v>5844</v>
      </c>
      <c r="B77">
        <v>14410</v>
      </c>
      <c r="C77" s="83">
        <v>31</v>
      </c>
      <c r="D77" s="65">
        <f t="shared" si="2"/>
        <v>38595744000</v>
      </c>
      <c r="E77" s="40">
        <f t="shared" si="3"/>
        <v>886038.63543360005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E31CA-A2D3-4077-825A-6AA0232021A6}">
  <dimension ref="A1:Q89"/>
  <sheetViews>
    <sheetView workbookViewId="0">
      <selection activeCell="K14" sqref="K14"/>
    </sheetView>
  </sheetViews>
  <sheetFormatPr defaultColWidth="8.81640625" defaultRowHeight="14.5"/>
  <cols>
    <col min="4" max="4" width="13.453125" bestFit="1" customWidth="1"/>
    <col min="5" max="5" width="10.08984375" bestFit="1" customWidth="1"/>
    <col min="10" max="10" width="9.90625" bestFit="1" customWidth="1"/>
  </cols>
  <sheetData>
    <row r="1" spans="1:15" ht="16.5">
      <c r="A1" s="111" t="s">
        <v>80</v>
      </c>
    </row>
    <row r="2" spans="1:15">
      <c r="A2" s="44" t="s">
        <v>254</v>
      </c>
    </row>
    <row r="3" spans="1:15">
      <c r="B3" s="110" t="s">
        <v>250</v>
      </c>
    </row>
    <row r="5" spans="1:15">
      <c r="A5" s="107">
        <v>2010</v>
      </c>
      <c r="B5" s="106">
        <v>16630</v>
      </c>
      <c r="C5" s="106">
        <v>13230</v>
      </c>
      <c r="D5" s="106">
        <v>11670</v>
      </c>
      <c r="E5" s="106">
        <v>12850</v>
      </c>
      <c r="F5" s="106">
        <v>11600</v>
      </c>
      <c r="G5" s="106">
        <v>11190</v>
      </c>
      <c r="H5" s="106">
        <v>14220</v>
      </c>
      <c r="I5" s="106">
        <v>15620</v>
      </c>
      <c r="J5" s="106">
        <v>9815</v>
      </c>
      <c r="K5" s="106">
        <v>9354</v>
      </c>
      <c r="L5" s="106">
        <v>14290</v>
      </c>
      <c r="M5" s="106">
        <v>15130</v>
      </c>
    </row>
    <row r="6" spans="1:15">
      <c r="A6" s="107">
        <v>2011</v>
      </c>
      <c r="B6" s="106">
        <v>17180</v>
      </c>
      <c r="C6" s="106">
        <v>18730</v>
      </c>
      <c r="D6" s="106">
        <v>18020</v>
      </c>
      <c r="E6" s="106">
        <v>17590</v>
      </c>
      <c r="F6" s="106">
        <v>20120</v>
      </c>
      <c r="G6" s="106">
        <v>24280</v>
      </c>
      <c r="H6" s="106">
        <v>25540</v>
      </c>
      <c r="I6" s="106">
        <v>25750</v>
      </c>
      <c r="J6" s="106">
        <v>17230</v>
      </c>
      <c r="K6" s="106">
        <v>16950</v>
      </c>
      <c r="L6" s="106">
        <v>19230</v>
      </c>
      <c r="M6" s="106">
        <v>21010</v>
      </c>
    </row>
    <row r="7" spans="1:15">
      <c r="A7" s="107">
        <v>2012</v>
      </c>
      <c r="B7" s="106">
        <v>14900</v>
      </c>
      <c r="C7" s="106">
        <v>12340</v>
      </c>
      <c r="D7" s="106">
        <v>10750</v>
      </c>
      <c r="E7" s="106">
        <v>11160</v>
      </c>
      <c r="F7" s="106">
        <v>10590</v>
      </c>
      <c r="G7" s="106">
        <v>12610</v>
      </c>
      <c r="H7" s="106">
        <v>15520</v>
      </c>
      <c r="I7" s="106">
        <v>15270</v>
      </c>
      <c r="J7" s="106">
        <v>9612</v>
      </c>
      <c r="K7" s="106">
        <v>9042</v>
      </c>
      <c r="L7" s="106">
        <v>13410</v>
      </c>
      <c r="M7" s="106">
        <v>13820</v>
      </c>
    </row>
    <row r="8" spans="1:15">
      <c r="A8" s="107">
        <v>2013</v>
      </c>
      <c r="B8" s="106">
        <v>14260</v>
      </c>
      <c r="C8" s="106">
        <v>12040</v>
      </c>
      <c r="D8" s="106">
        <v>11150</v>
      </c>
      <c r="E8" s="106">
        <v>10250</v>
      </c>
      <c r="F8" s="106">
        <v>10770</v>
      </c>
      <c r="G8" s="106">
        <v>14330</v>
      </c>
      <c r="H8" s="106">
        <v>15660</v>
      </c>
      <c r="I8" s="106">
        <v>15020</v>
      </c>
      <c r="J8" s="106">
        <v>12610</v>
      </c>
      <c r="K8" s="106">
        <v>8843</v>
      </c>
      <c r="L8" s="106">
        <v>13120</v>
      </c>
      <c r="M8" s="106">
        <v>10760</v>
      </c>
    </row>
    <row r="9" spans="1:15">
      <c r="A9" s="107">
        <v>2014</v>
      </c>
      <c r="B9" s="106">
        <v>14380</v>
      </c>
      <c r="C9" s="106">
        <v>12340</v>
      </c>
      <c r="D9" s="106">
        <v>9532</v>
      </c>
      <c r="E9" s="106">
        <v>9472</v>
      </c>
      <c r="F9" s="106">
        <v>9058</v>
      </c>
      <c r="G9" s="106">
        <v>11130</v>
      </c>
      <c r="H9" s="106">
        <v>14010</v>
      </c>
      <c r="I9" s="106">
        <v>14560</v>
      </c>
      <c r="J9" s="106">
        <v>11550</v>
      </c>
      <c r="K9" s="106">
        <v>11110</v>
      </c>
      <c r="L9" s="106">
        <v>14030</v>
      </c>
      <c r="M9" s="106">
        <v>15290</v>
      </c>
    </row>
    <row r="10" spans="1:15">
      <c r="A10" s="107">
        <v>2015</v>
      </c>
      <c r="B10" s="106">
        <v>15350</v>
      </c>
      <c r="C10" s="106">
        <v>11880</v>
      </c>
      <c r="D10" s="106">
        <v>11740</v>
      </c>
      <c r="E10" s="106">
        <v>10990</v>
      </c>
      <c r="F10" s="106">
        <v>12370</v>
      </c>
      <c r="G10" s="106">
        <v>14250</v>
      </c>
      <c r="H10" s="106">
        <v>18500</v>
      </c>
      <c r="I10" s="106">
        <v>14690</v>
      </c>
      <c r="J10" s="106">
        <v>13050</v>
      </c>
      <c r="K10" s="106">
        <v>11270</v>
      </c>
      <c r="L10" s="106">
        <v>10590</v>
      </c>
      <c r="M10" s="106">
        <v>14760</v>
      </c>
    </row>
    <row r="12" spans="1:15">
      <c r="B12" t="s">
        <v>248</v>
      </c>
      <c r="C12" t="s">
        <v>247</v>
      </c>
      <c r="D12" t="s">
        <v>246</v>
      </c>
      <c r="E12" s="105" t="s">
        <v>245</v>
      </c>
      <c r="M12" t="s">
        <v>253</v>
      </c>
      <c r="N12" t="s">
        <v>248</v>
      </c>
      <c r="O12" t="s">
        <v>245</v>
      </c>
    </row>
    <row r="13" spans="1:15">
      <c r="A13" s="80">
        <v>3684</v>
      </c>
      <c r="B13">
        <v>16630</v>
      </c>
      <c r="C13" s="83">
        <v>31</v>
      </c>
      <c r="D13" s="65">
        <f t="shared" ref="D13:D44" si="0">B13*C13*86400</f>
        <v>44541792000</v>
      </c>
      <c r="E13" s="40">
        <f t="shared" ref="E13:E44" si="1">D13*0.0000229569</f>
        <v>1022541.4647648</v>
      </c>
      <c r="G13" s="40"/>
      <c r="H13" s="40"/>
      <c r="M13">
        <v>1990</v>
      </c>
      <c r="N13">
        <v>12260</v>
      </c>
      <c r="O13">
        <f t="shared" ref="O13:O42" si="2">N13*723.968</f>
        <v>8875847.6799999997</v>
      </c>
    </row>
    <row r="14" spans="1:15">
      <c r="A14" s="80">
        <v>3712</v>
      </c>
      <c r="B14">
        <v>13230</v>
      </c>
      <c r="C14" s="83">
        <v>28</v>
      </c>
      <c r="D14" s="65">
        <f t="shared" si="0"/>
        <v>32006016000</v>
      </c>
      <c r="E14" s="40">
        <f t="shared" si="1"/>
        <v>734758.90871039999</v>
      </c>
      <c r="G14" s="40"/>
      <c r="H14" s="40"/>
      <c r="M14">
        <v>1991</v>
      </c>
      <c r="N14">
        <v>12310</v>
      </c>
      <c r="O14">
        <f t="shared" si="2"/>
        <v>8912046.0800000001</v>
      </c>
    </row>
    <row r="15" spans="1:15">
      <c r="A15" s="80">
        <v>3743</v>
      </c>
      <c r="B15">
        <v>11670</v>
      </c>
      <c r="C15" s="83">
        <v>31</v>
      </c>
      <c r="D15" s="65">
        <f t="shared" si="0"/>
        <v>31256928000</v>
      </c>
      <c r="E15" s="40">
        <f t="shared" si="1"/>
        <v>717562.17040319997</v>
      </c>
      <c r="G15" s="40"/>
      <c r="H15" s="40"/>
      <c r="M15">
        <v>1992</v>
      </c>
      <c r="N15">
        <v>12350</v>
      </c>
      <c r="O15">
        <f t="shared" si="2"/>
        <v>8941004.7999999989</v>
      </c>
    </row>
    <row r="16" spans="1:15">
      <c r="A16" s="80">
        <v>3773</v>
      </c>
      <c r="B16">
        <v>12850</v>
      </c>
      <c r="C16" s="83">
        <v>30</v>
      </c>
      <c r="D16" s="65">
        <f t="shared" si="0"/>
        <v>33307200000</v>
      </c>
      <c r="E16" s="40">
        <f t="shared" si="1"/>
        <v>764630.05968000006</v>
      </c>
      <c r="G16" s="40"/>
      <c r="H16" s="40"/>
      <c r="M16">
        <v>1993</v>
      </c>
      <c r="N16">
        <v>12890</v>
      </c>
      <c r="O16">
        <f t="shared" si="2"/>
        <v>9331947.5199999996</v>
      </c>
    </row>
    <row r="17" spans="1:15">
      <c r="A17" s="80">
        <v>3804</v>
      </c>
      <c r="B17">
        <v>11600</v>
      </c>
      <c r="C17" s="83">
        <v>31</v>
      </c>
      <c r="D17" s="65">
        <f t="shared" si="0"/>
        <v>31069440000</v>
      </c>
      <c r="E17" s="40">
        <f t="shared" si="1"/>
        <v>713258.02713599999</v>
      </c>
      <c r="G17" s="40"/>
      <c r="H17" s="40"/>
      <c r="M17">
        <v>1994</v>
      </c>
      <c r="N17">
        <v>12190</v>
      </c>
      <c r="O17">
        <f t="shared" si="2"/>
        <v>8825169.9199999999</v>
      </c>
    </row>
    <row r="18" spans="1:15">
      <c r="A18" s="80">
        <v>3834</v>
      </c>
      <c r="B18">
        <v>11190</v>
      </c>
      <c r="C18" s="83">
        <v>30</v>
      </c>
      <c r="D18" s="65">
        <f t="shared" si="0"/>
        <v>29004480000</v>
      </c>
      <c r="E18" s="40">
        <f t="shared" si="1"/>
        <v>665852.94691199996</v>
      </c>
      <c r="G18" s="40"/>
      <c r="H18" s="40"/>
      <c r="M18">
        <v>1995</v>
      </c>
      <c r="N18">
        <v>13910</v>
      </c>
      <c r="O18">
        <f t="shared" si="2"/>
        <v>10070394.879999999</v>
      </c>
    </row>
    <row r="19" spans="1:15">
      <c r="A19" s="80">
        <v>3865</v>
      </c>
      <c r="B19">
        <v>14220</v>
      </c>
      <c r="C19" s="83">
        <v>31</v>
      </c>
      <c r="D19" s="65">
        <f t="shared" si="0"/>
        <v>38086848000</v>
      </c>
      <c r="E19" s="40">
        <f t="shared" si="1"/>
        <v>874355.96085120004</v>
      </c>
      <c r="G19" s="40"/>
      <c r="H19" s="40"/>
      <c r="M19">
        <v>1996</v>
      </c>
      <c r="N19">
        <v>16500</v>
      </c>
      <c r="O19">
        <f t="shared" si="2"/>
        <v>11945472</v>
      </c>
    </row>
    <row r="20" spans="1:15">
      <c r="A20" s="80">
        <v>3896</v>
      </c>
      <c r="B20">
        <v>15620</v>
      </c>
      <c r="C20" s="83">
        <v>31</v>
      </c>
      <c r="D20" s="65">
        <f t="shared" si="0"/>
        <v>41836608000</v>
      </c>
      <c r="E20" s="40">
        <f t="shared" si="1"/>
        <v>960438.82619519997</v>
      </c>
      <c r="G20" s="40"/>
      <c r="H20" s="40"/>
      <c r="M20">
        <v>1997</v>
      </c>
      <c r="N20">
        <v>20010</v>
      </c>
      <c r="O20">
        <f t="shared" si="2"/>
        <v>14486599.68</v>
      </c>
    </row>
    <row r="21" spans="1:15">
      <c r="A21" s="80">
        <v>3926</v>
      </c>
      <c r="B21">
        <v>9815</v>
      </c>
      <c r="C21" s="83">
        <v>30</v>
      </c>
      <c r="D21" s="65">
        <f t="shared" si="0"/>
        <v>25440480000</v>
      </c>
      <c r="E21" s="40">
        <f t="shared" si="1"/>
        <v>584034.55531199998</v>
      </c>
      <c r="G21" s="40"/>
      <c r="H21" s="40"/>
      <c r="M21">
        <v>1998</v>
      </c>
      <c r="N21">
        <v>19480</v>
      </c>
      <c r="O21">
        <f t="shared" si="2"/>
        <v>14102896.639999999</v>
      </c>
    </row>
    <row r="22" spans="1:15">
      <c r="A22" s="80">
        <v>3957</v>
      </c>
      <c r="B22">
        <v>9354</v>
      </c>
      <c r="C22" s="83">
        <v>31</v>
      </c>
      <c r="D22" s="65">
        <f t="shared" si="0"/>
        <v>25053753600</v>
      </c>
      <c r="E22" s="40">
        <f t="shared" si="1"/>
        <v>575156.51601984003</v>
      </c>
      <c r="G22" s="40"/>
      <c r="H22" s="40"/>
      <c r="M22">
        <v>1999</v>
      </c>
      <c r="N22">
        <v>16720</v>
      </c>
      <c r="O22">
        <f t="shared" si="2"/>
        <v>12104744.959999999</v>
      </c>
    </row>
    <row r="23" spans="1:15">
      <c r="A23" s="80">
        <v>3987</v>
      </c>
      <c r="B23">
        <v>14290</v>
      </c>
      <c r="C23" s="83">
        <v>30</v>
      </c>
      <c r="D23" s="65">
        <f t="shared" si="0"/>
        <v>37039680000</v>
      </c>
      <c r="E23" s="40">
        <f t="shared" si="1"/>
        <v>850316.22979200003</v>
      </c>
      <c r="G23" s="40"/>
      <c r="H23" s="40"/>
      <c r="M23">
        <v>2000</v>
      </c>
      <c r="N23">
        <v>14110</v>
      </c>
      <c r="O23">
        <f t="shared" si="2"/>
        <v>10215188.479999999</v>
      </c>
    </row>
    <row r="24" spans="1:15">
      <c r="A24" s="80">
        <v>4018</v>
      </c>
      <c r="B24">
        <v>15130</v>
      </c>
      <c r="C24" s="83">
        <v>31</v>
      </c>
      <c r="D24" s="65">
        <f t="shared" si="0"/>
        <v>40524192000</v>
      </c>
      <c r="E24" s="40">
        <f t="shared" si="1"/>
        <v>930309.8233248</v>
      </c>
      <c r="G24" s="40"/>
      <c r="H24" s="40"/>
      <c r="M24">
        <v>2001</v>
      </c>
      <c r="N24">
        <v>12530</v>
      </c>
      <c r="O24">
        <f t="shared" si="2"/>
        <v>9071319.0399999991</v>
      </c>
    </row>
    <row r="25" spans="1:15">
      <c r="A25" s="80">
        <v>4049</v>
      </c>
      <c r="B25">
        <v>17180</v>
      </c>
      <c r="C25" s="83">
        <v>31</v>
      </c>
      <c r="D25" s="65">
        <f t="shared" si="0"/>
        <v>46014912000</v>
      </c>
      <c r="E25" s="40">
        <f t="shared" si="1"/>
        <v>1056359.7332927999</v>
      </c>
      <c r="G25" s="40"/>
      <c r="H25" s="40"/>
      <c r="M25">
        <v>2002</v>
      </c>
      <c r="N25">
        <v>12270</v>
      </c>
      <c r="O25">
        <f t="shared" si="2"/>
        <v>8883087.3599999994</v>
      </c>
    </row>
    <row r="26" spans="1:15">
      <c r="A26" s="80">
        <v>4077</v>
      </c>
      <c r="B26">
        <v>18730</v>
      </c>
      <c r="C26" s="83">
        <v>28</v>
      </c>
      <c r="D26" s="65">
        <f t="shared" si="0"/>
        <v>45311616000</v>
      </c>
      <c r="E26" s="40">
        <f t="shared" si="1"/>
        <v>1040214.2373504001</v>
      </c>
      <c r="G26" s="40"/>
      <c r="H26" s="40"/>
      <c r="J26" s="40">
        <f>SUM(E15:E26)</f>
        <v>9732489.0862694401</v>
      </c>
      <c r="M26">
        <v>2003</v>
      </c>
      <c r="N26">
        <v>12370</v>
      </c>
      <c r="O26">
        <f t="shared" si="2"/>
        <v>8955484.1600000001</v>
      </c>
    </row>
    <row r="27" spans="1:15">
      <c r="A27" s="80">
        <v>4108</v>
      </c>
      <c r="B27">
        <v>18020</v>
      </c>
      <c r="C27" s="83">
        <v>31</v>
      </c>
      <c r="D27" s="65">
        <f t="shared" si="0"/>
        <v>48264768000</v>
      </c>
      <c r="E27" s="40">
        <f t="shared" si="1"/>
        <v>1108009.4524992001</v>
      </c>
      <c r="G27" s="40"/>
      <c r="H27" s="40"/>
      <c r="M27">
        <v>2004</v>
      </c>
      <c r="N27">
        <v>12360</v>
      </c>
      <c r="O27">
        <f t="shared" si="2"/>
        <v>8948244.4800000004</v>
      </c>
    </row>
    <row r="28" spans="1:15">
      <c r="A28" s="80">
        <v>4138</v>
      </c>
      <c r="B28">
        <v>17590</v>
      </c>
      <c r="C28" s="83">
        <v>30</v>
      </c>
      <c r="D28" s="65">
        <f t="shared" si="0"/>
        <v>45593280000</v>
      </c>
      <c r="E28" s="40">
        <f t="shared" si="1"/>
        <v>1046680.369632</v>
      </c>
      <c r="G28" s="40"/>
      <c r="H28" s="40"/>
      <c r="M28">
        <v>2005</v>
      </c>
      <c r="N28">
        <v>13000</v>
      </c>
      <c r="O28">
        <f t="shared" si="2"/>
        <v>9411584</v>
      </c>
    </row>
    <row r="29" spans="1:15">
      <c r="A29" s="80">
        <v>4169</v>
      </c>
      <c r="B29">
        <v>20120</v>
      </c>
      <c r="C29" s="83">
        <v>31</v>
      </c>
      <c r="D29" s="65">
        <f t="shared" si="0"/>
        <v>53889408000</v>
      </c>
      <c r="E29" s="40">
        <f t="shared" si="1"/>
        <v>1237133.7505152</v>
      </c>
      <c r="G29" s="40"/>
      <c r="H29" s="40"/>
      <c r="M29">
        <v>2006</v>
      </c>
      <c r="N29">
        <v>12450</v>
      </c>
      <c r="O29">
        <f t="shared" si="2"/>
        <v>9013401.5999999996</v>
      </c>
    </row>
    <row r="30" spans="1:15">
      <c r="A30" s="80">
        <v>4199</v>
      </c>
      <c r="B30">
        <v>24280</v>
      </c>
      <c r="C30" s="83">
        <v>30</v>
      </c>
      <c r="D30" s="65">
        <f t="shared" si="0"/>
        <v>62933760000</v>
      </c>
      <c r="E30" s="40">
        <f t="shared" si="1"/>
        <v>1444764.034944</v>
      </c>
      <c r="G30" s="40"/>
      <c r="H30" s="40"/>
      <c r="M30">
        <v>2007</v>
      </c>
      <c r="N30">
        <v>12710</v>
      </c>
      <c r="O30">
        <f t="shared" si="2"/>
        <v>9201633.2799999993</v>
      </c>
    </row>
    <row r="31" spans="1:15">
      <c r="A31" s="80">
        <v>4230</v>
      </c>
      <c r="B31">
        <v>25540</v>
      </c>
      <c r="C31" s="83">
        <v>31</v>
      </c>
      <c r="D31" s="65">
        <f t="shared" si="0"/>
        <v>68406336000</v>
      </c>
      <c r="E31" s="40">
        <f t="shared" si="1"/>
        <v>1570397.4149184001</v>
      </c>
      <c r="G31" s="40"/>
      <c r="H31" s="40"/>
      <c r="M31">
        <v>2008</v>
      </c>
      <c r="N31">
        <v>13850</v>
      </c>
      <c r="O31">
        <f t="shared" si="2"/>
        <v>10026956.799999999</v>
      </c>
    </row>
    <row r="32" spans="1:15">
      <c r="A32" s="80">
        <v>4261</v>
      </c>
      <c r="B32">
        <v>25750</v>
      </c>
      <c r="C32" s="83">
        <v>31</v>
      </c>
      <c r="D32" s="65">
        <f t="shared" si="0"/>
        <v>68968800000</v>
      </c>
      <c r="E32" s="40">
        <f t="shared" si="1"/>
        <v>1583309.8447199999</v>
      </c>
      <c r="G32" s="40"/>
      <c r="H32" s="40"/>
      <c r="M32">
        <v>2009</v>
      </c>
      <c r="N32">
        <v>12840</v>
      </c>
      <c r="O32">
        <f t="shared" si="2"/>
        <v>9295749.1199999992</v>
      </c>
    </row>
    <row r="33" spans="1:17">
      <c r="A33" s="80">
        <v>4291</v>
      </c>
      <c r="B33">
        <v>17230</v>
      </c>
      <c r="C33" s="83">
        <v>30</v>
      </c>
      <c r="D33" s="65">
        <f t="shared" si="0"/>
        <v>44660160000</v>
      </c>
      <c r="E33" s="40">
        <f t="shared" si="1"/>
        <v>1025258.827104</v>
      </c>
      <c r="G33" s="40"/>
      <c r="H33" s="40"/>
      <c r="M33">
        <v>2010</v>
      </c>
      <c r="N33">
        <v>13100</v>
      </c>
      <c r="O33">
        <f t="shared" si="2"/>
        <v>9483980.7999999989</v>
      </c>
    </row>
    <row r="34" spans="1:17">
      <c r="A34" s="80">
        <v>4322</v>
      </c>
      <c r="B34">
        <v>16950</v>
      </c>
      <c r="C34" s="83">
        <v>31</v>
      </c>
      <c r="D34" s="65">
        <f t="shared" si="0"/>
        <v>45398880000</v>
      </c>
      <c r="E34" s="40">
        <f t="shared" si="1"/>
        <v>1042217.548272</v>
      </c>
      <c r="G34" s="40"/>
      <c r="H34" s="40"/>
      <c r="M34">
        <v>2011</v>
      </c>
      <c r="N34">
        <v>18600</v>
      </c>
      <c r="O34">
        <f t="shared" si="2"/>
        <v>13465804.799999999</v>
      </c>
    </row>
    <row r="35" spans="1:17">
      <c r="A35" s="80">
        <v>4352</v>
      </c>
      <c r="B35">
        <v>19230</v>
      </c>
      <c r="C35" s="83">
        <v>30</v>
      </c>
      <c r="D35" s="65">
        <f t="shared" si="0"/>
        <v>49844160000</v>
      </c>
      <c r="E35" s="40">
        <f t="shared" si="1"/>
        <v>1144267.396704</v>
      </c>
      <c r="G35" s="40"/>
      <c r="H35" s="40"/>
      <c r="M35">
        <v>2012</v>
      </c>
      <c r="N35">
        <v>14180</v>
      </c>
      <c r="O35">
        <f t="shared" si="2"/>
        <v>10265866.24</v>
      </c>
    </row>
    <row r="36" spans="1:17">
      <c r="A36" s="80">
        <v>4383</v>
      </c>
      <c r="B36">
        <v>21010</v>
      </c>
      <c r="C36" s="83">
        <v>31</v>
      </c>
      <c r="D36" s="65">
        <f t="shared" si="0"/>
        <v>56273184000</v>
      </c>
      <c r="E36" s="40">
        <f t="shared" si="1"/>
        <v>1291857.8577696001</v>
      </c>
      <c r="G36" s="40"/>
      <c r="H36" s="40"/>
      <c r="M36">
        <v>2013</v>
      </c>
      <c r="N36">
        <v>12700</v>
      </c>
      <c r="O36">
        <f t="shared" si="2"/>
        <v>9194393.5999999996</v>
      </c>
    </row>
    <row r="37" spans="1:17">
      <c r="A37" s="80">
        <v>4414</v>
      </c>
      <c r="B37">
        <v>14900</v>
      </c>
      <c r="C37" s="83">
        <v>31</v>
      </c>
      <c r="D37" s="65">
        <f t="shared" si="0"/>
        <v>39908160000</v>
      </c>
      <c r="E37" s="40">
        <f t="shared" si="1"/>
        <v>916167.63830400002</v>
      </c>
      <c r="G37" s="40"/>
      <c r="H37" s="40"/>
      <c r="M37">
        <v>2014</v>
      </c>
      <c r="N37">
        <v>11560</v>
      </c>
      <c r="O37">
        <f t="shared" si="2"/>
        <v>8369070.0799999991</v>
      </c>
    </row>
    <row r="38" spans="1:17">
      <c r="A38" s="80">
        <v>4443</v>
      </c>
      <c r="B38">
        <v>12340</v>
      </c>
      <c r="C38" s="83">
        <v>29</v>
      </c>
      <c r="D38" s="65">
        <f t="shared" si="0"/>
        <v>30919104000</v>
      </c>
      <c r="E38" s="40">
        <f t="shared" si="1"/>
        <v>709806.77861759998</v>
      </c>
      <c r="G38" s="40"/>
      <c r="H38" s="40"/>
      <c r="J38" s="40">
        <f>SUM(E27:E38)</f>
        <v>14119870.914000001</v>
      </c>
      <c r="M38">
        <v>2015</v>
      </c>
      <c r="N38">
        <v>13620</v>
      </c>
      <c r="O38">
        <f t="shared" si="2"/>
        <v>9860444.1600000001</v>
      </c>
    </row>
    <row r="39" spans="1:17">
      <c r="A39" s="80">
        <v>4474</v>
      </c>
      <c r="B39">
        <v>10750</v>
      </c>
      <c r="C39" s="83">
        <v>31</v>
      </c>
      <c r="D39" s="65">
        <f t="shared" si="0"/>
        <v>28792800000</v>
      </c>
      <c r="E39" s="40">
        <f t="shared" si="1"/>
        <v>660993.43032000004</v>
      </c>
      <c r="G39" s="40"/>
      <c r="H39" s="40"/>
      <c r="M39">
        <v>2016</v>
      </c>
      <c r="N39">
        <v>13550</v>
      </c>
      <c r="O39">
        <f t="shared" si="2"/>
        <v>9809766.4000000004</v>
      </c>
    </row>
    <row r="40" spans="1:17">
      <c r="A40" s="80">
        <v>4504</v>
      </c>
      <c r="B40">
        <v>11160</v>
      </c>
      <c r="C40" s="83">
        <v>30</v>
      </c>
      <c r="D40" s="65">
        <f t="shared" si="0"/>
        <v>28926720000</v>
      </c>
      <c r="E40" s="40">
        <f t="shared" si="1"/>
        <v>664067.81836799998</v>
      </c>
      <c r="G40" s="40"/>
      <c r="H40" s="40"/>
      <c r="M40">
        <v>2017</v>
      </c>
      <c r="N40">
        <v>13860</v>
      </c>
      <c r="O40">
        <f t="shared" si="2"/>
        <v>10034196.479999999</v>
      </c>
    </row>
    <row r="41" spans="1:17">
      <c r="A41" s="80">
        <v>4535</v>
      </c>
      <c r="B41">
        <v>10590</v>
      </c>
      <c r="C41" s="83">
        <v>31</v>
      </c>
      <c r="D41" s="65">
        <f t="shared" si="0"/>
        <v>28364256000</v>
      </c>
      <c r="E41" s="40">
        <f t="shared" si="1"/>
        <v>651155.38856640004</v>
      </c>
      <c r="G41" s="40"/>
      <c r="H41" s="40"/>
      <c r="M41">
        <v>2018</v>
      </c>
      <c r="N41">
        <v>13570</v>
      </c>
      <c r="O41">
        <f t="shared" si="2"/>
        <v>9824245.7599999998</v>
      </c>
    </row>
    <row r="42" spans="1:17">
      <c r="A42" s="80">
        <v>4565</v>
      </c>
      <c r="B42">
        <v>12610</v>
      </c>
      <c r="C42" s="83">
        <v>30</v>
      </c>
      <c r="D42" s="65">
        <f t="shared" si="0"/>
        <v>32685120000</v>
      </c>
      <c r="E42" s="40">
        <f t="shared" si="1"/>
        <v>750349.03132800001</v>
      </c>
      <c r="G42" s="40"/>
      <c r="H42" s="40"/>
      <c r="M42">
        <v>2019</v>
      </c>
      <c r="N42">
        <v>13900</v>
      </c>
      <c r="O42">
        <f t="shared" si="2"/>
        <v>10063155.199999999</v>
      </c>
      <c r="Q42">
        <f>AVERAGE(O30:O40)</f>
        <v>9909805.6145454533</v>
      </c>
    </row>
    <row r="43" spans="1:17">
      <c r="A43" s="80">
        <v>4596</v>
      </c>
      <c r="B43">
        <v>15520</v>
      </c>
      <c r="C43" s="83">
        <v>31</v>
      </c>
      <c r="D43" s="65">
        <f t="shared" si="0"/>
        <v>41568768000</v>
      </c>
      <c r="E43" s="40">
        <f t="shared" si="1"/>
        <v>954290.05009919999</v>
      </c>
      <c r="G43" s="40"/>
      <c r="H43" s="40"/>
    </row>
    <row r="44" spans="1:17">
      <c r="A44" s="80">
        <v>4627</v>
      </c>
      <c r="B44">
        <v>15270</v>
      </c>
      <c r="C44" s="83">
        <v>31</v>
      </c>
      <c r="D44" s="65">
        <f t="shared" si="0"/>
        <v>40899168000</v>
      </c>
      <c r="E44" s="40">
        <f t="shared" si="1"/>
        <v>938918.10985919996</v>
      </c>
      <c r="G44" s="40"/>
      <c r="H44" s="40"/>
    </row>
    <row r="45" spans="1:17">
      <c r="A45" s="80">
        <v>4657</v>
      </c>
      <c r="B45">
        <v>9612</v>
      </c>
      <c r="C45" s="83">
        <v>30</v>
      </c>
      <c r="D45" s="65">
        <f t="shared" ref="D45:D76" si="3">B45*C45*86400</f>
        <v>24914304000</v>
      </c>
      <c r="E45" s="40">
        <f t="shared" ref="E45:E76" si="4">D45*0.0000229569</f>
        <v>571955.1854976</v>
      </c>
      <c r="G45" s="40"/>
      <c r="H45" s="40"/>
    </row>
    <row r="46" spans="1:17">
      <c r="A46" s="80">
        <v>4688</v>
      </c>
      <c r="B46">
        <v>9042</v>
      </c>
      <c r="C46" s="83">
        <v>31</v>
      </c>
      <c r="D46" s="65">
        <f t="shared" si="3"/>
        <v>24218092800</v>
      </c>
      <c r="E46" s="40">
        <f t="shared" si="4"/>
        <v>555972.33460031997</v>
      </c>
      <c r="G46" s="40"/>
      <c r="H46" s="40"/>
    </row>
    <row r="47" spans="1:17">
      <c r="A47" s="80">
        <v>4718</v>
      </c>
      <c r="B47">
        <v>13410</v>
      </c>
      <c r="C47" s="83">
        <v>30</v>
      </c>
      <c r="D47" s="65">
        <f t="shared" si="3"/>
        <v>34758720000</v>
      </c>
      <c r="E47" s="40">
        <f t="shared" si="4"/>
        <v>797952.45916800003</v>
      </c>
      <c r="G47" s="40"/>
      <c r="H47" s="40"/>
    </row>
    <row r="48" spans="1:17">
      <c r="A48" s="80">
        <v>4749</v>
      </c>
      <c r="B48">
        <v>13820</v>
      </c>
      <c r="C48" s="83">
        <v>31</v>
      </c>
      <c r="D48" s="65">
        <f t="shared" si="3"/>
        <v>37015488000</v>
      </c>
      <c r="E48" s="40">
        <f t="shared" si="4"/>
        <v>849760.85646719998</v>
      </c>
      <c r="G48" s="40"/>
      <c r="H48" s="40"/>
    </row>
    <row r="49" spans="1:10">
      <c r="A49" s="80">
        <v>4780</v>
      </c>
      <c r="B49">
        <v>14260</v>
      </c>
      <c r="C49" s="83">
        <v>31</v>
      </c>
      <c r="D49" s="65">
        <f t="shared" si="3"/>
        <v>38193984000</v>
      </c>
      <c r="E49" s="40">
        <f t="shared" si="4"/>
        <v>876815.47128960001</v>
      </c>
      <c r="G49" s="40"/>
      <c r="H49" s="40"/>
    </row>
    <row r="50" spans="1:10">
      <c r="A50" s="80">
        <v>4808</v>
      </c>
      <c r="B50">
        <v>12040</v>
      </c>
      <c r="C50" s="83">
        <v>28</v>
      </c>
      <c r="D50" s="65">
        <f t="shared" si="3"/>
        <v>29127168000</v>
      </c>
      <c r="E50" s="40">
        <f t="shared" si="4"/>
        <v>668669.48305919999</v>
      </c>
      <c r="G50" s="40"/>
      <c r="H50" s="40"/>
      <c r="J50" s="40">
        <f>SUM(E39:E50)</f>
        <v>8940899.6186227202</v>
      </c>
    </row>
    <row r="51" spans="1:10">
      <c r="A51" s="80">
        <v>4839</v>
      </c>
      <c r="B51">
        <v>11150</v>
      </c>
      <c r="C51" s="83">
        <v>31</v>
      </c>
      <c r="D51" s="65">
        <f t="shared" si="3"/>
        <v>29864160000</v>
      </c>
      <c r="E51" s="40">
        <f t="shared" si="4"/>
        <v>685588.53470399999</v>
      </c>
      <c r="G51" s="40"/>
      <c r="H51" s="40"/>
    </row>
    <row r="52" spans="1:10">
      <c r="A52" s="80">
        <v>4869</v>
      </c>
      <c r="B52">
        <v>10250</v>
      </c>
      <c r="C52" s="83">
        <v>30</v>
      </c>
      <c r="D52" s="65">
        <f t="shared" si="3"/>
        <v>26568000000</v>
      </c>
      <c r="E52" s="40">
        <f t="shared" si="4"/>
        <v>609918.9192</v>
      </c>
      <c r="G52" s="40"/>
      <c r="H52" s="40"/>
    </row>
    <row r="53" spans="1:10">
      <c r="A53" s="80">
        <v>4900</v>
      </c>
      <c r="B53">
        <v>10770</v>
      </c>
      <c r="C53" s="83">
        <v>31</v>
      </c>
      <c r="D53" s="65">
        <f t="shared" si="3"/>
        <v>28846368000</v>
      </c>
      <c r="E53" s="40">
        <f t="shared" si="4"/>
        <v>662223.18553919997</v>
      </c>
      <c r="G53" s="40"/>
      <c r="H53" s="40"/>
    </row>
    <row r="54" spans="1:10">
      <c r="A54" s="80">
        <v>4930</v>
      </c>
      <c r="B54">
        <v>14330</v>
      </c>
      <c r="C54" s="83">
        <v>30</v>
      </c>
      <c r="D54" s="65">
        <f t="shared" si="3"/>
        <v>37143360000</v>
      </c>
      <c r="E54" s="40">
        <f t="shared" si="4"/>
        <v>852696.40118399996</v>
      </c>
      <c r="G54" s="40"/>
      <c r="H54" s="40"/>
    </row>
    <row r="55" spans="1:10">
      <c r="A55" s="80">
        <v>4961</v>
      </c>
      <c r="B55">
        <v>15660</v>
      </c>
      <c r="C55" s="83">
        <v>31</v>
      </c>
      <c r="D55" s="65">
        <f t="shared" si="3"/>
        <v>41943744000</v>
      </c>
      <c r="E55" s="40">
        <f t="shared" si="4"/>
        <v>962898.33663360006</v>
      </c>
      <c r="G55" s="40"/>
      <c r="H55" s="40"/>
    </row>
    <row r="56" spans="1:10">
      <c r="A56" s="80">
        <v>4992</v>
      </c>
      <c r="B56">
        <v>15020</v>
      </c>
      <c r="C56" s="83">
        <v>31</v>
      </c>
      <c r="D56" s="65">
        <f t="shared" si="3"/>
        <v>40229568000</v>
      </c>
      <c r="E56" s="40">
        <f t="shared" si="4"/>
        <v>923546.16961920005</v>
      </c>
      <c r="G56" s="40"/>
      <c r="H56" s="40"/>
    </row>
    <row r="57" spans="1:10">
      <c r="A57" s="80">
        <v>5022</v>
      </c>
      <c r="B57">
        <v>12610</v>
      </c>
      <c r="C57" s="83">
        <v>30</v>
      </c>
      <c r="D57" s="65">
        <f t="shared" si="3"/>
        <v>32685120000</v>
      </c>
      <c r="E57" s="40">
        <f t="shared" si="4"/>
        <v>750349.03132800001</v>
      </c>
      <c r="G57" s="40"/>
      <c r="H57" s="40"/>
    </row>
    <row r="58" spans="1:10">
      <c r="A58" s="80">
        <v>5053</v>
      </c>
      <c r="B58">
        <v>8843</v>
      </c>
      <c r="C58" s="83">
        <v>31</v>
      </c>
      <c r="D58" s="65">
        <f t="shared" si="3"/>
        <v>23685091200</v>
      </c>
      <c r="E58" s="40">
        <f t="shared" si="4"/>
        <v>543736.27016928</v>
      </c>
      <c r="G58" s="40"/>
      <c r="H58" s="40"/>
    </row>
    <row r="59" spans="1:10">
      <c r="A59" s="80">
        <v>5083</v>
      </c>
      <c r="B59">
        <v>13120</v>
      </c>
      <c r="C59" s="83">
        <v>30</v>
      </c>
      <c r="D59" s="65">
        <f t="shared" si="3"/>
        <v>34007040000</v>
      </c>
      <c r="E59" s="40">
        <f t="shared" si="4"/>
        <v>780696.21657599998</v>
      </c>
      <c r="G59" s="40"/>
      <c r="H59" s="40"/>
    </row>
    <row r="60" spans="1:10">
      <c r="A60" s="80">
        <v>5114</v>
      </c>
      <c r="B60">
        <v>10760</v>
      </c>
      <c r="C60" s="83">
        <v>31</v>
      </c>
      <c r="D60" s="65">
        <f t="shared" si="3"/>
        <v>28819584000</v>
      </c>
      <c r="E60" s="40">
        <f t="shared" si="4"/>
        <v>661608.30792960001</v>
      </c>
      <c r="G60" s="40"/>
      <c r="H60" s="40"/>
    </row>
    <row r="61" spans="1:10">
      <c r="A61" s="80">
        <v>5145</v>
      </c>
      <c r="B61">
        <v>14380</v>
      </c>
      <c r="C61" s="83">
        <v>31</v>
      </c>
      <c r="D61" s="65">
        <f t="shared" si="3"/>
        <v>38515392000</v>
      </c>
      <c r="E61" s="40">
        <f t="shared" si="4"/>
        <v>884194.00260480004</v>
      </c>
      <c r="G61" s="40"/>
      <c r="H61" s="40"/>
    </row>
    <row r="62" spans="1:10">
      <c r="A62" s="80">
        <v>5173</v>
      </c>
      <c r="B62">
        <v>12340</v>
      </c>
      <c r="C62" s="83">
        <v>28</v>
      </c>
      <c r="D62" s="65">
        <f t="shared" si="3"/>
        <v>29852928000</v>
      </c>
      <c r="E62" s="40">
        <f t="shared" si="4"/>
        <v>685330.68280319998</v>
      </c>
      <c r="G62" s="40"/>
      <c r="H62" s="40"/>
      <c r="J62" s="40">
        <f>SUM(E51:E62)</f>
        <v>9002786.0582908802</v>
      </c>
    </row>
    <row r="63" spans="1:10">
      <c r="A63" s="80">
        <v>5204</v>
      </c>
      <c r="B63">
        <v>9532</v>
      </c>
      <c r="C63" s="83">
        <v>31</v>
      </c>
      <c r="D63" s="65">
        <f t="shared" si="3"/>
        <v>25530508800</v>
      </c>
      <c r="E63" s="40">
        <f t="shared" si="4"/>
        <v>586101.33747072006</v>
      </c>
      <c r="G63" s="40"/>
      <c r="H63" s="40"/>
    </row>
    <row r="64" spans="1:10">
      <c r="A64" s="80">
        <v>5234</v>
      </c>
      <c r="B64">
        <v>9472</v>
      </c>
      <c r="C64" s="83">
        <v>30</v>
      </c>
      <c r="D64" s="65">
        <f t="shared" si="3"/>
        <v>24551424000</v>
      </c>
      <c r="E64" s="40">
        <f t="shared" si="4"/>
        <v>563624.58562559995</v>
      </c>
      <c r="G64" s="40"/>
      <c r="H64" s="40"/>
    </row>
    <row r="65" spans="1:10">
      <c r="A65" s="80">
        <v>5265</v>
      </c>
      <c r="B65">
        <v>9058</v>
      </c>
      <c r="C65" s="83">
        <v>31</v>
      </c>
      <c r="D65" s="65">
        <f t="shared" si="3"/>
        <v>24260947200</v>
      </c>
      <c r="E65" s="40">
        <f t="shared" si="4"/>
        <v>556956.13877567998</v>
      </c>
      <c r="G65" s="40"/>
      <c r="H65" s="40"/>
    </row>
    <row r="66" spans="1:10">
      <c r="A66" s="80">
        <v>5295</v>
      </c>
      <c r="B66">
        <v>11130</v>
      </c>
      <c r="C66" s="83">
        <v>30</v>
      </c>
      <c r="D66" s="65">
        <f t="shared" si="3"/>
        <v>28848960000</v>
      </c>
      <c r="E66" s="40">
        <f t="shared" si="4"/>
        <v>662282.689824</v>
      </c>
      <c r="G66" s="40"/>
      <c r="H66" s="40"/>
    </row>
    <row r="67" spans="1:10">
      <c r="A67" s="80">
        <v>5326</v>
      </c>
      <c r="B67">
        <v>14010</v>
      </c>
      <c r="C67" s="83">
        <v>31</v>
      </c>
      <c r="D67" s="65">
        <f t="shared" si="3"/>
        <v>37524384000</v>
      </c>
      <c r="E67" s="40">
        <f t="shared" si="4"/>
        <v>861443.53104959999</v>
      </c>
      <c r="G67" s="40"/>
      <c r="H67" s="40"/>
    </row>
    <row r="68" spans="1:10">
      <c r="A68" s="80">
        <v>5357</v>
      </c>
      <c r="B68">
        <v>14560</v>
      </c>
      <c r="C68" s="83">
        <v>31</v>
      </c>
      <c r="D68" s="65">
        <f t="shared" si="3"/>
        <v>38997504000</v>
      </c>
      <c r="E68" s="40">
        <f t="shared" si="4"/>
        <v>895261.79957759997</v>
      </c>
      <c r="G68" s="40"/>
      <c r="H68" s="40"/>
    </row>
    <row r="69" spans="1:10">
      <c r="A69" s="80">
        <v>5387</v>
      </c>
      <c r="B69">
        <v>11550</v>
      </c>
      <c r="C69" s="83">
        <v>30</v>
      </c>
      <c r="D69" s="65">
        <f t="shared" si="3"/>
        <v>29937600000</v>
      </c>
      <c r="E69" s="40">
        <f t="shared" si="4"/>
        <v>687274.48944000003</v>
      </c>
      <c r="G69" s="40"/>
      <c r="H69" s="40"/>
    </row>
    <row r="70" spans="1:10">
      <c r="A70" s="80">
        <v>5418</v>
      </c>
      <c r="B70">
        <v>11110</v>
      </c>
      <c r="C70" s="83">
        <v>31</v>
      </c>
      <c r="D70" s="65">
        <f t="shared" si="3"/>
        <v>29757024000</v>
      </c>
      <c r="E70" s="40">
        <f t="shared" si="4"/>
        <v>683129.02426560002</v>
      </c>
      <c r="G70" s="40"/>
      <c r="H70" s="40"/>
    </row>
    <row r="71" spans="1:10">
      <c r="A71" s="80">
        <v>5448</v>
      </c>
      <c r="B71">
        <v>14030</v>
      </c>
      <c r="C71" s="83">
        <v>30</v>
      </c>
      <c r="D71" s="65">
        <f t="shared" si="3"/>
        <v>36365760000</v>
      </c>
      <c r="E71" s="40">
        <f t="shared" si="4"/>
        <v>834845.11574400007</v>
      </c>
      <c r="G71" s="40"/>
      <c r="H71" s="40"/>
    </row>
    <row r="72" spans="1:10">
      <c r="A72" s="80">
        <v>5479</v>
      </c>
      <c r="B72">
        <v>15290</v>
      </c>
      <c r="C72" s="83">
        <v>31</v>
      </c>
      <c r="D72" s="65">
        <f t="shared" si="3"/>
        <v>40952736000</v>
      </c>
      <c r="E72" s="40">
        <f t="shared" si="4"/>
        <v>940147.86507840001</v>
      </c>
      <c r="G72" s="40"/>
      <c r="H72" s="40"/>
    </row>
    <row r="73" spans="1:10">
      <c r="A73" s="80">
        <v>5510</v>
      </c>
      <c r="B73">
        <v>15350</v>
      </c>
      <c r="C73" s="83">
        <v>31</v>
      </c>
      <c r="D73" s="65">
        <f t="shared" si="3"/>
        <v>41113440000</v>
      </c>
      <c r="E73" s="40">
        <f t="shared" si="4"/>
        <v>943837.13073600002</v>
      </c>
      <c r="G73" s="40"/>
      <c r="H73" s="40"/>
    </row>
    <row r="74" spans="1:10">
      <c r="A74" s="80">
        <v>5538</v>
      </c>
      <c r="B74">
        <v>11880</v>
      </c>
      <c r="C74" s="83">
        <v>28</v>
      </c>
      <c r="D74" s="65">
        <f t="shared" si="3"/>
        <v>28740096000</v>
      </c>
      <c r="E74" s="40">
        <f t="shared" si="4"/>
        <v>659783.50986240001</v>
      </c>
      <c r="G74" s="40"/>
      <c r="H74" s="40"/>
      <c r="J74" s="40">
        <f>SUM(E63:E74)</f>
        <v>8874687.2174495999</v>
      </c>
    </row>
    <row r="75" spans="1:10">
      <c r="A75" s="80">
        <v>5569</v>
      </c>
      <c r="B75">
        <v>11740</v>
      </c>
      <c r="C75" s="83">
        <v>31</v>
      </c>
      <c r="D75" s="65">
        <f t="shared" si="3"/>
        <v>31444416000</v>
      </c>
      <c r="E75" s="40">
        <f t="shared" si="4"/>
        <v>721866.31367040006</v>
      </c>
      <c r="G75" s="40"/>
      <c r="H75" s="40"/>
    </row>
    <row r="76" spans="1:10">
      <c r="A76" s="80">
        <v>5599</v>
      </c>
      <c r="B76">
        <v>10990</v>
      </c>
      <c r="C76" s="83">
        <v>30</v>
      </c>
      <c r="D76" s="65">
        <f t="shared" si="3"/>
        <v>28486080000</v>
      </c>
      <c r="E76" s="40">
        <f t="shared" si="4"/>
        <v>653952.08995200007</v>
      </c>
      <c r="G76" s="40"/>
      <c r="H76" s="40"/>
    </row>
    <row r="77" spans="1:10">
      <c r="A77" s="80">
        <v>5630</v>
      </c>
      <c r="B77">
        <v>12370</v>
      </c>
      <c r="C77" s="83">
        <v>31</v>
      </c>
      <c r="D77" s="65">
        <f t="shared" ref="D77:D84" si="5">B77*C77*86400</f>
        <v>33131808000</v>
      </c>
      <c r="E77" s="40">
        <f t="shared" ref="E77:E84" si="6">D77*0.0000229569</f>
        <v>760603.60307519999</v>
      </c>
      <c r="G77" s="40"/>
      <c r="H77" s="40"/>
    </row>
    <row r="78" spans="1:10">
      <c r="A78" s="80">
        <v>5660</v>
      </c>
      <c r="B78">
        <v>14250</v>
      </c>
      <c r="C78" s="83">
        <v>30</v>
      </c>
      <c r="D78" s="65">
        <f t="shared" si="5"/>
        <v>36936000000</v>
      </c>
      <c r="E78" s="40">
        <f t="shared" si="6"/>
        <v>847936.05839999998</v>
      </c>
      <c r="G78" s="40"/>
      <c r="H78" s="40"/>
    </row>
    <row r="79" spans="1:10">
      <c r="A79" s="80">
        <v>5691</v>
      </c>
      <c r="B79">
        <v>18500</v>
      </c>
      <c r="C79" s="83">
        <v>31</v>
      </c>
      <c r="D79" s="65">
        <f t="shared" si="5"/>
        <v>49550400000</v>
      </c>
      <c r="E79" s="40">
        <f t="shared" si="6"/>
        <v>1137523.57776</v>
      </c>
      <c r="G79" s="40"/>
      <c r="H79" s="40"/>
    </row>
    <row r="80" spans="1:10">
      <c r="A80" s="80">
        <v>5722</v>
      </c>
      <c r="B80">
        <v>14690</v>
      </c>
      <c r="C80" s="83">
        <v>31</v>
      </c>
      <c r="D80" s="65">
        <f t="shared" si="5"/>
        <v>39345696000</v>
      </c>
      <c r="E80" s="40">
        <f t="shared" si="6"/>
        <v>903255.20850239997</v>
      </c>
      <c r="G80" s="40"/>
      <c r="H80" s="40"/>
    </row>
    <row r="81" spans="1:8">
      <c r="A81" s="80">
        <v>5752</v>
      </c>
      <c r="B81">
        <v>13050</v>
      </c>
      <c r="C81" s="83">
        <v>30</v>
      </c>
      <c r="D81" s="65">
        <f t="shared" si="5"/>
        <v>33825600000</v>
      </c>
      <c r="E81" s="40">
        <f t="shared" si="6"/>
        <v>776530.91664000007</v>
      </c>
      <c r="G81" s="40"/>
      <c r="H81" s="40"/>
    </row>
    <row r="82" spans="1:8">
      <c r="A82" s="80">
        <v>5783</v>
      </c>
      <c r="B82">
        <v>11270</v>
      </c>
      <c r="C82" s="83">
        <v>31</v>
      </c>
      <c r="D82" s="65">
        <f t="shared" si="5"/>
        <v>30185568000</v>
      </c>
      <c r="E82" s="40">
        <f t="shared" si="6"/>
        <v>692967.06601920002</v>
      </c>
      <c r="G82" s="40"/>
      <c r="H82" s="40"/>
    </row>
    <row r="83" spans="1:8">
      <c r="A83" s="80">
        <v>5813</v>
      </c>
      <c r="B83">
        <v>10590</v>
      </c>
      <c r="C83" s="83">
        <v>30</v>
      </c>
      <c r="D83" s="65">
        <f t="shared" si="5"/>
        <v>27449280000</v>
      </c>
      <c r="E83" s="40">
        <f t="shared" si="6"/>
        <v>630150.37603200006</v>
      </c>
      <c r="G83" s="40"/>
      <c r="H83" s="40"/>
    </row>
    <row r="84" spans="1:8">
      <c r="A84" s="80">
        <v>5844</v>
      </c>
      <c r="B84">
        <v>14760</v>
      </c>
      <c r="C84" s="83">
        <v>31</v>
      </c>
      <c r="D84" s="65">
        <f t="shared" si="5"/>
        <v>39533184000</v>
      </c>
      <c r="E84" s="40">
        <f t="shared" si="6"/>
        <v>907559.35176960006</v>
      </c>
      <c r="G84" s="40"/>
      <c r="H84" s="40"/>
    </row>
    <row r="86" spans="1:8">
      <c r="D86" s="40">
        <f>SUM(E15:E74)</f>
        <v>50670732.89463263</v>
      </c>
      <c r="E86" s="40">
        <f>D86/5</f>
        <v>10134146.578926526</v>
      </c>
    </row>
    <row r="88" spans="1:8">
      <c r="D88">
        <f>E86*0.98</f>
        <v>9931463.647347996</v>
      </c>
    </row>
    <row r="89" spans="1:8">
      <c r="D89">
        <f>E86*1.02</f>
        <v>10336829.510505056</v>
      </c>
    </row>
  </sheetData>
  <hyperlinks>
    <hyperlink ref="A2" r:id="rId1" xr:uid="{6EFD802A-FE34-48CB-A350-5EDF36FE1FB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3B787-EC30-4C3C-B224-E9F362F69C3B}">
  <dimension ref="A1:M90"/>
  <sheetViews>
    <sheetView workbookViewId="0">
      <selection activeCell="G14" sqref="G13:G14"/>
    </sheetView>
  </sheetViews>
  <sheetFormatPr defaultColWidth="8.81640625" defaultRowHeight="14.5"/>
  <cols>
    <col min="4" max="4" width="12.36328125" bestFit="1" customWidth="1"/>
  </cols>
  <sheetData>
    <row r="1" spans="1:13" ht="16.5">
      <c r="A1" s="111" t="s">
        <v>78</v>
      </c>
    </row>
    <row r="2" spans="1:13">
      <c r="A2" s="44" t="s">
        <v>255</v>
      </c>
    </row>
    <row r="3" spans="1:13">
      <c r="B3" s="110" t="s">
        <v>250</v>
      </c>
    </row>
    <row r="4" spans="1:13">
      <c r="A4" s="107">
        <v>2010</v>
      </c>
      <c r="B4" s="112">
        <v>156.80000000000001</v>
      </c>
      <c r="C4" s="112">
        <v>240.5</v>
      </c>
      <c r="D4" s="112">
        <v>277.3</v>
      </c>
      <c r="E4" s="112">
        <v>388.7</v>
      </c>
      <c r="F4" s="112">
        <v>479.4</v>
      </c>
      <c r="G4" s="112">
        <v>120.5</v>
      </c>
      <c r="H4" s="112">
        <v>10.199999999999999</v>
      </c>
      <c r="I4" s="112">
        <v>63.9</v>
      </c>
      <c r="J4" s="112">
        <v>35.9</v>
      </c>
      <c r="K4" s="112">
        <v>220.9</v>
      </c>
      <c r="L4" s="112">
        <v>211.4</v>
      </c>
      <c r="M4" s="106">
        <v>1046</v>
      </c>
    </row>
    <row r="5" spans="1:13">
      <c r="A5" s="107">
        <v>2011</v>
      </c>
      <c r="B5" s="112">
        <v>263</v>
      </c>
      <c r="C5" s="112">
        <v>174</v>
      </c>
      <c r="D5" s="112">
        <v>374.5</v>
      </c>
      <c r="E5" s="112">
        <v>814.9</v>
      </c>
      <c r="F5" s="112">
        <v>903.4</v>
      </c>
      <c r="G5" s="112">
        <v>348.8</v>
      </c>
      <c r="H5" s="112">
        <v>77.3</v>
      </c>
      <c r="I5" s="112">
        <v>36.4</v>
      </c>
      <c r="J5" s="112">
        <v>71.099999999999994</v>
      </c>
      <c r="K5" s="112">
        <v>199.1</v>
      </c>
      <c r="L5" s="112">
        <v>172.9</v>
      </c>
      <c r="M5" s="112">
        <v>155.4</v>
      </c>
    </row>
    <row r="6" spans="1:13">
      <c r="A6" s="107">
        <v>2012</v>
      </c>
      <c r="B6" s="112">
        <v>139</v>
      </c>
      <c r="C6" s="112">
        <v>149.6</v>
      </c>
      <c r="D6" s="112">
        <v>186.3</v>
      </c>
      <c r="E6" s="112">
        <v>111</v>
      </c>
      <c r="F6" s="112">
        <v>35.299999999999997</v>
      </c>
      <c r="G6" s="112">
        <v>11.7</v>
      </c>
      <c r="H6" s="112">
        <v>59.3</v>
      </c>
      <c r="I6" s="112">
        <v>92.4</v>
      </c>
      <c r="J6" s="112">
        <v>61</v>
      </c>
      <c r="K6" s="112">
        <v>98.5</v>
      </c>
      <c r="L6" s="112">
        <v>180.9</v>
      </c>
      <c r="M6" s="112">
        <v>192.9</v>
      </c>
    </row>
    <row r="7" spans="1:13">
      <c r="A7" s="107">
        <v>2013</v>
      </c>
      <c r="B7" s="112">
        <v>168.5</v>
      </c>
      <c r="C7" s="112">
        <v>145.69999999999999</v>
      </c>
      <c r="D7" s="112">
        <v>118.1</v>
      </c>
      <c r="E7" s="112">
        <v>52.6</v>
      </c>
      <c r="F7" s="112">
        <v>30.1</v>
      </c>
      <c r="G7" s="112">
        <v>8.69</v>
      </c>
      <c r="H7" s="112">
        <v>64.2</v>
      </c>
      <c r="I7" s="112">
        <v>63.3</v>
      </c>
      <c r="J7" s="112">
        <v>184.4</v>
      </c>
      <c r="K7" s="112">
        <v>89.2</v>
      </c>
      <c r="L7" s="112">
        <v>122.3</v>
      </c>
      <c r="M7" s="112">
        <v>198.9</v>
      </c>
    </row>
    <row r="8" spans="1:13">
      <c r="A8" s="107">
        <v>2014</v>
      </c>
      <c r="B8" s="112">
        <v>152.1</v>
      </c>
      <c r="C8" s="112">
        <v>141.19999999999999</v>
      </c>
      <c r="D8" s="112">
        <v>107</v>
      </c>
      <c r="E8" s="112">
        <v>65</v>
      </c>
      <c r="F8" s="112">
        <v>36.9</v>
      </c>
      <c r="G8" s="112">
        <v>15.7</v>
      </c>
      <c r="H8" s="112">
        <v>7.32</v>
      </c>
      <c r="I8" s="112">
        <v>83.4</v>
      </c>
      <c r="J8" s="112">
        <v>344.7</v>
      </c>
      <c r="K8" s="112">
        <v>144.6</v>
      </c>
      <c r="L8" s="112">
        <v>119.6</v>
      </c>
      <c r="M8" s="112">
        <v>138.4</v>
      </c>
    </row>
    <row r="9" spans="1:13">
      <c r="A9" s="107">
        <v>2015</v>
      </c>
      <c r="B9" s="112">
        <v>127.9</v>
      </c>
      <c r="C9" s="112">
        <v>123</v>
      </c>
      <c r="D9" s="112">
        <v>136.30000000000001</v>
      </c>
      <c r="E9" s="112">
        <v>77.2</v>
      </c>
      <c r="F9" s="112">
        <v>84</v>
      </c>
      <c r="G9" s="112">
        <v>33</v>
      </c>
      <c r="H9" s="112">
        <v>41.8</v>
      </c>
      <c r="I9" s="112">
        <v>25.2</v>
      </c>
      <c r="J9" s="112">
        <v>95.1</v>
      </c>
      <c r="K9" s="112">
        <v>162.69999999999999</v>
      </c>
      <c r="L9" s="112">
        <v>124.8</v>
      </c>
      <c r="M9" s="112">
        <v>117.3</v>
      </c>
    </row>
    <row r="12" spans="1:13">
      <c r="B12" t="s">
        <v>248</v>
      </c>
      <c r="C12" t="s">
        <v>247</v>
      </c>
      <c r="D12" t="s">
        <v>246</v>
      </c>
      <c r="E12" s="105" t="s">
        <v>245</v>
      </c>
    </row>
    <row r="13" spans="1:13">
      <c r="A13" s="80">
        <v>3684</v>
      </c>
      <c r="B13">
        <v>156.80000000000001</v>
      </c>
      <c r="C13" s="83">
        <v>31</v>
      </c>
      <c r="D13" s="65">
        <f>B13*C13*86400</f>
        <v>419973120</v>
      </c>
      <c r="E13" s="40">
        <f>D13*0.0000229569</f>
        <v>9641.2809185280003</v>
      </c>
      <c r="G13" s="40"/>
    </row>
    <row r="14" spans="1:13">
      <c r="A14" s="80">
        <v>3712</v>
      </c>
      <c r="B14">
        <v>240.5</v>
      </c>
      <c r="C14" s="83">
        <v>28</v>
      </c>
      <c r="D14" s="65">
        <f t="shared" ref="D14:D77" si="0">B14*C14*86400</f>
        <v>581817600</v>
      </c>
      <c r="E14" s="40">
        <f t="shared" ref="E14:E77" si="1">D14*0.0000229569</f>
        <v>13356.72846144</v>
      </c>
      <c r="G14" s="40"/>
      <c r="H14">
        <v>2007</v>
      </c>
      <c r="I14">
        <v>95.6</v>
      </c>
      <c r="J14">
        <f>I14*723.968</f>
        <v>69211.340799999991</v>
      </c>
    </row>
    <row r="15" spans="1:13">
      <c r="A15" s="80">
        <v>3743</v>
      </c>
      <c r="B15">
        <v>277.3</v>
      </c>
      <c r="C15" s="83">
        <v>31</v>
      </c>
      <c r="D15" s="65">
        <f t="shared" si="0"/>
        <v>742720320.00000012</v>
      </c>
      <c r="E15" s="40">
        <f t="shared" si="1"/>
        <v>17050.556114208004</v>
      </c>
      <c r="G15" s="40"/>
      <c r="H15">
        <v>2008</v>
      </c>
      <c r="I15">
        <v>120.5</v>
      </c>
      <c r="J15">
        <f t="shared" ref="J15:J25" si="2">I15*723.968</f>
        <v>87238.144</v>
      </c>
    </row>
    <row r="16" spans="1:13">
      <c r="A16" s="80">
        <v>3773</v>
      </c>
      <c r="B16">
        <v>388.7</v>
      </c>
      <c r="C16" s="83">
        <v>30</v>
      </c>
      <c r="D16" s="65">
        <f t="shared" si="0"/>
        <v>1007510400</v>
      </c>
      <c r="E16" s="40">
        <f t="shared" si="1"/>
        <v>23129.31550176</v>
      </c>
      <c r="G16" s="40"/>
      <c r="H16">
        <v>2009</v>
      </c>
      <c r="I16">
        <v>107.8</v>
      </c>
      <c r="J16">
        <f t="shared" si="2"/>
        <v>78043.75039999999</v>
      </c>
    </row>
    <row r="17" spans="1:11">
      <c r="A17" s="80">
        <v>3804</v>
      </c>
      <c r="B17">
        <v>479.4</v>
      </c>
      <c r="C17" s="83">
        <v>31</v>
      </c>
      <c r="D17" s="65">
        <f t="shared" si="0"/>
        <v>1284024960</v>
      </c>
      <c r="E17" s="40">
        <f t="shared" si="1"/>
        <v>29477.232604224002</v>
      </c>
      <c r="G17" s="40"/>
      <c r="H17">
        <v>2010</v>
      </c>
      <c r="I17">
        <v>169.1</v>
      </c>
      <c r="J17">
        <f t="shared" si="2"/>
        <v>122422.98879999999</v>
      </c>
    </row>
    <row r="18" spans="1:11">
      <c r="A18" s="80">
        <v>3834</v>
      </c>
      <c r="B18">
        <v>120.5</v>
      </c>
      <c r="C18" s="83">
        <v>30</v>
      </c>
      <c r="D18" s="65">
        <f t="shared" si="0"/>
        <v>312336000</v>
      </c>
      <c r="E18" s="40">
        <f t="shared" si="1"/>
        <v>7170.2663184000003</v>
      </c>
      <c r="G18" s="40"/>
      <c r="H18">
        <v>2011</v>
      </c>
      <c r="I18">
        <v>380.4</v>
      </c>
      <c r="J18">
        <f t="shared" si="2"/>
        <v>275397.42719999998</v>
      </c>
    </row>
    <row r="19" spans="1:11">
      <c r="A19" s="80">
        <v>3865</v>
      </c>
      <c r="B19">
        <v>10.199999999999999</v>
      </c>
      <c r="C19" s="83">
        <v>31</v>
      </c>
      <c r="D19" s="65">
        <f t="shared" si="0"/>
        <v>27319680</v>
      </c>
      <c r="E19" s="40">
        <f t="shared" si="1"/>
        <v>627.17516179200004</v>
      </c>
      <c r="G19" s="40"/>
      <c r="H19">
        <v>2012</v>
      </c>
      <c r="I19">
        <v>114.5</v>
      </c>
      <c r="J19">
        <f t="shared" si="2"/>
        <v>82894.335999999996</v>
      </c>
    </row>
    <row r="20" spans="1:11">
      <c r="A20" s="80">
        <v>3896</v>
      </c>
      <c r="B20">
        <v>63.9</v>
      </c>
      <c r="C20" s="83">
        <v>31</v>
      </c>
      <c r="D20" s="65">
        <f t="shared" si="0"/>
        <v>171149760</v>
      </c>
      <c r="E20" s="40">
        <f t="shared" si="1"/>
        <v>3929.0679253440003</v>
      </c>
      <c r="G20" s="40"/>
      <c r="H20">
        <v>2013</v>
      </c>
      <c r="I20">
        <v>108.7</v>
      </c>
      <c r="J20">
        <f t="shared" si="2"/>
        <v>78695.321599999996</v>
      </c>
    </row>
    <row r="21" spans="1:11">
      <c r="A21" s="80">
        <v>3926</v>
      </c>
      <c r="B21">
        <v>35.9</v>
      </c>
      <c r="C21" s="83">
        <v>30</v>
      </c>
      <c r="D21" s="65">
        <f t="shared" si="0"/>
        <v>93052800</v>
      </c>
      <c r="E21" s="40">
        <f t="shared" si="1"/>
        <v>2136.20382432</v>
      </c>
      <c r="G21" s="40"/>
      <c r="H21">
        <v>2014</v>
      </c>
      <c r="I21">
        <v>113.2</v>
      </c>
      <c r="J21">
        <f t="shared" si="2"/>
        <v>81953.177599999995</v>
      </c>
    </row>
    <row r="22" spans="1:11">
      <c r="A22" s="80">
        <v>3957</v>
      </c>
      <c r="B22">
        <v>220.9</v>
      </c>
      <c r="C22" s="83">
        <v>31</v>
      </c>
      <c r="D22" s="65">
        <f t="shared" si="0"/>
        <v>591658560</v>
      </c>
      <c r="E22" s="40">
        <f t="shared" si="1"/>
        <v>13582.646396063999</v>
      </c>
      <c r="G22" s="40"/>
      <c r="H22">
        <v>2015</v>
      </c>
      <c r="I22">
        <v>95.4</v>
      </c>
      <c r="J22">
        <f t="shared" si="2"/>
        <v>69066.547200000001</v>
      </c>
    </row>
    <row r="23" spans="1:11">
      <c r="A23" s="80">
        <v>3987</v>
      </c>
      <c r="B23">
        <v>211.4</v>
      </c>
      <c r="C23" s="83">
        <v>30</v>
      </c>
      <c r="D23" s="65">
        <f t="shared" si="0"/>
        <v>547948800</v>
      </c>
      <c r="E23" s="40">
        <f t="shared" si="1"/>
        <v>12579.20580672</v>
      </c>
      <c r="G23" s="40"/>
      <c r="H23">
        <v>2016</v>
      </c>
      <c r="I23">
        <v>118.6</v>
      </c>
      <c r="J23">
        <f t="shared" si="2"/>
        <v>85862.604799999986</v>
      </c>
    </row>
    <row r="24" spans="1:11">
      <c r="A24" s="80">
        <v>4018</v>
      </c>
      <c r="B24">
        <v>1046</v>
      </c>
      <c r="C24" s="83">
        <v>31</v>
      </c>
      <c r="D24" s="65">
        <f t="shared" si="0"/>
        <v>2801606400</v>
      </c>
      <c r="E24" s="40">
        <f t="shared" si="1"/>
        <v>64316.197964160005</v>
      </c>
      <c r="G24" s="40"/>
      <c r="H24">
        <v>2017</v>
      </c>
      <c r="I24">
        <v>196.9</v>
      </c>
      <c r="J24">
        <f t="shared" si="2"/>
        <v>142549.29920000001</v>
      </c>
    </row>
    <row r="25" spans="1:11">
      <c r="A25" s="80">
        <v>4049</v>
      </c>
      <c r="B25">
        <v>263</v>
      </c>
      <c r="C25" s="83">
        <v>31</v>
      </c>
      <c r="D25" s="65">
        <f t="shared" si="0"/>
        <v>704419200</v>
      </c>
      <c r="E25" s="40">
        <f t="shared" si="1"/>
        <v>16171.28113248</v>
      </c>
      <c r="G25" s="40"/>
      <c r="H25">
        <v>2018</v>
      </c>
      <c r="I25">
        <v>91.4</v>
      </c>
      <c r="J25">
        <f t="shared" si="2"/>
        <v>66170.675199999998</v>
      </c>
      <c r="K25">
        <f>AVERAGE(J14:J24)</f>
        <v>106666.81250909092</v>
      </c>
    </row>
    <row r="26" spans="1:11">
      <c r="A26" s="80">
        <v>4077</v>
      </c>
      <c r="B26">
        <v>174</v>
      </c>
      <c r="C26" s="83">
        <v>28</v>
      </c>
      <c r="D26" s="65">
        <f t="shared" si="0"/>
        <v>420940800</v>
      </c>
      <c r="E26" s="40">
        <f t="shared" si="1"/>
        <v>9663.4958515199996</v>
      </c>
      <c r="F26" s="40">
        <f>SUM(E15:E26)</f>
        <v>199832.644600992</v>
      </c>
      <c r="G26" s="40"/>
    </row>
    <row r="27" spans="1:11">
      <c r="A27" s="80">
        <v>4108</v>
      </c>
      <c r="B27">
        <v>374.5</v>
      </c>
      <c r="C27" s="83">
        <v>31</v>
      </c>
      <c r="D27" s="65">
        <f t="shared" si="0"/>
        <v>1003060800</v>
      </c>
      <c r="E27" s="40">
        <f t="shared" si="1"/>
        <v>23027.166479520001</v>
      </c>
      <c r="G27" s="40"/>
      <c r="H27" s="40"/>
    </row>
    <row r="28" spans="1:11">
      <c r="A28" s="80">
        <v>4138</v>
      </c>
      <c r="B28">
        <v>814.9</v>
      </c>
      <c r="C28" s="83">
        <v>30</v>
      </c>
      <c r="D28" s="65">
        <f t="shared" si="0"/>
        <v>2112220800</v>
      </c>
      <c r="E28" s="40">
        <f t="shared" si="1"/>
        <v>48490.041683520001</v>
      </c>
      <c r="G28" s="40"/>
      <c r="H28" s="40"/>
    </row>
    <row r="29" spans="1:11">
      <c r="A29" s="80">
        <v>4169</v>
      </c>
      <c r="B29">
        <v>903.4</v>
      </c>
      <c r="C29" s="83">
        <v>31</v>
      </c>
      <c r="D29" s="65">
        <f t="shared" si="0"/>
        <v>2419666560</v>
      </c>
      <c r="E29" s="40">
        <f t="shared" si="1"/>
        <v>55548.043251264004</v>
      </c>
      <c r="G29" s="40"/>
      <c r="H29" s="40"/>
    </row>
    <row r="30" spans="1:11">
      <c r="A30" s="80">
        <v>4199</v>
      </c>
      <c r="B30">
        <v>348.8</v>
      </c>
      <c r="C30" s="83">
        <v>30</v>
      </c>
      <c r="D30" s="65">
        <f t="shared" si="0"/>
        <v>904089600</v>
      </c>
      <c r="E30" s="40">
        <f t="shared" si="1"/>
        <v>20755.094538239999</v>
      </c>
      <c r="G30" s="40"/>
      <c r="H30" s="40"/>
    </row>
    <row r="31" spans="1:11">
      <c r="A31" s="80">
        <v>4230</v>
      </c>
      <c r="B31">
        <v>77.3</v>
      </c>
      <c r="C31" s="83">
        <v>31</v>
      </c>
      <c r="D31" s="65">
        <f t="shared" si="0"/>
        <v>207040319.99999997</v>
      </c>
      <c r="E31" s="40">
        <f t="shared" si="1"/>
        <v>4753.0039222079995</v>
      </c>
      <c r="G31" s="40"/>
      <c r="H31" s="40"/>
    </row>
    <row r="32" spans="1:11">
      <c r="A32" s="80">
        <v>4261</v>
      </c>
      <c r="B32">
        <v>36.4</v>
      </c>
      <c r="C32" s="83">
        <v>31</v>
      </c>
      <c r="D32" s="65">
        <f t="shared" si="0"/>
        <v>97493759.999999985</v>
      </c>
      <c r="E32" s="40">
        <f t="shared" si="1"/>
        <v>2238.1544989439999</v>
      </c>
      <c r="G32" s="40"/>
      <c r="H32" s="40"/>
    </row>
    <row r="33" spans="1:8">
      <c r="A33" s="80">
        <v>4291</v>
      </c>
      <c r="B33">
        <v>71.099999999999994</v>
      </c>
      <c r="C33" s="83">
        <v>30</v>
      </c>
      <c r="D33" s="65">
        <f t="shared" si="0"/>
        <v>184291200</v>
      </c>
      <c r="E33" s="40">
        <f t="shared" si="1"/>
        <v>4230.7546492800002</v>
      </c>
      <c r="G33" s="40"/>
      <c r="H33" s="40"/>
    </row>
    <row r="34" spans="1:8">
      <c r="A34" s="80">
        <v>4322</v>
      </c>
      <c r="B34">
        <v>199.1</v>
      </c>
      <c r="C34" s="83">
        <v>31</v>
      </c>
      <c r="D34" s="65">
        <f t="shared" si="0"/>
        <v>533269439.99999994</v>
      </c>
      <c r="E34" s="40">
        <f t="shared" si="1"/>
        <v>12242.213207135999</v>
      </c>
      <c r="G34" s="40"/>
      <c r="H34" s="40"/>
    </row>
    <row r="35" spans="1:8">
      <c r="A35" s="80">
        <v>4352</v>
      </c>
      <c r="B35">
        <v>172.9</v>
      </c>
      <c r="C35" s="83">
        <v>30</v>
      </c>
      <c r="D35" s="65">
        <f t="shared" si="0"/>
        <v>448156800</v>
      </c>
      <c r="E35" s="40">
        <f t="shared" si="1"/>
        <v>10288.290841919999</v>
      </c>
      <c r="G35" s="40"/>
      <c r="H35" s="40"/>
    </row>
    <row r="36" spans="1:8">
      <c r="A36" s="80">
        <v>4383</v>
      </c>
      <c r="B36">
        <v>155.4</v>
      </c>
      <c r="C36" s="83">
        <v>31</v>
      </c>
      <c r="D36" s="65">
        <f t="shared" si="0"/>
        <v>416223360.00000006</v>
      </c>
      <c r="E36" s="40">
        <f t="shared" si="1"/>
        <v>9555.1980531840018</v>
      </c>
      <c r="G36" s="40"/>
      <c r="H36" s="40"/>
    </row>
    <row r="37" spans="1:8">
      <c r="A37" s="80">
        <v>4414</v>
      </c>
      <c r="B37">
        <v>139</v>
      </c>
      <c r="C37" s="83">
        <v>31</v>
      </c>
      <c r="D37" s="65">
        <f t="shared" si="0"/>
        <v>372297600</v>
      </c>
      <c r="E37" s="40">
        <f t="shared" si="1"/>
        <v>8546.7987734399994</v>
      </c>
      <c r="G37" s="40"/>
      <c r="H37" s="40"/>
    </row>
    <row r="38" spans="1:8">
      <c r="A38" s="80">
        <v>4443</v>
      </c>
      <c r="B38">
        <v>149.6</v>
      </c>
      <c r="C38" s="83">
        <v>29</v>
      </c>
      <c r="D38" s="65">
        <f t="shared" si="0"/>
        <v>374837759.99999994</v>
      </c>
      <c r="E38" s="40">
        <f t="shared" si="1"/>
        <v>8605.1129725439987</v>
      </c>
      <c r="F38" s="40">
        <f>SUM(E27:E38)</f>
        <v>208279.87287120003</v>
      </c>
      <c r="G38" s="40"/>
      <c r="H38" s="40"/>
    </row>
    <row r="39" spans="1:8">
      <c r="A39" s="80">
        <v>4474</v>
      </c>
      <c r="B39">
        <v>186.3</v>
      </c>
      <c r="C39" s="83">
        <v>31</v>
      </c>
      <c r="D39" s="65">
        <f t="shared" si="0"/>
        <v>498985920</v>
      </c>
      <c r="E39" s="40">
        <f t="shared" si="1"/>
        <v>11455.169866848</v>
      </c>
      <c r="G39" s="40"/>
      <c r="H39" s="40"/>
    </row>
    <row r="40" spans="1:8">
      <c r="A40" s="80">
        <v>4504</v>
      </c>
      <c r="B40">
        <v>111</v>
      </c>
      <c r="C40" s="83">
        <v>30</v>
      </c>
      <c r="D40" s="65">
        <f t="shared" si="0"/>
        <v>287712000</v>
      </c>
      <c r="E40" s="40">
        <f t="shared" si="1"/>
        <v>6604.9756127999999</v>
      </c>
      <c r="G40" s="40"/>
      <c r="H40" s="40"/>
    </row>
    <row r="41" spans="1:8">
      <c r="A41" s="80">
        <v>4535</v>
      </c>
      <c r="B41">
        <v>35.299999999999997</v>
      </c>
      <c r="C41" s="83">
        <v>31</v>
      </c>
      <c r="D41" s="65">
        <f t="shared" si="0"/>
        <v>94547520</v>
      </c>
      <c r="E41" s="40">
        <f t="shared" si="1"/>
        <v>2170.5179618880002</v>
      </c>
      <c r="G41" s="40"/>
      <c r="H41" s="40"/>
    </row>
    <row r="42" spans="1:8">
      <c r="A42" s="80">
        <v>4565</v>
      </c>
      <c r="B42">
        <v>11.7</v>
      </c>
      <c r="C42" s="83">
        <v>30</v>
      </c>
      <c r="D42" s="65">
        <f t="shared" si="0"/>
        <v>30326400</v>
      </c>
      <c r="E42" s="40">
        <f t="shared" si="1"/>
        <v>696.20013216000007</v>
      </c>
      <c r="G42" s="40"/>
      <c r="H42" s="40"/>
    </row>
    <row r="43" spans="1:8">
      <c r="A43" s="80">
        <v>4596</v>
      </c>
      <c r="B43">
        <v>59.3</v>
      </c>
      <c r="C43" s="83">
        <v>31</v>
      </c>
      <c r="D43" s="65">
        <f t="shared" si="0"/>
        <v>158829120</v>
      </c>
      <c r="E43" s="40">
        <f t="shared" si="1"/>
        <v>3646.2242249280002</v>
      </c>
      <c r="G43" s="40"/>
      <c r="H43" s="40"/>
    </row>
    <row r="44" spans="1:8">
      <c r="A44" s="80">
        <v>4627</v>
      </c>
      <c r="B44">
        <v>92.4</v>
      </c>
      <c r="C44" s="83">
        <v>31</v>
      </c>
      <c r="D44" s="65">
        <f t="shared" si="0"/>
        <v>247484160</v>
      </c>
      <c r="E44" s="40">
        <f t="shared" si="1"/>
        <v>5681.4691127040005</v>
      </c>
      <c r="G44" s="40"/>
      <c r="H44" s="40"/>
    </row>
    <row r="45" spans="1:8">
      <c r="A45" s="80">
        <v>4657</v>
      </c>
      <c r="B45">
        <v>61</v>
      </c>
      <c r="C45" s="83">
        <v>30</v>
      </c>
      <c r="D45" s="65">
        <f t="shared" si="0"/>
        <v>158112000</v>
      </c>
      <c r="E45" s="40">
        <f t="shared" si="1"/>
        <v>3629.7613728000001</v>
      </c>
      <c r="G45" s="40"/>
      <c r="H45" s="40"/>
    </row>
    <row r="46" spans="1:8">
      <c r="A46" s="80">
        <v>4688</v>
      </c>
      <c r="B46">
        <v>98.5</v>
      </c>
      <c r="C46" s="83">
        <v>31</v>
      </c>
      <c r="D46" s="65">
        <f t="shared" si="0"/>
        <v>263822400</v>
      </c>
      <c r="E46" s="40">
        <f t="shared" si="1"/>
        <v>6056.5444545600003</v>
      </c>
      <c r="G46" s="40"/>
      <c r="H46" s="40"/>
    </row>
    <row r="47" spans="1:8">
      <c r="A47" s="80">
        <v>4718</v>
      </c>
      <c r="B47">
        <v>180.9</v>
      </c>
      <c r="C47" s="83">
        <v>30</v>
      </c>
      <c r="D47" s="65">
        <f t="shared" si="0"/>
        <v>468892800</v>
      </c>
      <c r="E47" s="40">
        <f t="shared" si="1"/>
        <v>10764.32512032</v>
      </c>
      <c r="G47" s="40"/>
      <c r="H47" s="40"/>
    </row>
    <row r="48" spans="1:8">
      <c r="A48" s="80">
        <v>4749</v>
      </c>
      <c r="B48">
        <v>192.9</v>
      </c>
      <c r="C48" s="83">
        <v>31</v>
      </c>
      <c r="D48" s="65">
        <f t="shared" si="0"/>
        <v>516663360.00000006</v>
      </c>
      <c r="E48" s="40">
        <f t="shared" si="1"/>
        <v>11860.989089184002</v>
      </c>
      <c r="G48" s="40"/>
      <c r="H48" s="40"/>
    </row>
    <row r="49" spans="1:8">
      <c r="A49" s="80">
        <v>4780</v>
      </c>
      <c r="B49">
        <v>168.5</v>
      </c>
      <c r="C49" s="83">
        <v>31</v>
      </c>
      <c r="D49" s="65">
        <f t="shared" si="0"/>
        <v>451310400</v>
      </c>
      <c r="E49" s="40">
        <f t="shared" si="1"/>
        <v>10360.687721759999</v>
      </c>
      <c r="G49" s="40"/>
      <c r="H49" s="40"/>
    </row>
    <row r="50" spans="1:8">
      <c r="A50" s="80">
        <v>4808</v>
      </c>
      <c r="B50">
        <v>145.69999999999999</v>
      </c>
      <c r="C50" s="83">
        <v>28</v>
      </c>
      <c r="D50" s="65">
        <f t="shared" si="0"/>
        <v>352477439.99999994</v>
      </c>
      <c r="E50" s="40">
        <f t="shared" si="1"/>
        <v>8091.7893423359992</v>
      </c>
      <c r="F50" s="40">
        <f>SUM(E39:E50)</f>
        <v>81018.654012287996</v>
      </c>
      <c r="G50" s="40"/>
      <c r="H50" s="40"/>
    </row>
    <row r="51" spans="1:8">
      <c r="A51" s="80">
        <v>4839</v>
      </c>
      <c r="B51">
        <v>118.1</v>
      </c>
      <c r="C51" s="83">
        <v>31</v>
      </c>
      <c r="D51" s="65">
        <f t="shared" si="0"/>
        <v>316319040</v>
      </c>
      <c r="E51" s="40">
        <f t="shared" si="1"/>
        <v>7261.7045693760001</v>
      </c>
      <c r="G51" s="40"/>
      <c r="H51" s="40"/>
    </row>
    <row r="52" spans="1:8">
      <c r="A52" s="80">
        <v>4869</v>
      </c>
      <c r="B52">
        <v>52.6</v>
      </c>
      <c r="C52" s="83">
        <v>30</v>
      </c>
      <c r="D52" s="65">
        <f t="shared" si="0"/>
        <v>136339200</v>
      </c>
      <c r="E52" s="40">
        <f t="shared" si="1"/>
        <v>3129.9253804800001</v>
      </c>
      <c r="G52" s="40"/>
      <c r="H52" s="40"/>
    </row>
    <row r="53" spans="1:8">
      <c r="A53" s="80">
        <v>4900</v>
      </c>
      <c r="B53">
        <v>30.1</v>
      </c>
      <c r="C53" s="83">
        <v>31</v>
      </c>
      <c r="D53" s="65">
        <f t="shared" si="0"/>
        <v>80619840</v>
      </c>
      <c r="E53" s="40">
        <f t="shared" si="1"/>
        <v>1850.7816048960001</v>
      </c>
      <c r="G53" s="40"/>
      <c r="H53" s="40"/>
    </row>
    <row r="54" spans="1:8">
      <c r="A54" s="80">
        <v>4930</v>
      </c>
      <c r="B54">
        <v>8.69</v>
      </c>
      <c r="C54" s="83">
        <v>30</v>
      </c>
      <c r="D54" s="65">
        <f t="shared" si="0"/>
        <v>22524480</v>
      </c>
      <c r="E54" s="40">
        <f t="shared" si="1"/>
        <v>517.09223491199998</v>
      </c>
      <c r="G54" s="40"/>
      <c r="H54" s="40"/>
    </row>
    <row r="55" spans="1:8">
      <c r="A55" s="80">
        <v>4961</v>
      </c>
      <c r="B55">
        <v>64.2</v>
      </c>
      <c r="C55" s="83">
        <v>31</v>
      </c>
      <c r="D55" s="65">
        <f t="shared" si="0"/>
        <v>171953280</v>
      </c>
      <c r="E55" s="40">
        <f t="shared" si="1"/>
        <v>3947.514253632</v>
      </c>
      <c r="G55" s="40"/>
      <c r="H55" s="40"/>
    </row>
    <row r="56" spans="1:8">
      <c r="A56" s="80">
        <v>4992</v>
      </c>
      <c r="B56">
        <v>63.3</v>
      </c>
      <c r="C56" s="83">
        <v>31</v>
      </c>
      <c r="D56" s="65">
        <f t="shared" si="0"/>
        <v>169542720</v>
      </c>
      <c r="E56" s="40">
        <f t="shared" si="1"/>
        <v>3892.175268768</v>
      </c>
      <c r="G56" s="40"/>
      <c r="H56" s="40"/>
    </row>
    <row r="57" spans="1:8">
      <c r="A57" s="80">
        <v>5022</v>
      </c>
      <c r="B57">
        <v>184.4</v>
      </c>
      <c r="C57" s="83">
        <v>30</v>
      </c>
      <c r="D57" s="65">
        <f t="shared" si="0"/>
        <v>477964800</v>
      </c>
      <c r="E57" s="40">
        <f t="shared" si="1"/>
        <v>10972.59011712</v>
      </c>
      <c r="G57" s="40"/>
      <c r="H57" s="40"/>
    </row>
    <row r="58" spans="1:8">
      <c r="A58" s="80">
        <v>5053</v>
      </c>
      <c r="B58">
        <v>89.2</v>
      </c>
      <c r="C58" s="83">
        <v>31</v>
      </c>
      <c r="D58" s="65">
        <f t="shared" si="0"/>
        <v>238913280.00000003</v>
      </c>
      <c r="E58" s="40">
        <f t="shared" si="1"/>
        <v>5484.7082776320012</v>
      </c>
      <c r="G58" s="40"/>
      <c r="H58" s="40"/>
    </row>
    <row r="59" spans="1:8">
      <c r="A59" s="80">
        <v>5083</v>
      </c>
      <c r="B59">
        <v>122.3</v>
      </c>
      <c r="C59" s="83">
        <v>30</v>
      </c>
      <c r="D59" s="65">
        <f t="shared" si="0"/>
        <v>317001600</v>
      </c>
      <c r="E59" s="40">
        <f t="shared" si="1"/>
        <v>7277.3740310399999</v>
      </c>
      <c r="G59" s="40"/>
      <c r="H59" s="40"/>
    </row>
    <row r="60" spans="1:8">
      <c r="A60" s="80">
        <v>5114</v>
      </c>
      <c r="B60">
        <v>198.9</v>
      </c>
      <c r="C60" s="83">
        <v>31</v>
      </c>
      <c r="D60" s="65">
        <f t="shared" si="0"/>
        <v>532733760.00000006</v>
      </c>
      <c r="E60" s="40">
        <f t="shared" si="1"/>
        <v>12229.915654944001</v>
      </c>
      <c r="G60" s="40"/>
      <c r="H60" s="40"/>
    </row>
    <row r="61" spans="1:8">
      <c r="A61" s="80">
        <v>5145</v>
      </c>
      <c r="B61">
        <v>152.1</v>
      </c>
      <c r="C61" s="83">
        <v>31</v>
      </c>
      <c r="D61" s="65">
        <f t="shared" si="0"/>
        <v>407384639.99999994</v>
      </c>
      <c r="E61" s="40">
        <f t="shared" si="1"/>
        <v>9352.288442015999</v>
      </c>
      <c r="G61" s="40"/>
      <c r="H61" s="40"/>
    </row>
    <row r="62" spans="1:8">
      <c r="A62" s="80">
        <v>5173</v>
      </c>
      <c r="B62">
        <v>141.19999999999999</v>
      </c>
      <c r="C62" s="83">
        <v>28</v>
      </c>
      <c r="D62" s="65">
        <f t="shared" si="0"/>
        <v>341591039.99999994</v>
      </c>
      <c r="E62" s="40">
        <f t="shared" si="1"/>
        <v>7841.871346175999</v>
      </c>
      <c r="F62" s="40">
        <f>SUM(E51:E62)</f>
        <v>73757.941180992013</v>
      </c>
      <c r="G62" s="40"/>
      <c r="H62" s="40"/>
    </row>
    <row r="63" spans="1:8">
      <c r="A63" s="80">
        <v>5204</v>
      </c>
      <c r="B63">
        <v>107</v>
      </c>
      <c r="C63" s="83">
        <v>31</v>
      </c>
      <c r="D63" s="65">
        <f t="shared" si="0"/>
        <v>286588800</v>
      </c>
      <c r="E63" s="40">
        <f t="shared" si="1"/>
        <v>6579.1904227200002</v>
      </c>
      <c r="G63" s="40"/>
      <c r="H63" s="40"/>
    </row>
    <row r="64" spans="1:8">
      <c r="A64" s="80">
        <v>5234</v>
      </c>
      <c r="B64">
        <v>65</v>
      </c>
      <c r="C64" s="83">
        <v>30</v>
      </c>
      <c r="D64" s="65">
        <f t="shared" si="0"/>
        <v>168480000</v>
      </c>
      <c r="E64" s="40">
        <f t="shared" si="1"/>
        <v>3867.7785119999999</v>
      </c>
      <c r="G64" s="40"/>
      <c r="H64" s="40"/>
    </row>
    <row r="65" spans="1:8">
      <c r="A65" s="80">
        <v>5265</v>
      </c>
      <c r="B65">
        <v>36.9</v>
      </c>
      <c r="C65" s="83">
        <v>31</v>
      </c>
      <c r="D65" s="65">
        <f t="shared" si="0"/>
        <v>98832959.999999985</v>
      </c>
      <c r="E65" s="40">
        <f t="shared" si="1"/>
        <v>2268.8983794239998</v>
      </c>
      <c r="G65" s="40"/>
      <c r="H65" s="40"/>
    </row>
    <row r="66" spans="1:8">
      <c r="A66" s="80">
        <v>5295</v>
      </c>
      <c r="B66">
        <v>15.7</v>
      </c>
      <c r="C66" s="83">
        <v>30</v>
      </c>
      <c r="D66" s="65">
        <f t="shared" si="0"/>
        <v>40694400</v>
      </c>
      <c r="E66" s="40">
        <f t="shared" si="1"/>
        <v>934.21727136000004</v>
      </c>
      <c r="G66" s="40"/>
      <c r="H66" s="40"/>
    </row>
    <row r="67" spans="1:8">
      <c r="A67" s="80">
        <v>5326</v>
      </c>
      <c r="B67">
        <v>7.32</v>
      </c>
      <c r="C67" s="83">
        <v>31</v>
      </c>
      <c r="D67" s="65">
        <f t="shared" si="0"/>
        <v>19605888</v>
      </c>
      <c r="E67" s="40">
        <f t="shared" si="1"/>
        <v>450.09041022719998</v>
      </c>
      <c r="G67" s="40"/>
      <c r="H67" s="40"/>
    </row>
    <row r="68" spans="1:8">
      <c r="A68" s="80">
        <v>5357</v>
      </c>
      <c r="B68">
        <v>83.4</v>
      </c>
      <c r="C68" s="83">
        <v>31</v>
      </c>
      <c r="D68" s="65">
        <f t="shared" si="0"/>
        <v>223378560</v>
      </c>
      <c r="E68" s="40">
        <f t="shared" si="1"/>
        <v>5128.0792640640002</v>
      </c>
      <c r="G68" s="40"/>
      <c r="H68" s="40"/>
    </row>
    <row r="69" spans="1:8">
      <c r="A69" s="80">
        <v>5387</v>
      </c>
      <c r="B69">
        <v>344.7</v>
      </c>
      <c r="C69" s="83">
        <v>30</v>
      </c>
      <c r="D69" s="65">
        <f t="shared" si="0"/>
        <v>893462400</v>
      </c>
      <c r="E69" s="40">
        <f t="shared" si="1"/>
        <v>20511.126970559999</v>
      </c>
      <c r="G69" s="40"/>
      <c r="H69" s="40"/>
    </row>
    <row r="70" spans="1:8">
      <c r="A70" s="80">
        <v>5418</v>
      </c>
      <c r="B70">
        <v>144.6</v>
      </c>
      <c r="C70" s="83">
        <v>31</v>
      </c>
      <c r="D70" s="65">
        <f t="shared" si="0"/>
        <v>387296639.99999994</v>
      </c>
      <c r="E70" s="40">
        <f t="shared" si="1"/>
        <v>8891.1302348159988</v>
      </c>
      <c r="G70" s="40"/>
      <c r="H70" s="40"/>
    </row>
    <row r="71" spans="1:8">
      <c r="A71" s="80">
        <v>5448</v>
      </c>
      <c r="B71">
        <v>119.6</v>
      </c>
      <c r="C71" s="83">
        <v>30</v>
      </c>
      <c r="D71" s="65">
        <f t="shared" si="0"/>
        <v>310003200</v>
      </c>
      <c r="E71" s="40">
        <f t="shared" si="1"/>
        <v>7116.7124620800005</v>
      </c>
      <c r="G71" s="40"/>
      <c r="H71" s="40"/>
    </row>
    <row r="72" spans="1:8">
      <c r="A72" s="80">
        <v>5479</v>
      </c>
      <c r="B72">
        <v>138.4</v>
      </c>
      <c r="C72" s="83">
        <v>31</v>
      </c>
      <c r="D72" s="65">
        <f t="shared" si="0"/>
        <v>370690560.00000006</v>
      </c>
      <c r="E72" s="40">
        <f t="shared" si="1"/>
        <v>8509.9061168640019</v>
      </c>
      <c r="G72" s="40"/>
      <c r="H72" s="40"/>
    </row>
    <row r="73" spans="1:8">
      <c r="A73" s="80">
        <v>5510</v>
      </c>
      <c r="B73">
        <v>127.9</v>
      </c>
      <c r="C73" s="83">
        <v>31</v>
      </c>
      <c r="D73" s="65">
        <f t="shared" si="0"/>
        <v>342567360</v>
      </c>
      <c r="E73" s="40">
        <f t="shared" si="1"/>
        <v>7864.2846267840005</v>
      </c>
      <c r="G73" s="40"/>
      <c r="H73" s="40"/>
    </row>
    <row r="74" spans="1:8">
      <c r="A74" s="80">
        <v>5538</v>
      </c>
      <c r="B74">
        <v>123</v>
      </c>
      <c r="C74" s="83">
        <v>28</v>
      </c>
      <c r="D74" s="65">
        <f t="shared" si="0"/>
        <v>297561600</v>
      </c>
      <c r="E74" s="40">
        <f t="shared" si="1"/>
        <v>6831.0918950400001</v>
      </c>
      <c r="F74" s="40">
        <f>SUM(E63:E74)</f>
        <v>78952.506565939198</v>
      </c>
      <c r="G74" s="40"/>
      <c r="H74" s="40"/>
    </row>
    <row r="75" spans="1:8">
      <c r="A75" s="80">
        <v>5569</v>
      </c>
      <c r="B75">
        <v>136.30000000000001</v>
      </c>
      <c r="C75" s="83">
        <v>31</v>
      </c>
      <c r="D75" s="65">
        <f t="shared" si="0"/>
        <v>365065920</v>
      </c>
      <c r="E75" s="40">
        <f t="shared" si="1"/>
        <v>8380.7818188479996</v>
      </c>
      <c r="G75" s="40"/>
      <c r="H75" s="40"/>
    </row>
    <row r="76" spans="1:8">
      <c r="A76" s="80">
        <v>5599</v>
      </c>
      <c r="B76">
        <v>77.2</v>
      </c>
      <c r="C76" s="83">
        <v>30</v>
      </c>
      <c r="D76" s="65">
        <f t="shared" si="0"/>
        <v>200102400</v>
      </c>
      <c r="E76" s="40">
        <f t="shared" si="1"/>
        <v>4593.7307865600005</v>
      </c>
      <c r="G76" s="40"/>
      <c r="H76" s="40"/>
    </row>
    <row r="77" spans="1:8">
      <c r="A77" s="80">
        <v>5630</v>
      </c>
      <c r="B77">
        <v>84</v>
      </c>
      <c r="C77" s="83">
        <v>31</v>
      </c>
      <c r="D77" s="65">
        <f t="shared" si="0"/>
        <v>224985600</v>
      </c>
      <c r="E77" s="40">
        <f t="shared" si="1"/>
        <v>5164.9719206400005</v>
      </c>
      <c r="G77" s="40"/>
      <c r="H77" s="40"/>
    </row>
    <row r="78" spans="1:8">
      <c r="A78" s="80">
        <v>5660</v>
      </c>
      <c r="B78">
        <v>33</v>
      </c>
      <c r="C78" s="83">
        <v>30</v>
      </c>
      <c r="D78" s="65">
        <f t="shared" ref="D78:D84" si="3">B78*C78*86400</f>
        <v>85536000</v>
      </c>
      <c r="E78" s="40">
        <f t="shared" ref="E78:E84" si="4">D78*0.0000229569</f>
        <v>1963.6413984000001</v>
      </c>
      <c r="G78" s="40"/>
      <c r="H78" s="40"/>
    </row>
    <row r="79" spans="1:8">
      <c r="A79" s="80">
        <v>5691</v>
      </c>
      <c r="B79">
        <v>41.8</v>
      </c>
      <c r="C79" s="83">
        <v>31</v>
      </c>
      <c r="D79" s="65">
        <f t="shared" si="3"/>
        <v>111957120</v>
      </c>
      <c r="E79" s="40">
        <f t="shared" si="4"/>
        <v>2570.188408128</v>
      </c>
      <c r="G79" s="40"/>
      <c r="H79" s="40"/>
    </row>
    <row r="80" spans="1:8">
      <c r="A80" s="80">
        <v>5722</v>
      </c>
      <c r="B80">
        <v>25.2</v>
      </c>
      <c r="C80" s="83">
        <v>31</v>
      </c>
      <c r="D80" s="65">
        <f t="shared" si="3"/>
        <v>67495680</v>
      </c>
      <c r="E80" s="40">
        <f t="shared" si="4"/>
        <v>1549.4915761920001</v>
      </c>
      <c r="G80" s="40"/>
      <c r="H80" s="40"/>
    </row>
    <row r="81" spans="1:8">
      <c r="A81" s="80">
        <v>5752</v>
      </c>
      <c r="B81">
        <v>95.1</v>
      </c>
      <c r="C81" s="83">
        <v>30</v>
      </c>
      <c r="D81" s="65">
        <f t="shared" si="3"/>
        <v>246499200</v>
      </c>
      <c r="E81" s="40">
        <f t="shared" si="4"/>
        <v>5658.8574844800005</v>
      </c>
      <c r="G81" s="40"/>
      <c r="H81" s="40"/>
    </row>
    <row r="82" spans="1:8">
      <c r="A82" s="80">
        <v>5783</v>
      </c>
      <c r="B82">
        <v>162.69999999999999</v>
      </c>
      <c r="C82" s="83">
        <v>31</v>
      </c>
      <c r="D82" s="65">
        <f t="shared" si="3"/>
        <v>435775680</v>
      </c>
      <c r="E82" s="40">
        <f t="shared" si="4"/>
        <v>10004.058708192</v>
      </c>
      <c r="G82" s="40"/>
      <c r="H82" s="40"/>
    </row>
    <row r="83" spans="1:8">
      <c r="A83" s="80">
        <v>5813</v>
      </c>
      <c r="B83">
        <v>124.8</v>
      </c>
      <c r="C83" s="83">
        <v>30</v>
      </c>
      <c r="D83" s="65">
        <f t="shared" si="3"/>
        <v>323481600</v>
      </c>
      <c r="E83" s="40">
        <f t="shared" si="4"/>
        <v>7426.1347430400001</v>
      </c>
      <c r="G83" s="40"/>
      <c r="H83" s="40"/>
    </row>
    <row r="84" spans="1:8">
      <c r="A84" s="80">
        <v>5844</v>
      </c>
      <c r="B84">
        <v>117.3</v>
      </c>
      <c r="C84" s="83">
        <v>31</v>
      </c>
      <c r="D84" s="65">
        <f t="shared" si="3"/>
        <v>314176320</v>
      </c>
      <c r="E84" s="40">
        <f t="shared" si="4"/>
        <v>7212.5143606080001</v>
      </c>
      <c r="G84" s="40"/>
      <c r="H84" s="40"/>
    </row>
    <row r="87" spans="1:8">
      <c r="E87" s="40">
        <f>SUM(E15:E74)</f>
        <v>641841.61923141102</v>
      </c>
      <c r="F87">
        <f>E87/5</f>
        <v>128368.3238462822</v>
      </c>
    </row>
    <row r="89" spans="1:8">
      <c r="E89">
        <f>F87*0.95</f>
        <v>121949.90765396808</v>
      </c>
    </row>
    <row r="90" spans="1:8">
      <c r="E90">
        <f>F87*1.05</f>
        <v>134786.74003859633</v>
      </c>
    </row>
  </sheetData>
  <hyperlinks>
    <hyperlink ref="A2" r:id="rId1" display="https://waterdata.usgs.gov/nwis/monthly/?referred_module=sw&amp;amp;site_no=09415250&amp;amp;por_09415250_102194=171973,00060,102194,2006-04,2019-05&amp;amp;format=html_table&amp;amp;date_format=YYYY-MM-DD&amp;amp;rdb_compression=file&amp;amp;submitted_form=parameter_selection_list" xr:uid="{1BD6A0DB-E0F2-47ED-BE72-774D81EEEC5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B0DF-0494-4EDF-9490-1587C4450BB2}">
  <dimension ref="A1:M92"/>
  <sheetViews>
    <sheetView workbookViewId="0">
      <selection activeCell="F90" sqref="F90"/>
    </sheetView>
  </sheetViews>
  <sheetFormatPr defaultColWidth="8.81640625" defaultRowHeight="14.5"/>
  <cols>
    <col min="4" max="4" width="12.36328125" bestFit="1" customWidth="1"/>
  </cols>
  <sheetData>
    <row r="1" spans="1:13" ht="16.5">
      <c r="A1" s="111" t="s">
        <v>79</v>
      </c>
    </row>
    <row r="2" spans="1:13">
      <c r="A2" s="44" t="s">
        <v>256</v>
      </c>
    </row>
    <row r="3" spans="1:13">
      <c r="B3" s="110" t="s">
        <v>250</v>
      </c>
    </row>
    <row r="4" spans="1:13">
      <c r="B4" s="109" t="s">
        <v>210</v>
      </c>
      <c r="C4" s="108" t="s">
        <v>211</v>
      </c>
      <c r="D4" s="109" t="s">
        <v>50</v>
      </c>
      <c r="E4" s="108" t="s">
        <v>212</v>
      </c>
      <c r="F4" s="109" t="s">
        <v>52</v>
      </c>
      <c r="G4" s="108" t="s">
        <v>53</v>
      </c>
      <c r="H4" s="109" t="s">
        <v>54</v>
      </c>
      <c r="I4" s="108" t="s">
        <v>213</v>
      </c>
      <c r="J4" s="109" t="s">
        <v>214</v>
      </c>
      <c r="K4" s="108" t="s">
        <v>215</v>
      </c>
      <c r="L4" s="109" t="s">
        <v>216</v>
      </c>
      <c r="M4" s="108" t="s">
        <v>217</v>
      </c>
    </row>
    <row r="5" spans="1:13">
      <c r="A5" s="107">
        <v>2010</v>
      </c>
      <c r="B5" s="112">
        <v>8.75</v>
      </c>
      <c r="C5" s="112">
        <v>6.69</v>
      </c>
      <c r="D5" s="112">
        <v>7.05</v>
      </c>
      <c r="E5" s="112">
        <v>6.77</v>
      </c>
      <c r="F5" s="112">
        <v>5.56</v>
      </c>
      <c r="G5" s="112">
        <v>4.28</v>
      </c>
      <c r="H5" s="112">
        <v>30.8</v>
      </c>
      <c r="I5" s="112">
        <v>13.1</v>
      </c>
      <c r="J5" s="112">
        <v>5.09</v>
      </c>
      <c r="K5" s="112">
        <v>6.12</v>
      </c>
      <c r="L5" s="112">
        <v>5.84</v>
      </c>
      <c r="M5" s="112">
        <v>5.75</v>
      </c>
    </row>
    <row r="6" spans="1:13">
      <c r="A6" s="107">
        <v>2011</v>
      </c>
      <c r="B6" s="112">
        <v>5.78</v>
      </c>
      <c r="C6" s="112">
        <v>5.66</v>
      </c>
      <c r="D6" s="112">
        <v>6.03</v>
      </c>
      <c r="E6" s="112">
        <v>5.32</v>
      </c>
      <c r="F6" s="112">
        <v>5.37</v>
      </c>
      <c r="G6" s="112">
        <v>4.4400000000000004</v>
      </c>
      <c r="H6" s="112">
        <v>4.4000000000000004</v>
      </c>
      <c r="I6" s="112">
        <v>3.24</v>
      </c>
      <c r="J6" s="112">
        <v>8.7799999999999994</v>
      </c>
      <c r="K6" s="112">
        <v>4.43</v>
      </c>
      <c r="L6" s="112">
        <v>5.68</v>
      </c>
      <c r="M6" s="112">
        <v>5.74</v>
      </c>
    </row>
    <row r="7" spans="1:13">
      <c r="A7" s="107">
        <v>2012</v>
      </c>
      <c r="B7" s="112">
        <v>6.18</v>
      </c>
      <c r="C7" s="112">
        <v>6.41</v>
      </c>
      <c r="D7" s="112">
        <v>5.66</v>
      </c>
      <c r="E7" s="112">
        <v>5</v>
      </c>
      <c r="F7" s="112">
        <v>3.48</v>
      </c>
      <c r="G7" s="112">
        <v>2.42</v>
      </c>
      <c r="H7" s="112">
        <v>5.14</v>
      </c>
      <c r="I7" s="112">
        <v>6.36</v>
      </c>
      <c r="J7" s="112">
        <v>5.27</v>
      </c>
      <c r="K7" s="112">
        <v>4.84</v>
      </c>
      <c r="L7" s="112">
        <v>5.5</v>
      </c>
      <c r="M7" s="112">
        <v>4.83</v>
      </c>
    </row>
    <row r="8" spans="1:13">
      <c r="A8" s="107">
        <v>2013</v>
      </c>
      <c r="B8" s="112">
        <v>5.01</v>
      </c>
      <c r="C8" s="112">
        <v>5.92</v>
      </c>
      <c r="D8" s="112">
        <v>5.27</v>
      </c>
      <c r="E8" s="112">
        <v>4.2</v>
      </c>
      <c r="F8" s="112">
        <v>4.03</v>
      </c>
      <c r="G8" s="112">
        <v>3.72</v>
      </c>
      <c r="H8" s="112">
        <v>2.87</v>
      </c>
      <c r="I8" s="112">
        <v>10.3</v>
      </c>
      <c r="J8" s="112">
        <v>22.6</v>
      </c>
      <c r="K8" s="112">
        <v>5</v>
      </c>
      <c r="L8" s="112">
        <v>3.42</v>
      </c>
      <c r="M8" s="112">
        <v>3.62</v>
      </c>
    </row>
    <row r="9" spans="1:13">
      <c r="A9" s="107">
        <v>2014</v>
      </c>
      <c r="B9" s="112">
        <v>4.72</v>
      </c>
      <c r="C9" s="112">
        <v>5.45</v>
      </c>
      <c r="D9" s="112">
        <v>5.26</v>
      </c>
      <c r="E9" s="112">
        <v>5.0599999999999996</v>
      </c>
      <c r="F9" s="112">
        <v>4.72</v>
      </c>
      <c r="G9" s="112">
        <v>4.55</v>
      </c>
      <c r="H9" s="112">
        <v>23.1</v>
      </c>
      <c r="I9" s="112">
        <v>4.5999999999999996</v>
      </c>
      <c r="J9" s="112">
        <v>8.42</v>
      </c>
      <c r="K9" s="112">
        <v>4.78</v>
      </c>
      <c r="L9" s="112">
        <v>5.0599999999999996</v>
      </c>
      <c r="M9" s="112">
        <v>5.68</v>
      </c>
    </row>
    <row r="10" spans="1:13">
      <c r="A10" s="107">
        <v>2015</v>
      </c>
      <c r="B10" s="112">
        <v>6.09</v>
      </c>
      <c r="C10" s="112">
        <v>6.05</v>
      </c>
      <c r="D10" s="112">
        <v>5.49</v>
      </c>
      <c r="E10" s="112">
        <v>4.8499999999999996</v>
      </c>
      <c r="F10" s="112">
        <v>4.22</v>
      </c>
      <c r="G10" s="112">
        <v>3.12</v>
      </c>
      <c r="H10" s="112">
        <v>3.05</v>
      </c>
      <c r="I10" s="112">
        <v>36.6</v>
      </c>
      <c r="J10" s="112">
        <v>2.66</v>
      </c>
      <c r="K10" s="112">
        <v>5.86</v>
      </c>
      <c r="L10" s="112">
        <v>5.35</v>
      </c>
      <c r="M10" s="112">
        <v>5.16</v>
      </c>
    </row>
    <row r="12" spans="1:13">
      <c r="B12" t="s">
        <v>248</v>
      </c>
      <c r="C12" t="s">
        <v>247</v>
      </c>
      <c r="D12" t="s">
        <v>246</v>
      </c>
      <c r="E12" s="105" t="s">
        <v>245</v>
      </c>
    </row>
    <row r="13" spans="1:13">
      <c r="A13" s="80">
        <v>3684</v>
      </c>
      <c r="B13">
        <v>8.75</v>
      </c>
      <c r="C13" s="83">
        <v>31</v>
      </c>
      <c r="D13" s="65">
        <f t="shared" ref="D13:D44" si="0">B13*C13*86400</f>
        <v>23436000</v>
      </c>
      <c r="E13" s="40">
        <f t="shared" ref="E13:E44" si="1">D13*0.0000229569</f>
        <v>538.01790840000001</v>
      </c>
      <c r="I13">
        <v>1994</v>
      </c>
      <c r="J13">
        <v>3.16</v>
      </c>
      <c r="K13">
        <f t="shared" ref="K13:K38" si="2">J13*723.968</f>
        <v>2287.7388799999999</v>
      </c>
    </row>
    <row r="14" spans="1:13">
      <c r="A14" s="80">
        <v>3712</v>
      </c>
      <c r="B14">
        <v>6.69</v>
      </c>
      <c r="C14" s="83">
        <v>28</v>
      </c>
      <c r="D14" s="65">
        <f t="shared" si="0"/>
        <v>16184448.000000002</v>
      </c>
      <c r="E14" s="40">
        <f t="shared" si="1"/>
        <v>371.54475429120004</v>
      </c>
      <c r="I14">
        <v>1995</v>
      </c>
      <c r="J14">
        <v>3.62</v>
      </c>
      <c r="K14">
        <f t="shared" si="2"/>
        <v>2620.7641599999997</v>
      </c>
    </row>
    <row r="15" spans="1:13">
      <c r="A15" s="80">
        <v>3743</v>
      </c>
      <c r="B15">
        <v>7.05</v>
      </c>
      <c r="C15" s="83">
        <v>31</v>
      </c>
      <c r="D15" s="65">
        <f t="shared" si="0"/>
        <v>18882720</v>
      </c>
      <c r="E15" s="40">
        <f t="shared" si="1"/>
        <v>433.48871476800002</v>
      </c>
      <c r="I15">
        <v>1996</v>
      </c>
      <c r="J15">
        <v>4.3099999999999996</v>
      </c>
      <c r="K15">
        <f t="shared" si="2"/>
        <v>3120.3020799999995</v>
      </c>
    </row>
    <row r="16" spans="1:13">
      <c r="A16" s="80">
        <v>3773</v>
      </c>
      <c r="B16">
        <v>6.77</v>
      </c>
      <c r="C16" s="83">
        <v>30</v>
      </c>
      <c r="D16" s="65">
        <f t="shared" si="0"/>
        <v>17547840</v>
      </c>
      <c r="E16" s="40">
        <f t="shared" si="1"/>
        <v>402.84400809599998</v>
      </c>
      <c r="I16">
        <v>1997</v>
      </c>
      <c r="J16">
        <v>3.66</v>
      </c>
      <c r="K16">
        <f t="shared" si="2"/>
        <v>2649.7228799999998</v>
      </c>
    </row>
    <row r="17" spans="1:11">
      <c r="A17" s="80">
        <v>3804</v>
      </c>
      <c r="B17">
        <v>5.56</v>
      </c>
      <c r="C17" s="83">
        <v>31</v>
      </c>
      <c r="D17" s="65">
        <f t="shared" si="0"/>
        <v>14891903.999999998</v>
      </c>
      <c r="E17" s="40">
        <f t="shared" si="1"/>
        <v>341.87195093759999</v>
      </c>
      <c r="I17">
        <v>1998</v>
      </c>
      <c r="J17">
        <v>3.66</v>
      </c>
      <c r="K17">
        <f t="shared" si="2"/>
        <v>2649.7228799999998</v>
      </c>
    </row>
    <row r="18" spans="1:11">
      <c r="A18" s="80">
        <v>3834</v>
      </c>
      <c r="B18">
        <v>4.28</v>
      </c>
      <c r="C18" s="83">
        <v>30</v>
      </c>
      <c r="D18" s="65">
        <f t="shared" si="0"/>
        <v>11093760</v>
      </c>
      <c r="E18" s="40">
        <f t="shared" si="1"/>
        <v>254.67833894400002</v>
      </c>
      <c r="I18">
        <v>1999</v>
      </c>
      <c r="J18">
        <v>7.07</v>
      </c>
      <c r="K18">
        <f t="shared" si="2"/>
        <v>5118.4537600000003</v>
      </c>
    </row>
    <row r="19" spans="1:11">
      <c r="A19" s="80">
        <v>3865</v>
      </c>
      <c r="B19">
        <v>30.8</v>
      </c>
      <c r="C19" s="83">
        <v>31</v>
      </c>
      <c r="D19" s="65">
        <f t="shared" si="0"/>
        <v>82494720</v>
      </c>
      <c r="E19" s="40">
        <f t="shared" si="1"/>
        <v>1893.823037568</v>
      </c>
      <c r="I19">
        <v>2000</v>
      </c>
      <c r="J19">
        <v>5.19</v>
      </c>
      <c r="K19">
        <f t="shared" si="2"/>
        <v>3757.39392</v>
      </c>
    </row>
    <row r="20" spans="1:11">
      <c r="A20" s="80">
        <v>3896</v>
      </c>
      <c r="B20">
        <v>13.1</v>
      </c>
      <c r="C20" s="83">
        <v>31</v>
      </c>
      <c r="D20" s="65">
        <f t="shared" si="0"/>
        <v>35087040</v>
      </c>
      <c r="E20" s="40">
        <f t="shared" si="1"/>
        <v>805.48966857599999</v>
      </c>
      <c r="I20">
        <v>2001</v>
      </c>
      <c r="J20">
        <v>3.32</v>
      </c>
      <c r="K20">
        <f t="shared" si="2"/>
        <v>2403.5737599999998</v>
      </c>
    </row>
    <row r="21" spans="1:11">
      <c r="A21" s="80">
        <v>3926</v>
      </c>
      <c r="B21">
        <v>5.09</v>
      </c>
      <c r="C21" s="83">
        <v>30</v>
      </c>
      <c r="D21" s="65">
        <f t="shared" si="0"/>
        <v>13193279.999999998</v>
      </c>
      <c r="E21" s="40">
        <f t="shared" si="1"/>
        <v>302.87680963199995</v>
      </c>
      <c r="I21">
        <v>2002</v>
      </c>
      <c r="J21">
        <v>2.87</v>
      </c>
      <c r="K21">
        <f t="shared" si="2"/>
        <v>2077.7881600000001</v>
      </c>
    </row>
    <row r="22" spans="1:11">
      <c r="A22" s="80">
        <v>3957</v>
      </c>
      <c r="B22">
        <v>6.12</v>
      </c>
      <c r="C22" s="83">
        <v>31</v>
      </c>
      <c r="D22" s="65">
        <f t="shared" si="0"/>
        <v>16391808</v>
      </c>
      <c r="E22" s="40">
        <f t="shared" si="1"/>
        <v>376.30509707520002</v>
      </c>
      <c r="I22">
        <v>2003</v>
      </c>
      <c r="J22">
        <v>4.95</v>
      </c>
      <c r="K22">
        <f t="shared" si="2"/>
        <v>3583.6415999999999</v>
      </c>
    </row>
    <row r="23" spans="1:11">
      <c r="A23" s="80">
        <v>3987</v>
      </c>
      <c r="B23">
        <v>5.84</v>
      </c>
      <c r="C23" s="83">
        <v>30</v>
      </c>
      <c r="D23" s="65">
        <f t="shared" si="0"/>
        <v>15137279.999999998</v>
      </c>
      <c r="E23" s="40">
        <f t="shared" si="1"/>
        <v>347.50502323199999</v>
      </c>
      <c r="I23">
        <v>2004</v>
      </c>
      <c r="J23">
        <v>2.89</v>
      </c>
      <c r="K23">
        <f t="shared" si="2"/>
        <v>2092.2675199999999</v>
      </c>
    </row>
    <row r="24" spans="1:11">
      <c r="A24" s="80">
        <v>4018</v>
      </c>
      <c r="B24">
        <v>5.75</v>
      </c>
      <c r="C24" s="83">
        <v>31</v>
      </c>
      <c r="D24" s="65">
        <f t="shared" si="0"/>
        <v>15400800</v>
      </c>
      <c r="E24" s="40">
        <f t="shared" si="1"/>
        <v>353.55462552</v>
      </c>
      <c r="I24">
        <v>2005</v>
      </c>
      <c r="J24">
        <v>7.41</v>
      </c>
      <c r="K24">
        <f t="shared" si="2"/>
        <v>5364.6028799999995</v>
      </c>
    </row>
    <row r="25" spans="1:11">
      <c r="A25" s="80">
        <v>4049</v>
      </c>
      <c r="B25">
        <v>5.78</v>
      </c>
      <c r="C25" s="83">
        <v>31</v>
      </c>
      <c r="D25" s="65">
        <f t="shared" si="0"/>
        <v>15481152</v>
      </c>
      <c r="E25" s="40">
        <f t="shared" si="1"/>
        <v>355.3992583488</v>
      </c>
      <c r="I25">
        <v>2006</v>
      </c>
      <c r="J25">
        <v>10.9</v>
      </c>
      <c r="K25">
        <f t="shared" si="2"/>
        <v>7891.2511999999997</v>
      </c>
    </row>
    <row r="26" spans="1:11">
      <c r="A26" s="80">
        <v>4077</v>
      </c>
      <c r="B26">
        <v>5.66</v>
      </c>
      <c r="C26" s="83">
        <v>28</v>
      </c>
      <c r="D26" s="65">
        <f t="shared" si="0"/>
        <v>13692672.000000002</v>
      </c>
      <c r="E26" s="40">
        <f t="shared" si="1"/>
        <v>314.34130183680003</v>
      </c>
      <c r="F26" s="40">
        <f>SUM(E15:E26)</f>
        <v>6182.1778345343992</v>
      </c>
      <c r="I26">
        <v>2007</v>
      </c>
      <c r="J26">
        <v>5.29</v>
      </c>
      <c r="K26">
        <f t="shared" si="2"/>
        <v>3829.79072</v>
      </c>
    </row>
    <row r="27" spans="1:11">
      <c r="A27" s="80">
        <v>4108</v>
      </c>
      <c r="B27">
        <v>6.03</v>
      </c>
      <c r="C27" s="83">
        <v>31</v>
      </c>
      <c r="D27" s="65">
        <f t="shared" si="0"/>
        <v>16150752</v>
      </c>
      <c r="E27" s="40">
        <f t="shared" si="1"/>
        <v>370.77119858880002</v>
      </c>
      <c r="I27">
        <v>2008</v>
      </c>
      <c r="J27">
        <v>6.31</v>
      </c>
      <c r="K27">
        <f t="shared" si="2"/>
        <v>4568.2380799999992</v>
      </c>
    </row>
    <row r="28" spans="1:11">
      <c r="A28" s="80">
        <v>4138</v>
      </c>
      <c r="B28">
        <v>5.32</v>
      </c>
      <c r="C28" s="83">
        <v>30</v>
      </c>
      <c r="D28" s="65">
        <f t="shared" si="0"/>
        <v>13789440.000000002</v>
      </c>
      <c r="E28" s="40">
        <f t="shared" si="1"/>
        <v>316.56279513600003</v>
      </c>
      <c r="I28">
        <v>2009</v>
      </c>
      <c r="J28">
        <v>4.9000000000000004</v>
      </c>
      <c r="K28">
        <f t="shared" si="2"/>
        <v>3547.4432000000002</v>
      </c>
    </row>
    <row r="29" spans="1:11">
      <c r="A29" s="80">
        <v>4169</v>
      </c>
      <c r="B29">
        <v>5.37</v>
      </c>
      <c r="C29" s="83">
        <v>31</v>
      </c>
      <c r="D29" s="65">
        <f t="shared" si="0"/>
        <v>14383008</v>
      </c>
      <c r="E29" s="40">
        <f t="shared" si="1"/>
        <v>330.18927635519998</v>
      </c>
      <c r="I29">
        <v>2010</v>
      </c>
      <c r="J29">
        <v>8.83</v>
      </c>
      <c r="K29">
        <f t="shared" si="2"/>
        <v>6392.6374399999995</v>
      </c>
    </row>
    <row r="30" spans="1:11">
      <c r="A30" s="80">
        <v>4199</v>
      </c>
      <c r="B30">
        <v>4.4400000000000004</v>
      </c>
      <c r="C30" s="83">
        <v>30</v>
      </c>
      <c r="D30" s="65">
        <f t="shared" si="0"/>
        <v>11508480.000000002</v>
      </c>
      <c r="E30" s="40">
        <f t="shared" si="1"/>
        <v>264.19902451200005</v>
      </c>
      <c r="I30">
        <v>2011</v>
      </c>
      <c r="J30">
        <v>5.55</v>
      </c>
      <c r="K30">
        <f t="shared" si="2"/>
        <v>4018.0223999999998</v>
      </c>
    </row>
    <row r="31" spans="1:11">
      <c r="A31" s="80">
        <v>4230</v>
      </c>
      <c r="B31">
        <v>4.4000000000000004</v>
      </c>
      <c r="C31" s="83">
        <v>31</v>
      </c>
      <c r="D31" s="65">
        <f t="shared" si="0"/>
        <v>11784960</v>
      </c>
      <c r="E31" s="40">
        <f t="shared" si="1"/>
        <v>270.54614822399998</v>
      </c>
      <c r="I31">
        <v>2012</v>
      </c>
      <c r="J31">
        <v>5.15</v>
      </c>
      <c r="K31">
        <f t="shared" si="2"/>
        <v>3728.4351999999999</v>
      </c>
    </row>
    <row r="32" spans="1:11">
      <c r="A32" s="80">
        <v>4261</v>
      </c>
      <c r="B32">
        <v>3.24</v>
      </c>
      <c r="C32" s="83">
        <v>31</v>
      </c>
      <c r="D32" s="65">
        <f t="shared" si="0"/>
        <v>8678016.0000000019</v>
      </c>
      <c r="E32" s="40">
        <f t="shared" si="1"/>
        <v>199.22034551040005</v>
      </c>
      <c r="I32">
        <v>2013</v>
      </c>
      <c r="J32">
        <v>6.57</v>
      </c>
      <c r="K32">
        <f t="shared" si="2"/>
        <v>4756.46976</v>
      </c>
    </row>
    <row r="33" spans="1:13">
      <c r="A33" s="80">
        <v>4291</v>
      </c>
      <c r="B33">
        <v>8.7799999999999994</v>
      </c>
      <c r="C33" s="83">
        <v>30</v>
      </c>
      <c r="D33" s="65">
        <f t="shared" si="0"/>
        <v>22757759.999999996</v>
      </c>
      <c r="E33" s="40">
        <f t="shared" si="1"/>
        <v>522.44762054399996</v>
      </c>
      <c r="I33">
        <v>2014</v>
      </c>
      <c r="J33">
        <v>6.51</v>
      </c>
      <c r="K33">
        <f t="shared" si="2"/>
        <v>4713.0316799999991</v>
      </c>
    </row>
    <row r="34" spans="1:13">
      <c r="A34" s="80">
        <v>4322</v>
      </c>
      <c r="B34">
        <v>4.43</v>
      </c>
      <c r="C34" s="83">
        <v>31</v>
      </c>
      <c r="D34" s="65">
        <f t="shared" si="0"/>
        <v>11865311.999999998</v>
      </c>
      <c r="E34" s="40">
        <f t="shared" si="1"/>
        <v>272.39078105279998</v>
      </c>
      <c r="I34">
        <v>2015</v>
      </c>
      <c r="J34">
        <v>7.35</v>
      </c>
      <c r="K34">
        <f t="shared" si="2"/>
        <v>5321.1647999999996</v>
      </c>
    </row>
    <row r="35" spans="1:13">
      <c r="A35" s="80">
        <v>4352</v>
      </c>
      <c r="B35">
        <v>5.68</v>
      </c>
      <c r="C35" s="83">
        <v>30</v>
      </c>
      <c r="D35" s="65">
        <f t="shared" si="0"/>
        <v>14722559.999999998</v>
      </c>
      <c r="E35" s="40">
        <f t="shared" si="1"/>
        <v>337.98433766399995</v>
      </c>
      <c r="I35">
        <v>2016</v>
      </c>
      <c r="J35">
        <v>9.14</v>
      </c>
      <c r="K35">
        <f t="shared" si="2"/>
        <v>6617.0675199999996</v>
      </c>
    </row>
    <row r="36" spans="1:13">
      <c r="A36" s="80">
        <v>4383</v>
      </c>
      <c r="B36">
        <v>5.74</v>
      </c>
      <c r="C36" s="83">
        <v>31</v>
      </c>
      <c r="D36" s="65">
        <f t="shared" si="0"/>
        <v>15374016</v>
      </c>
      <c r="E36" s="40">
        <f t="shared" si="1"/>
        <v>352.9397479104</v>
      </c>
      <c r="I36">
        <v>2017</v>
      </c>
      <c r="J36">
        <v>5.14</v>
      </c>
      <c r="K36">
        <f t="shared" si="2"/>
        <v>3721.1955199999998</v>
      </c>
    </row>
    <row r="37" spans="1:13">
      <c r="A37" s="80">
        <v>4414</v>
      </c>
      <c r="B37">
        <v>6.18</v>
      </c>
      <c r="C37" s="83">
        <v>31</v>
      </c>
      <c r="D37" s="65">
        <f t="shared" si="0"/>
        <v>16552511.999999998</v>
      </c>
      <c r="E37" s="40">
        <f t="shared" si="1"/>
        <v>379.99436273279997</v>
      </c>
      <c r="I37">
        <v>2018</v>
      </c>
      <c r="J37">
        <v>4.51</v>
      </c>
      <c r="K37">
        <f t="shared" si="2"/>
        <v>3265.0956799999994</v>
      </c>
      <c r="M37">
        <f>AVERAGE(K26:K36)</f>
        <v>4655.7723927272727</v>
      </c>
    </row>
    <row r="38" spans="1:13">
      <c r="A38" s="80">
        <v>4443</v>
      </c>
      <c r="B38">
        <v>6.41</v>
      </c>
      <c r="C38" s="83">
        <v>29</v>
      </c>
      <c r="D38" s="65">
        <f t="shared" si="0"/>
        <v>16060896.000000002</v>
      </c>
      <c r="E38" s="40">
        <f t="shared" si="1"/>
        <v>368.70838338240003</v>
      </c>
      <c r="F38" s="40">
        <f>SUM(E27:E38)</f>
        <v>3985.9540216127998</v>
      </c>
      <c r="I38">
        <v>2019</v>
      </c>
      <c r="J38">
        <v>4.22</v>
      </c>
      <c r="K38">
        <f t="shared" si="2"/>
        <v>3055.1449599999996</v>
      </c>
    </row>
    <row r="39" spans="1:13">
      <c r="A39" s="80">
        <v>4474</v>
      </c>
      <c r="B39">
        <v>5.66</v>
      </c>
      <c r="C39" s="83">
        <v>31</v>
      </c>
      <c r="D39" s="65">
        <f t="shared" si="0"/>
        <v>15159744</v>
      </c>
      <c r="E39" s="40">
        <f t="shared" si="1"/>
        <v>348.0207270336</v>
      </c>
    </row>
    <row r="40" spans="1:13">
      <c r="A40" s="80">
        <v>4504</v>
      </c>
      <c r="B40">
        <v>5</v>
      </c>
      <c r="C40" s="83">
        <v>30</v>
      </c>
      <c r="D40" s="65">
        <f t="shared" si="0"/>
        <v>12960000</v>
      </c>
      <c r="E40" s="40">
        <f t="shared" si="1"/>
        <v>297.52142400000002</v>
      </c>
    </row>
    <row r="41" spans="1:13">
      <c r="A41" s="80">
        <v>4535</v>
      </c>
      <c r="B41">
        <v>3.48</v>
      </c>
      <c r="C41" s="83">
        <v>31</v>
      </c>
      <c r="D41" s="65">
        <f t="shared" si="0"/>
        <v>9320832</v>
      </c>
      <c r="E41" s="40">
        <f t="shared" si="1"/>
        <v>213.97740814080001</v>
      </c>
    </row>
    <row r="42" spans="1:13">
      <c r="A42" s="80">
        <v>4565</v>
      </c>
      <c r="B42">
        <v>2.42</v>
      </c>
      <c r="C42" s="83">
        <v>30</v>
      </c>
      <c r="D42" s="65">
        <f t="shared" si="0"/>
        <v>6272639.9999999991</v>
      </c>
      <c r="E42" s="40">
        <f t="shared" si="1"/>
        <v>144.00036921599997</v>
      </c>
    </row>
    <row r="43" spans="1:13">
      <c r="A43" s="80">
        <v>4596</v>
      </c>
      <c r="B43">
        <v>5.14</v>
      </c>
      <c r="C43" s="83">
        <v>31</v>
      </c>
      <c r="D43" s="65">
        <f t="shared" si="0"/>
        <v>13766976</v>
      </c>
      <c r="E43" s="40">
        <f t="shared" si="1"/>
        <v>316.04709133440002</v>
      </c>
    </row>
    <row r="44" spans="1:13">
      <c r="A44" s="80">
        <v>4627</v>
      </c>
      <c r="B44">
        <v>6.36</v>
      </c>
      <c r="C44" s="83">
        <v>31</v>
      </c>
      <c r="D44" s="65">
        <f t="shared" si="0"/>
        <v>17034624</v>
      </c>
      <c r="E44" s="40">
        <f t="shared" si="1"/>
        <v>391.06215970559998</v>
      </c>
    </row>
    <row r="45" spans="1:13">
      <c r="A45" s="80">
        <v>4657</v>
      </c>
      <c r="B45">
        <v>5.27</v>
      </c>
      <c r="C45" s="83">
        <v>30</v>
      </c>
      <c r="D45" s="65">
        <f t="shared" ref="D45:D76" si="3">B45*C45*86400</f>
        <v>13659840</v>
      </c>
      <c r="E45" s="40">
        <f t="shared" ref="E45:E76" si="4">D45*0.0000229569</f>
        <v>313.58758089600002</v>
      </c>
    </row>
    <row r="46" spans="1:13">
      <c r="A46" s="80">
        <v>4688</v>
      </c>
      <c r="B46">
        <v>4.84</v>
      </c>
      <c r="C46" s="83">
        <v>31</v>
      </c>
      <c r="D46" s="65">
        <f t="shared" si="3"/>
        <v>12963456</v>
      </c>
      <c r="E46" s="40">
        <f t="shared" si="4"/>
        <v>297.6007630464</v>
      </c>
    </row>
    <row r="47" spans="1:13">
      <c r="A47" s="80">
        <v>4718</v>
      </c>
      <c r="B47">
        <v>5.5</v>
      </c>
      <c r="C47" s="83">
        <v>30</v>
      </c>
      <c r="D47" s="65">
        <f t="shared" si="3"/>
        <v>14256000</v>
      </c>
      <c r="E47" s="40">
        <f t="shared" si="4"/>
        <v>327.27356639999999</v>
      </c>
    </row>
    <row r="48" spans="1:13">
      <c r="A48" s="80">
        <v>4749</v>
      </c>
      <c r="B48">
        <v>4.83</v>
      </c>
      <c r="C48" s="83">
        <v>31</v>
      </c>
      <c r="D48" s="65">
        <f t="shared" si="3"/>
        <v>12936672</v>
      </c>
      <c r="E48" s="40">
        <f t="shared" si="4"/>
        <v>296.9858854368</v>
      </c>
    </row>
    <row r="49" spans="1:6">
      <c r="A49" s="80">
        <v>4780</v>
      </c>
      <c r="B49">
        <v>5.01</v>
      </c>
      <c r="C49" s="83">
        <v>31</v>
      </c>
      <c r="D49" s="65">
        <f t="shared" si="3"/>
        <v>13418784</v>
      </c>
      <c r="E49" s="40">
        <f t="shared" si="4"/>
        <v>308.05368240960001</v>
      </c>
    </row>
    <row r="50" spans="1:6">
      <c r="A50" s="80">
        <v>4808</v>
      </c>
      <c r="B50">
        <v>5.92</v>
      </c>
      <c r="C50" s="83">
        <v>28</v>
      </c>
      <c r="D50" s="65">
        <f t="shared" si="3"/>
        <v>14321664</v>
      </c>
      <c r="E50" s="40">
        <f t="shared" si="4"/>
        <v>328.78100828160001</v>
      </c>
      <c r="F50" s="40">
        <f>SUM(E39:E50)</f>
        <v>3582.9116659008</v>
      </c>
    </row>
    <row r="51" spans="1:6">
      <c r="A51" s="80">
        <v>4839</v>
      </c>
      <c r="B51">
        <v>5.27</v>
      </c>
      <c r="C51" s="83">
        <v>31</v>
      </c>
      <c r="D51" s="65">
        <f t="shared" si="3"/>
        <v>14115167.999999998</v>
      </c>
      <c r="E51" s="40">
        <f t="shared" si="4"/>
        <v>324.04050025919997</v>
      </c>
    </row>
    <row r="52" spans="1:6">
      <c r="A52" s="80">
        <v>4869</v>
      </c>
      <c r="B52">
        <v>4.2</v>
      </c>
      <c r="C52" s="83">
        <v>30</v>
      </c>
      <c r="D52" s="65">
        <f t="shared" si="3"/>
        <v>10886400</v>
      </c>
      <c r="E52" s="40">
        <f t="shared" si="4"/>
        <v>249.91799616</v>
      </c>
    </row>
    <row r="53" spans="1:6">
      <c r="A53" s="80">
        <v>4900</v>
      </c>
      <c r="B53">
        <v>4.03</v>
      </c>
      <c r="C53" s="83">
        <v>31</v>
      </c>
      <c r="D53" s="65">
        <f t="shared" si="3"/>
        <v>10793952</v>
      </c>
      <c r="E53" s="40">
        <f t="shared" si="4"/>
        <v>247.79567666880001</v>
      </c>
    </row>
    <row r="54" spans="1:6">
      <c r="A54" s="80">
        <v>4930</v>
      </c>
      <c r="B54">
        <v>3.72</v>
      </c>
      <c r="C54" s="83">
        <v>30</v>
      </c>
      <c r="D54" s="65">
        <f t="shared" si="3"/>
        <v>9642240</v>
      </c>
      <c r="E54" s="40">
        <f t="shared" si="4"/>
        <v>221.35593945600002</v>
      </c>
    </row>
    <row r="55" spans="1:6">
      <c r="A55" s="80">
        <v>4961</v>
      </c>
      <c r="B55">
        <v>2.87</v>
      </c>
      <c r="C55" s="83">
        <v>31</v>
      </c>
      <c r="D55" s="65">
        <f t="shared" si="3"/>
        <v>7687008</v>
      </c>
      <c r="E55" s="40">
        <f t="shared" si="4"/>
        <v>176.4698739552</v>
      </c>
    </row>
    <row r="56" spans="1:6">
      <c r="A56" s="80">
        <v>4992</v>
      </c>
      <c r="B56">
        <v>10.3</v>
      </c>
      <c r="C56" s="83">
        <v>31</v>
      </c>
      <c r="D56" s="65">
        <f t="shared" si="3"/>
        <v>27587520</v>
      </c>
      <c r="E56" s="40">
        <f t="shared" si="4"/>
        <v>633.32393788800005</v>
      </c>
    </row>
    <row r="57" spans="1:6">
      <c r="A57" s="80">
        <v>5022</v>
      </c>
      <c r="B57">
        <v>22.6</v>
      </c>
      <c r="C57" s="83">
        <v>30</v>
      </c>
      <c r="D57" s="65">
        <f t="shared" si="3"/>
        <v>58579200</v>
      </c>
      <c r="E57" s="40">
        <f t="shared" si="4"/>
        <v>1344.7968364799999</v>
      </c>
    </row>
    <row r="58" spans="1:6">
      <c r="A58" s="80">
        <v>5053</v>
      </c>
      <c r="B58">
        <v>5</v>
      </c>
      <c r="C58" s="83">
        <v>31</v>
      </c>
      <c r="D58" s="65">
        <f t="shared" si="3"/>
        <v>13392000</v>
      </c>
      <c r="E58" s="40">
        <f t="shared" si="4"/>
        <v>307.43880480000001</v>
      </c>
    </row>
    <row r="59" spans="1:6">
      <c r="A59" s="80">
        <v>5083</v>
      </c>
      <c r="B59">
        <v>3.42</v>
      </c>
      <c r="C59" s="83">
        <v>30</v>
      </c>
      <c r="D59" s="65">
        <f t="shared" si="3"/>
        <v>8864640</v>
      </c>
      <c r="E59" s="40">
        <f t="shared" si="4"/>
        <v>203.50465401599999</v>
      </c>
    </row>
    <row r="60" spans="1:6">
      <c r="A60" s="80">
        <v>5114</v>
      </c>
      <c r="B60">
        <v>3.62</v>
      </c>
      <c r="C60" s="83">
        <v>31</v>
      </c>
      <c r="D60" s="65">
        <f t="shared" si="3"/>
        <v>9695808</v>
      </c>
      <c r="E60" s="40">
        <f t="shared" si="4"/>
        <v>222.58569467520002</v>
      </c>
    </row>
    <row r="61" spans="1:6">
      <c r="A61" s="80">
        <v>5145</v>
      </c>
      <c r="B61">
        <v>4.72</v>
      </c>
      <c r="C61" s="83">
        <v>31</v>
      </c>
      <c r="D61" s="65">
        <f t="shared" si="3"/>
        <v>12642048</v>
      </c>
      <c r="E61" s="40">
        <f t="shared" si="4"/>
        <v>290.2222317312</v>
      </c>
    </row>
    <row r="62" spans="1:6">
      <c r="A62" s="80">
        <v>5173</v>
      </c>
      <c r="B62">
        <v>5.45</v>
      </c>
      <c r="C62" s="83">
        <v>28</v>
      </c>
      <c r="D62" s="65">
        <f t="shared" si="3"/>
        <v>13184640</v>
      </c>
      <c r="E62" s="40">
        <f t="shared" si="4"/>
        <v>302.67846201600003</v>
      </c>
      <c r="F62" s="40">
        <f>SUM(E51:E62)</f>
        <v>4524.1306081056</v>
      </c>
    </row>
    <row r="63" spans="1:6">
      <c r="A63" s="80">
        <v>5204</v>
      </c>
      <c r="B63">
        <v>5.26</v>
      </c>
      <c r="C63" s="83">
        <v>31</v>
      </c>
      <c r="D63" s="65">
        <f t="shared" si="3"/>
        <v>14088384</v>
      </c>
      <c r="E63" s="40">
        <f t="shared" si="4"/>
        <v>323.42562264960003</v>
      </c>
    </row>
    <row r="64" spans="1:6">
      <c r="A64" s="80">
        <v>5234</v>
      </c>
      <c r="B64">
        <v>5.0599999999999996</v>
      </c>
      <c r="C64" s="83">
        <v>30</v>
      </c>
      <c r="D64" s="65">
        <f t="shared" si="3"/>
        <v>13115519.999999998</v>
      </c>
      <c r="E64" s="40">
        <f t="shared" si="4"/>
        <v>301.09168108799997</v>
      </c>
    </row>
    <row r="65" spans="1:6">
      <c r="A65" s="80">
        <v>5265</v>
      </c>
      <c r="B65">
        <v>4.72</v>
      </c>
      <c r="C65" s="83">
        <v>31</v>
      </c>
      <c r="D65" s="65">
        <f t="shared" si="3"/>
        <v>12642048</v>
      </c>
      <c r="E65" s="40">
        <f t="shared" si="4"/>
        <v>290.2222317312</v>
      </c>
    </row>
    <row r="66" spans="1:6">
      <c r="A66" s="80">
        <v>5295</v>
      </c>
      <c r="B66">
        <v>4.55</v>
      </c>
      <c r="C66" s="83">
        <v>30</v>
      </c>
      <c r="D66" s="65">
        <f t="shared" si="3"/>
        <v>11793600</v>
      </c>
      <c r="E66" s="40">
        <f t="shared" si="4"/>
        <v>270.74449584000001</v>
      </c>
    </row>
    <row r="67" spans="1:6">
      <c r="A67" s="80">
        <v>5326</v>
      </c>
      <c r="B67">
        <v>23.1</v>
      </c>
      <c r="C67" s="83">
        <v>31</v>
      </c>
      <c r="D67" s="65">
        <f t="shared" si="3"/>
        <v>61871040</v>
      </c>
      <c r="E67" s="40">
        <f t="shared" si="4"/>
        <v>1420.3672781760001</v>
      </c>
    </row>
    <row r="68" spans="1:6">
      <c r="A68" s="80">
        <v>5357</v>
      </c>
      <c r="B68">
        <v>4.5999999999999996</v>
      </c>
      <c r="C68" s="83">
        <v>31</v>
      </c>
      <c r="D68" s="65">
        <f t="shared" si="3"/>
        <v>12320640</v>
      </c>
      <c r="E68" s="40">
        <f t="shared" si="4"/>
        <v>282.84370041599999</v>
      </c>
    </row>
    <row r="69" spans="1:6">
      <c r="A69" s="80">
        <v>5387</v>
      </c>
      <c r="B69">
        <v>8.42</v>
      </c>
      <c r="C69" s="83">
        <v>30</v>
      </c>
      <c r="D69" s="65">
        <f t="shared" si="3"/>
        <v>21824640</v>
      </c>
      <c r="E69" s="40">
        <f t="shared" si="4"/>
        <v>501.02607801599999</v>
      </c>
    </row>
    <row r="70" spans="1:6">
      <c r="A70" s="80">
        <v>5418</v>
      </c>
      <c r="B70">
        <v>4.78</v>
      </c>
      <c r="C70" s="83">
        <v>31</v>
      </c>
      <c r="D70" s="65">
        <f t="shared" si="3"/>
        <v>12802752</v>
      </c>
      <c r="E70" s="40">
        <f t="shared" si="4"/>
        <v>293.9114973888</v>
      </c>
    </row>
    <row r="71" spans="1:6">
      <c r="A71" s="80">
        <v>5448</v>
      </c>
      <c r="B71">
        <v>5.0599999999999996</v>
      </c>
      <c r="C71" s="83">
        <v>30</v>
      </c>
      <c r="D71" s="65">
        <f t="shared" si="3"/>
        <v>13115519.999999998</v>
      </c>
      <c r="E71" s="40">
        <f t="shared" si="4"/>
        <v>301.09168108799997</v>
      </c>
    </row>
    <row r="72" spans="1:6">
      <c r="A72" s="80">
        <v>5479</v>
      </c>
      <c r="B72">
        <v>5.68</v>
      </c>
      <c r="C72" s="83">
        <v>31</v>
      </c>
      <c r="D72" s="65">
        <f t="shared" si="3"/>
        <v>15213311.999999998</v>
      </c>
      <c r="E72" s="40">
        <f t="shared" si="4"/>
        <v>349.25048225279994</v>
      </c>
    </row>
    <row r="73" spans="1:6">
      <c r="A73" s="80">
        <v>5510</v>
      </c>
      <c r="B73">
        <v>6.09</v>
      </c>
      <c r="C73" s="83">
        <v>31</v>
      </c>
      <c r="D73" s="65">
        <f t="shared" si="3"/>
        <v>16311456</v>
      </c>
      <c r="E73" s="40">
        <f t="shared" si="4"/>
        <v>374.46046424640002</v>
      </c>
    </row>
    <row r="74" spans="1:6">
      <c r="A74" s="80">
        <v>5538</v>
      </c>
      <c r="B74">
        <v>6.05</v>
      </c>
      <c r="C74" s="83">
        <v>28</v>
      </c>
      <c r="D74" s="65">
        <f t="shared" si="3"/>
        <v>14636160</v>
      </c>
      <c r="E74" s="40">
        <f t="shared" si="4"/>
        <v>336.000861504</v>
      </c>
      <c r="F74" s="40">
        <f>SUM(E63:E74)</f>
        <v>5044.4360743968</v>
      </c>
    </row>
    <row r="75" spans="1:6">
      <c r="A75" s="80">
        <v>5569</v>
      </c>
      <c r="B75">
        <v>5.49</v>
      </c>
      <c r="C75" s="83">
        <v>31</v>
      </c>
      <c r="D75" s="65">
        <f t="shared" si="3"/>
        <v>14704416</v>
      </c>
      <c r="E75" s="40">
        <f t="shared" si="4"/>
        <v>337.56780767039999</v>
      </c>
    </row>
    <row r="76" spans="1:6">
      <c r="A76" s="80">
        <v>5599</v>
      </c>
      <c r="B76">
        <v>4.8499999999999996</v>
      </c>
      <c r="C76" s="83">
        <v>30</v>
      </c>
      <c r="D76" s="65">
        <f t="shared" si="3"/>
        <v>12571200</v>
      </c>
      <c r="E76" s="40">
        <f t="shared" si="4"/>
        <v>288.59578127999998</v>
      </c>
    </row>
    <row r="77" spans="1:6">
      <c r="A77" s="80">
        <v>5630</v>
      </c>
      <c r="B77">
        <v>4.22</v>
      </c>
      <c r="C77" s="83">
        <v>31</v>
      </c>
      <c r="D77" s="65">
        <f t="shared" ref="D77:D84" si="5">B77*C77*86400</f>
        <v>11302848</v>
      </c>
      <c r="E77" s="40">
        <f t="shared" ref="E77:E84" si="6">D77*0.0000229569</f>
        <v>259.47835125120002</v>
      </c>
    </row>
    <row r="78" spans="1:6">
      <c r="A78" s="80">
        <v>5660</v>
      </c>
      <c r="B78">
        <v>3.12</v>
      </c>
      <c r="C78" s="83">
        <v>30</v>
      </c>
      <c r="D78" s="65">
        <f t="shared" si="5"/>
        <v>8087040.0000000009</v>
      </c>
      <c r="E78" s="40">
        <f t="shared" si="6"/>
        <v>185.65336857600002</v>
      </c>
    </row>
    <row r="79" spans="1:6">
      <c r="A79" s="80">
        <v>5691</v>
      </c>
      <c r="B79">
        <v>3.05</v>
      </c>
      <c r="C79" s="83">
        <v>31</v>
      </c>
      <c r="D79" s="65">
        <f t="shared" si="5"/>
        <v>8169120</v>
      </c>
      <c r="E79" s="40">
        <f t="shared" si="6"/>
        <v>187.53767092800001</v>
      </c>
    </row>
    <row r="80" spans="1:6">
      <c r="A80" s="80">
        <v>5722</v>
      </c>
      <c r="B80">
        <v>36.6</v>
      </c>
      <c r="C80" s="83">
        <v>31</v>
      </c>
      <c r="D80" s="65">
        <f t="shared" si="5"/>
        <v>98029440.000000015</v>
      </c>
      <c r="E80" s="40">
        <f t="shared" si="6"/>
        <v>2250.4520511360006</v>
      </c>
    </row>
    <row r="81" spans="1:6">
      <c r="A81" s="80">
        <v>5752</v>
      </c>
      <c r="B81">
        <v>2.66</v>
      </c>
      <c r="C81" s="83">
        <v>30</v>
      </c>
      <c r="D81" s="65">
        <f t="shared" si="5"/>
        <v>6894720.0000000009</v>
      </c>
      <c r="E81" s="40">
        <f t="shared" si="6"/>
        <v>158.28139756800002</v>
      </c>
    </row>
    <row r="82" spans="1:6">
      <c r="A82" s="80">
        <v>5783</v>
      </c>
      <c r="B82">
        <v>5.86</v>
      </c>
      <c r="C82" s="83">
        <v>31</v>
      </c>
      <c r="D82" s="65">
        <f t="shared" si="5"/>
        <v>15695424</v>
      </c>
      <c r="E82" s="40">
        <f t="shared" si="6"/>
        <v>360.31827922560001</v>
      </c>
    </row>
    <row r="83" spans="1:6">
      <c r="A83" s="80">
        <v>5813</v>
      </c>
      <c r="B83">
        <v>5.35</v>
      </c>
      <c r="C83" s="83">
        <v>30</v>
      </c>
      <c r="D83" s="65">
        <f t="shared" si="5"/>
        <v>13867200</v>
      </c>
      <c r="E83" s="40">
        <f t="shared" si="6"/>
        <v>318.34792368000001</v>
      </c>
    </row>
    <row r="84" spans="1:6">
      <c r="A84" s="80">
        <v>5844</v>
      </c>
      <c r="B84">
        <v>5.16</v>
      </c>
      <c r="C84" s="83">
        <v>31</v>
      </c>
      <c r="D84" s="65">
        <f t="shared" si="5"/>
        <v>13820544</v>
      </c>
      <c r="E84" s="40">
        <f t="shared" si="6"/>
        <v>317.27684655360002</v>
      </c>
    </row>
    <row r="90" spans="1:6">
      <c r="E90" s="40">
        <f>SUM(E15:E74)</f>
        <v>23319.610204550398</v>
      </c>
      <c r="F90">
        <f>E90/5</f>
        <v>4663.9220409100799</v>
      </c>
    </row>
    <row r="91" spans="1:6">
      <c r="E91">
        <f>F90*0.95</f>
        <v>4430.7259388645753</v>
      </c>
    </row>
    <row r="92" spans="1:6">
      <c r="E92">
        <f>F90*1.05</f>
        <v>4897.1181429555845</v>
      </c>
    </row>
  </sheetData>
  <hyperlinks>
    <hyperlink ref="A2" r:id="rId1" xr:uid="{68A75497-207E-49FD-9ECE-8EF06582F5B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15908-FB78-4416-B5DD-F5C7216093BB}">
  <dimension ref="A1:BC27"/>
  <sheetViews>
    <sheetView tabSelected="1" topLeftCell="Q1" zoomScale="130" zoomScaleNormal="130" workbookViewId="0">
      <selection activeCell="S13" sqref="S13"/>
    </sheetView>
  </sheetViews>
  <sheetFormatPr defaultRowHeight="14.5"/>
  <cols>
    <col min="1" max="1" width="27.36328125" customWidth="1"/>
    <col min="2" max="2" width="25.81640625" customWidth="1"/>
    <col min="3" max="3" width="13.08984375" customWidth="1"/>
    <col min="5" max="5" width="11.08984375" customWidth="1"/>
    <col min="6" max="6" width="16.36328125" customWidth="1"/>
    <col min="9" max="9" width="30.81640625" bestFit="1" customWidth="1"/>
    <col min="12" max="12" width="13.90625" customWidth="1"/>
    <col min="13" max="13" width="17.81640625" customWidth="1"/>
    <col min="14" max="14" width="26.08984375" customWidth="1"/>
    <col min="15" max="15" width="18.453125" customWidth="1"/>
    <col min="17" max="17" width="16" customWidth="1"/>
    <col min="18" max="18" width="38.36328125" bestFit="1" customWidth="1"/>
    <col min="19" max="23" width="18.08984375" bestFit="1" customWidth="1"/>
    <col min="24" max="24" width="16.6328125" customWidth="1"/>
    <col min="27" max="27" width="41.6328125" bestFit="1" customWidth="1"/>
    <col min="28" max="28" width="17.453125" bestFit="1" customWidth="1"/>
    <col min="29" max="29" width="16.36328125" bestFit="1" customWidth="1"/>
    <col min="30" max="30" width="16.453125" bestFit="1" customWidth="1"/>
    <col min="31" max="31" width="11.1796875" bestFit="1" customWidth="1"/>
    <col min="34" max="34" width="20.1796875" customWidth="1"/>
    <col min="36" max="36" width="8.81640625" bestFit="1" customWidth="1"/>
    <col min="37" max="37" width="10" bestFit="1" customWidth="1"/>
    <col min="38" max="41" width="12.6328125" bestFit="1" customWidth="1"/>
    <col min="42" max="42" width="12.81640625" bestFit="1" customWidth="1"/>
    <col min="45" max="45" width="22.08984375" customWidth="1"/>
    <col min="46" max="46" width="19.81640625" bestFit="1" customWidth="1"/>
    <col min="47" max="48" width="12.08984375" bestFit="1" customWidth="1"/>
    <col min="49" max="49" width="10.453125" bestFit="1" customWidth="1"/>
  </cols>
  <sheetData>
    <row r="1" spans="1:55" ht="29">
      <c r="A1" s="132" t="s">
        <v>446</v>
      </c>
      <c r="B1" s="66" t="s">
        <v>135</v>
      </c>
      <c r="C1" s="65">
        <v>1000000</v>
      </c>
    </row>
    <row r="2" spans="1:55">
      <c r="A2" s="2"/>
    </row>
    <row r="3" spans="1:55" ht="15" thickBot="1">
      <c r="B3" s="54" t="s">
        <v>132</v>
      </c>
      <c r="I3" s="54" t="s">
        <v>150</v>
      </c>
      <c r="R3" s="54" t="s">
        <v>172</v>
      </c>
      <c r="AA3" s="54" t="s">
        <v>283</v>
      </c>
      <c r="AH3" s="54" t="s">
        <v>315</v>
      </c>
      <c r="AS3" s="54" t="s">
        <v>377</v>
      </c>
    </row>
    <row r="4" spans="1:55" ht="32.4" customHeight="1" thickBot="1">
      <c r="B4" s="55" t="s">
        <v>116</v>
      </c>
      <c r="C4" s="56" t="s">
        <v>117</v>
      </c>
      <c r="D4" s="57" t="s">
        <v>118</v>
      </c>
      <c r="E4" s="57" t="s">
        <v>119</v>
      </c>
      <c r="F4" s="57" t="s">
        <v>120</v>
      </c>
      <c r="I4" s="56" t="s">
        <v>116</v>
      </c>
      <c r="J4" s="56" t="s">
        <v>138</v>
      </c>
      <c r="K4" s="57" t="s">
        <v>118</v>
      </c>
      <c r="L4" s="57" t="s">
        <v>119</v>
      </c>
      <c r="M4" s="57" t="s">
        <v>120</v>
      </c>
      <c r="N4" s="57" t="s">
        <v>139</v>
      </c>
      <c r="O4" s="57" t="s">
        <v>140</v>
      </c>
      <c r="Q4" s="59"/>
      <c r="R4" s="207" t="s">
        <v>159</v>
      </c>
      <c r="S4" s="209" t="s">
        <v>160</v>
      </c>
      <c r="T4" s="209" t="s">
        <v>161</v>
      </c>
      <c r="U4" s="209" t="s">
        <v>162</v>
      </c>
      <c r="V4" s="209" t="s">
        <v>163</v>
      </c>
      <c r="W4" s="209" t="s">
        <v>170</v>
      </c>
      <c r="X4" s="205" t="s">
        <v>171</v>
      </c>
      <c r="AA4" s="121" t="s">
        <v>263</v>
      </c>
      <c r="AB4" s="56" t="s">
        <v>264</v>
      </c>
      <c r="AC4" s="57" t="s">
        <v>265</v>
      </c>
      <c r="AD4" s="57" t="s">
        <v>266</v>
      </c>
      <c r="AE4" s="57" t="s">
        <v>267</v>
      </c>
      <c r="AH4" s="212" t="s">
        <v>300</v>
      </c>
      <c r="AI4" s="209" t="s">
        <v>301</v>
      </c>
      <c r="AJ4" s="205" t="s">
        <v>118</v>
      </c>
      <c r="AK4" s="205" t="s">
        <v>119</v>
      </c>
      <c r="AL4" s="209" t="s">
        <v>314</v>
      </c>
      <c r="AM4" s="209" t="s">
        <v>302</v>
      </c>
      <c r="AN4" s="209" t="s">
        <v>303</v>
      </c>
      <c r="AO4" s="209" t="s">
        <v>304</v>
      </c>
      <c r="AP4" s="209" t="s">
        <v>171</v>
      </c>
      <c r="AS4" s="207" t="s">
        <v>263</v>
      </c>
      <c r="AT4" s="209" t="s">
        <v>374</v>
      </c>
      <c r="AU4" s="205" t="s">
        <v>375</v>
      </c>
      <c r="AV4" s="205" t="s">
        <v>376</v>
      </c>
      <c r="AW4" s="205" t="s">
        <v>359</v>
      </c>
    </row>
    <row r="5" spans="1:55" ht="15" thickBot="1">
      <c r="B5" s="58" t="s">
        <v>15</v>
      </c>
      <c r="C5" s="58" t="s">
        <v>58</v>
      </c>
      <c r="D5" s="58" t="s">
        <v>104</v>
      </c>
      <c r="E5" s="59" t="s">
        <v>104</v>
      </c>
      <c r="F5" s="58">
        <f>'USGS gage-NFD (annual)'!AR38/C1</f>
        <v>9.1750000000000007</v>
      </c>
      <c r="G5" s="58"/>
      <c r="I5" s="58" t="s">
        <v>15</v>
      </c>
      <c r="J5" s="58" t="s">
        <v>58</v>
      </c>
      <c r="K5" s="58" t="s">
        <v>104</v>
      </c>
      <c r="L5" s="59" t="s">
        <v>104</v>
      </c>
      <c r="M5" s="58">
        <f>'USGS gage-NFD (annual)'!AR37/Tables!C1</f>
        <v>8.9480000000000004</v>
      </c>
      <c r="N5" s="58" t="s">
        <v>104</v>
      </c>
      <c r="O5" s="58" t="s">
        <v>104</v>
      </c>
      <c r="Q5" s="58"/>
      <c r="R5" s="208"/>
      <c r="S5" s="210"/>
      <c r="T5" s="210"/>
      <c r="U5" s="210"/>
      <c r="V5" s="210"/>
      <c r="W5" s="210"/>
      <c r="X5" s="206"/>
      <c r="AA5" s="122" t="s">
        <v>268</v>
      </c>
      <c r="AB5" s="124"/>
      <c r="AC5" s="124"/>
      <c r="AD5" s="124"/>
      <c r="AE5" s="124"/>
      <c r="AH5" s="213"/>
      <c r="AI5" s="210"/>
      <c r="AJ5" s="206"/>
      <c r="AK5" s="206"/>
      <c r="AL5" s="210"/>
      <c r="AM5" s="210"/>
      <c r="AN5" s="210"/>
      <c r="AO5" s="210"/>
      <c r="AP5" s="210"/>
      <c r="AS5" s="211"/>
      <c r="AT5" s="215"/>
      <c r="AU5" s="214"/>
      <c r="AV5" s="214"/>
      <c r="AW5" s="214"/>
    </row>
    <row r="6" spans="1:55" ht="15" thickBot="1">
      <c r="B6" s="58" t="s">
        <v>121</v>
      </c>
      <c r="C6" s="58" t="s">
        <v>59</v>
      </c>
      <c r="D6" s="58">
        <v>9380000</v>
      </c>
      <c r="E6" s="59">
        <v>9</v>
      </c>
      <c r="F6" s="64">
        <f>'USGS gage-NFD (annual)'!T38/C1</f>
        <v>9.27</v>
      </c>
      <c r="G6" s="58"/>
      <c r="I6" s="58" t="s">
        <v>121</v>
      </c>
      <c r="J6" s="58" t="s">
        <v>59</v>
      </c>
      <c r="K6" s="58">
        <v>9380000</v>
      </c>
      <c r="L6" s="59">
        <v>9</v>
      </c>
      <c r="M6" s="58">
        <f>'USGS gage-NFD (annual)'!T37/Tables!C1</f>
        <v>9.0850000000000009</v>
      </c>
      <c r="N6" s="58" t="s">
        <v>104</v>
      </c>
      <c r="O6" s="58" t="s">
        <v>104</v>
      </c>
      <c r="Q6" s="58"/>
      <c r="R6" s="68" t="s">
        <v>15</v>
      </c>
      <c r="S6" s="64">
        <f>'BoR-GCD-HD releases'!M260/Tables!C1</f>
        <v>8.6040861999999994</v>
      </c>
      <c r="T6" s="71">
        <f>'BoR-GCD-HD releases'!M272/Tables!C1</f>
        <v>13.188114499999999</v>
      </c>
      <c r="U6" s="64">
        <f>'BoR-GCD-HD releases'!M284/C1</f>
        <v>8.1124963000000001</v>
      </c>
      <c r="V6" s="64">
        <f>'BoR-GCD-HD releases'!M296/C1</f>
        <v>7.9801175999999998</v>
      </c>
      <c r="W6" s="64">
        <f>'BoR-GCD-HD releases'!M308/C1</f>
        <v>7.992348100000001</v>
      </c>
      <c r="X6" s="64">
        <f>AVERAGE(S6:W6)</f>
        <v>9.1754325399999992</v>
      </c>
      <c r="Z6" s="58"/>
      <c r="AA6" s="68" t="s">
        <v>269</v>
      </c>
      <c r="AB6" s="71">
        <f>ROUND(X13,2)</f>
        <v>10.23</v>
      </c>
      <c r="AC6" s="71">
        <f>AB6*(1-AE6)</f>
        <v>10.025399999999999</v>
      </c>
      <c r="AD6" s="71">
        <f>AB6*(1+AE6)</f>
        <v>10.434600000000001</v>
      </c>
      <c r="AE6" s="67">
        <v>0.02</v>
      </c>
      <c r="AG6" s="58"/>
      <c r="AH6" s="59" t="s">
        <v>305</v>
      </c>
      <c r="AI6" s="59" t="s">
        <v>59</v>
      </c>
      <c r="AJ6" s="59">
        <v>9180500</v>
      </c>
      <c r="AK6" s="59">
        <v>1</v>
      </c>
      <c r="AL6" s="64">
        <f>'09180500-CRnrCisco '!R13</f>
        <v>4.5379160330578507</v>
      </c>
      <c r="AM6" s="64">
        <f>'09180500-CRnrCisco '!R14</f>
        <v>4.6761024793388435</v>
      </c>
      <c r="AN6" s="64">
        <f>'09180500-CRnrCisco '!R15</f>
        <v>2.5107173553719009</v>
      </c>
      <c r="AO6" s="64">
        <f>'09180500-CRnrCisco '!R16</f>
        <v>5.7526413223140498</v>
      </c>
      <c r="AP6" s="64">
        <f>'09180500-CRnrCisco '!R17</f>
        <v>4.3693442975206613</v>
      </c>
      <c r="AR6" s="58"/>
      <c r="AS6" s="208"/>
      <c r="AT6" s="210"/>
      <c r="AU6" s="206"/>
      <c r="AV6" s="206"/>
      <c r="AW6" s="206"/>
      <c r="AX6" s="26"/>
      <c r="AY6" s="26"/>
      <c r="AZ6" s="26"/>
      <c r="BA6" s="26"/>
      <c r="BB6" s="26"/>
      <c r="BC6" s="26"/>
    </row>
    <row r="7" spans="1:55" ht="15" thickBot="1">
      <c r="B7" s="58" t="s">
        <v>122</v>
      </c>
      <c r="C7" s="58" t="s">
        <v>59</v>
      </c>
      <c r="D7" s="58">
        <v>9382000</v>
      </c>
      <c r="E7" s="59">
        <v>10</v>
      </c>
      <c r="F7" s="58">
        <f>'USGS gage-NFD (annual)'!U38/Tables!C1</f>
        <v>1.8100000000000002E-2</v>
      </c>
      <c r="G7" s="58"/>
      <c r="I7" s="58" t="s">
        <v>122</v>
      </c>
      <c r="J7" s="58" t="s">
        <v>59</v>
      </c>
      <c r="K7" s="58">
        <v>9382000</v>
      </c>
      <c r="L7" s="59">
        <v>10</v>
      </c>
      <c r="M7" s="58">
        <f>'USGS gage-NFD (annual)'!U37/Tables!C1</f>
        <v>1.8700000000000001E-2</v>
      </c>
      <c r="N7" s="58" t="s">
        <v>104</v>
      </c>
      <c r="O7" s="67">
        <f>M7/N16</f>
        <v>2.2694174757281558E-2</v>
      </c>
      <c r="Q7" s="58"/>
      <c r="R7" s="68" t="s">
        <v>164</v>
      </c>
      <c r="S7" s="64">
        <f>'Mead water budget'!B81/C1</f>
        <v>8.7698386841558378</v>
      </c>
      <c r="T7" s="71">
        <f>'Mead water budget'!B82/C1</f>
        <v>13.3590491285472</v>
      </c>
      <c r="U7" s="64">
        <f>'Mead water budget'!B83/C1</f>
        <v>8.1445874942390404</v>
      </c>
      <c r="V7" s="64">
        <f>'Mead water budget'!B84/C1</f>
        <v>8.0251961137401615</v>
      </c>
      <c r="W7" s="64">
        <f>'Mead water budget'!B85/C1</f>
        <v>8.1255381891984015</v>
      </c>
      <c r="X7" s="64">
        <f>AVERAGE(S7:W7)</f>
        <v>9.2848419219761276</v>
      </c>
      <c r="Z7" s="58"/>
      <c r="AA7" s="68" t="s">
        <v>270</v>
      </c>
      <c r="AB7" s="117">
        <f>ROUND(X14,5)</f>
        <v>4.6600000000000001E-3</v>
      </c>
      <c r="AC7" s="117">
        <f>AB7*(1-AE7)</f>
        <v>4.4269999999999995E-3</v>
      </c>
      <c r="AD7" s="117">
        <f>AB7*(1+AE7)</f>
        <v>4.8930000000000006E-3</v>
      </c>
      <c r="AE7" s="67">
        <v>0.05</v>
      </c>
      <c r="AG7" s="58"/>
      <c r="AH7" s="59" t="s">
        <v>306</v>
      </c>
      <c r="AI7" s="59" t="s">
        <v>59</v>
      </c>
      <c r="AJ7" s="59">
        <v>9185600</v>
      </c>
      <c r="AK7" s="59">
        <v>2</v>
      </c>
      <c r="AL7" s="64">
        <f>'09185600-CR@Potash'!R13</f>
        <v>4.5720357024793392</v>
      </c>
      <c r="AM7" s="64">
        <f>'09185600-CR@Potash'!R14</f>
        <v>4.8107603305785123</v>
      </c>
      <c r="AN7" s="64">
        <f>'09185600-CR@Potash'!R15</f>
        <v>2.5179570247933882</v>
      </c>
      <c r="AO7" s="64">
        <f>'09185600-CR@Potash'!R16</f>
        <v>5.7425057851239663</v>
      </c>
      <c r="AP7" s="64">
        <f>'09185600-CR@Potash'!R17</f>
        <v>4.4108147107438009</v>
      </c>
      <c r="AR7" s="58"/>
      <c r="AS7" s="169" t="s">
        <v>268</v>
      </c>
      <c r="AT7" s="58"/>
      <c r="AU7" s="58"/>
      <c r="AV7" s="58"/>
      <c r="AW7" s="58"/>
      <c r="AX7" s="26"/>
      <c r="AY7" s="26"/>
      <c r="AZ7" s="26"/>
      <c r="BA7" s="26"/>
      <c r="BB7" s="26"/>
      <c r="BC7" s="26"/>
    </row>
    <row r="8" spans="1:55" ht="23">
      <c r="B8" s="58" t="s">
        <v>123</v>
      </c>
      <c r="C8" s="58" t="s">
        <v>59</v>
      </c>
      <c r="D8" s="58">
        <v>9402000</v>
      </c>
      <c r="E8" s="59">
        <v>11</v>
      </c>
      <c r="F8" s="58">
        <f>'USGS gage-NFD (annual)'!W38/Tables!C1</f>
        <v>0.1145</v>
      </c>
      <c r="G8" s="58"/>
      <c r="I8" s="58" t="s">
        <v>123</v>
      </c>
      <c r="J8" s="58" t="s">
        <v>59</v>
      </c>
      <c r="K8" s="58">
        <v>9402000</v>
      </c>
      <c r="L8" s="59">
        <v>11</v>
      </c>
      <c r="M8" s="58">
        <f>'USGS gage-NFD (annual)'!W37/Tables!C1</f>
        <v>9.5000000000000001E-2</v>
      </c>
      <c r="N8" s="58" t="s">
        <v>104</v>
      </c>
      <c r="O8" s="67">
        <f>M8/N16</f>
        <v>0.11529126213592235</v>
      </c>
      <c r="Q8" s="58"/>
      <c r="R8" s="68" t="s">
        <v>165</v>
      </c>
      <c r="S8" s="115">
        <f>'Mead water budget'!C81/C1</f>
        <v>2.5645335175958395E-2</v>
      </c>
      <c r="T8" s="115">
        <f>'Mead water budget'!C82/C1</f>
        <v>1.38600553718016E-2</v>
      </c>
      <c r="U8" s="115">
        <f>'Mead water budget'!C83/C1</f>
        <v>1.6165469547331199E-2</v>
      </c>
      <c r="V8" s="115">
        <f>'Mead water budget'!C84/C1</f>
        <v>2.5912787101372799E-2</v>
      </c>
      <c r="W8" s="115">
        <f>'Mead water budget'!C85/C1</f>
        <v>1.96377825825504E-2</v>
      </c>
      <c r="X8" s="115">
        <f>AVERAGE(S8:W8)</f>
        <v>2.0244285955802879E-2</v>
      </c>
      <c r="Z8" s="58"/>
      <c r="AA8" s="68" t="s">
        <v>271</v>
      </c>
      <c r="AB8" s="64">
        <f>ROUND(X15,3)</f>
        <v>0.128</v>
      </c>
      <c r="AC8" s="64">
        <f>AB8*(1-AE8)</f>
        <v>0.1216</v>
      </c>
      <c r="AD8" s="64">
        <f>AB8*(1+AE8)</f>
        <v>0.13440000000000002</v>
      </c>
      <c r="AE8" s="67">
        <v>0.05</v>
      </c>
      <c r="AG8" s="64"/>
      <c r="AH8" s="59" t="s">
        <v>307</v>
      </c>
      <c r="AI8" s="59" t="s">
        <v>59</v>
      </c>
      <c r="AJ8" s="59">
        <v>9135000</v>
      </c>
      <c r="AK8" s="59">
        <v>3</v>
      </c>
      <c r="AL8" s="64">
        <f>'09315000-GR@GR '!R13</f>
        <v>3.9774823140495865</v>
      </c>
      <c r="AM8" s="64">
        <f>'09315000-GR@GR '!R14</f>
        <v>5.0735603305785126</v>
      </c>
      <c r="AN8" s="64">
        <f>'09315000-GR@GR '!R15</f>
        <v>2.9407537190082644</v>
      </c>
      <c r="AO8" s="64">
        <f>'09315000-GR@GR '!R16</f>
        <v>4.3047074380165293</v>
      </c>
      <c r="AP8" s="64">
        <f>'09315000-GR@GR '!R17</f>
        <v>4.0741259504132232</v>
      </c>
      <c r="AR8" s="58"/>
      <c r="AS8" s="69" t="s">
        <v>360</v>
      </c>
      <c r="AT8" s="64">
        <f>ROUND(AP10,3)</f>
        <v>4.1100000000000003</v>
      </c>
      <c r="AU8" s="64">
        <f>AT8*(1-AW8)</f>
        <v>4.0278</v>
      </c>
      <c r="AV8" s="64">
        <f>AT8*(1+AW8)</f>
        <v>4.1922000000000006</v>
      </c>
      <c r="AW8" s="67">
        <v>0.02</v>
      </c>
      <c r="AX8" s="26"/>
      <c r="AY8" s="58"/>
      <c r="AZ8" s="58"/>
      <c r="BA8" s="58"/>
      <c r="BB8" s="67"/>
      <c r="BC8" s="26"/>
    </row>
    <row r="9" spans="1:55" ht="37">
      <c r="B9" s="59" t="s">
        <v>124</v>
      </c>
      <c r="C9" s="58" t="s">
        <v>104</v>
      </c>
      <c r="D9" s="58" t="s">
        <v>104</v>
      </c>
      <c r="E9" s="59" t="s">
        <v>104</v>
      </c>
      <c r="F9" s="58">
        <f>'USGS gage-NFD (annual)'!AA38/Tables!C1</f>
        <v>0.29899999999999999</v>
      </c>
      <c r="G9" s="58"/>
      <c r="I9" s="58" t="s">
        <v>141</v>
      </c>
      <c r="J9" s="58" t="s">
        <v>59</v>
      </c>
      <c r="K9" s="58">
        <v>9402300</v>
      </c>
      <c r="L9" s="59">
        <v>12</v>
      </c>
      <c r="M9" s="58">
        <f>'USGS gage-NFD (annual)'!X37/Tables!C1</f>
        <v>0.26700000000000002</v>
      </c>
      <c r="N9" s="58" t="s">
        <v>104</v>
      </c>
      <c r="O9" s="58" t="s">
        <v>104</v>
      </c>
      <c r="Q9" s="58"/>
      <c r="R9" s="68" t="s">
        <v>123</v>
      </c>
      <c r="S9" s="64">
        <f>'Mead water budget'!D81/C1</f>
        <v>0.20122879363525442</v>
      </c>
      <c r="T9" s="115">
        <f>'Mead water budget'!D82/C1</f>
        <v>4.2992539984656013E-2</v>
      </c>
      <c r="U9" s="115">
        <f>'Mead water budget'!D83/C1</f>
        <v>6.4903673850609606E-2</v>
      </c>
      <c r="V9" s="64">
        <f>'Mead water budget'!D84/C1</f>
        <v>0.12259431565333342</v>
      </c>
      <c r="W9" s="115">
        <f>'Mead water budget'!D85/C1</f>
        <v>4.8938485808534396E-2</v>
      </c>
      <c r="X9" s="115">
        <f>AVERAGE(S9:W9)</f>
        <v>9.6131561786477582E-2</v>
      </c>
      <c r="Z9" s="58"/>
      <c r="AA9" s="125" t="s">
        <v>272</v>
      </c>
      <c r="AB9" s="119">
        <f>SUM(AB6:AB8)</f>
        <v>10.36266</v>
      </c>
      <c r="AC9" s="119">
        <f t="shared" ref="AC9:AD9" si="0">SUM(AC6:AC8)</f>
        <v>10.151427</v>
      </c>
      <c r="AD9" s="119">
        <f t="shared" si="0"/>
        <v>10.573893</v>
      </c>
      <c r="AE9" s="58" t="s">
        <v>104</v>
      </c>
      <c r="AG9" s="58"/>
      <c r="AH9" s="59" t="s">
        <v>308</v>
      </c>
      <c r="AI9" s="59" t="s">
        <v>59</v>
      </c>
      <c r="AJ9" s="59">
        <v>9328500</v>
      </c>
      <c r="AK9" s="59">
        <v>4</v>
      </c>
      <c r="AL9" s="115">
        <f>'09328500-SRnrGR '!R13</f>
        <v>2.9328396694214876E-2</v>
      </c>
      <c r="AM9" s="115">
        <f>'09328500-SRnrGR '!R14</f>
        <v>9.5780826446280998E-2</v>
      </c>
      <c r="AN9" s="115">
        <f>'09328500-SRnrGR '!R15</f>
        <v>1.3393388429752065E-2</v>
      </c>
      <c r="AO9" s="64">
        <f>'09328500-SRnrGR '!R16</f>
        <v>0.12683900826446279</v>
      </c>
      <c r="AP9" s="64">
        <f>'09328500-SRnrGR '!R17</f>
        <v>6.6335404958677679E-2</v>
      </c>
      <c r="AR9" s="58"/>
      <c r="AS9" s="69" t="s">
        <v>361</v>
      </c>
      <c r="AT9" s="64">
        <f>ROUND(AP7,3)</f>
        <v>4.4109999999999996</v>
      </c>
      <c r="AU9" s="64">
        <f t="shared" ref="AU9:AU12" si="1">AT9*(1-AW9)</f>
        <v>4.3227799999999998</v>
      </c>
      <c r="AV9" s="64">
        <f t="shared" ref="AV9:AV12" si="2">AT9*(1+AW9)</f>
        <v>4.4992199999999993</v>
      </c>
      <c r="AW9" s="67">
        <v>0.02</v>
      </c>
      <c r="AX9" s="26"/>
      <c r="AY9" s="58"/>
      <c r="AZ9" s="58"/>
      <c r="BA9" s="58"/>
      <c r="BB9" s="67"/>
      <c r="BC9" s="26"/>
    </row>
    <row r="10" spans="1:55" ht="23">
      <c r="B10" s="58" t="s">
        <v>125</v>
      </c>
      <c r="C10" s="58" t="s">
        <v>59</v>
      </c>
      <c r="D10" s="58">
        <v>9402500</v>
      </c>
      <c r="E10" s="59">
        <v>13</v>
      </c>
      <c r="F10" s="58">
        <f>'USGS gage-NFD (annual)'!AB38/Tables!C1</f>
        <v>9.766</v>
      </c>
      <c r="G10" s="58"/>
      <c r="I10" s="58" t="s">
        <v>142</v>
      </c>
      <c r="J10" s="58" t="s">
        <v>104</v>
      </c>
      <c r="K10" s="58" t="s">
        <v>104</v>
      </c>
      <c r="L10" s="59" t="s">
        <v>104</v>
      </c>
      <c r="M10" s="58">
        <f>'USGS gage-NFD (annual)'!Y37/Tables!C1</f>
        <v>0.17199999999999999</v>
      </c>
      <c r="N10" s="58" t="s">
        <v>104</v>
      </c>
      <c r="O10" s="67">
        <f>M10/N16</f>
        <v>0.20873786407766992</v>
      </c>
      <c r="Q10" s="58"/>
      <c r="R10" s="69" t="s">
        <v>166</v>
      </c>
      <c r="S10" s="64">
        <f>S11-S9-S8-S7</f>
        <v>0.29252687235102925</v>
      </c>
      <c r="T10" s="64">
        <f t="shared" ref="T10:X10" si="3">T11-T9-T8-T7</f>
        <v>0.33399138197154166</v>
      </c>
      <c r="U10" s="64">
        <f t="shared" si="3"/>
        <v>0.29955001432525918</v>
      </c>
      <c r="V10" s="64">
        <f t="shared" si="3"/>
        <v>0.32428617559985184</v>
      </c>
      <c r="W10" s="64">
        <f t="shared" si="3"/>
        <v>0.31744984534427267</v>
      </c>
      <c r="X10" s="64">
        <f t="shared" si="3"/>
        <v>0.31356085791839128</v>
      </c>
      <c r="Z10" s="58"/>
      <c r="AA10" s="68" t="s">
        <v>273</v>
      </c>
      <c r="AB10" s="58">
        <f>ROUND('Mead water budget'!X87/C1,3)</f>
        <v>2.8000000000000001E-2</v>
      </c>
      <c r="AC10" s="64">
        <f>AB10*(1-AE10)</f>
        <v>2.52E-2</v>
      </c>
      <c r="AD10" s="64">
        <f>AB10*(1+AE10)</f>
        <v>3.0800000000000004E-2</v>
      </c>
      <c r="AE10" s="67">
        <v>0.1</v>
      </c>
      <c r="AG10" s="58"/>
      <c r="AH10" s="59" t="s">
        <v>309</v>
      </c>
      <c r="AI10" s="59" t="s">
        <v>59</v>
      </c>
      <c r="AJ10" s="59">
        <v>9328920</v>
      </c>
      <c r="AK10" s="59">
        <v>5</v>
      </c>
      <c r="AL10" s="64">
        <f>'09328920-GR@MB'!R13</f>
        <v>3.9963570247933884</v>
      </c>
      <c r="AM10" s="64">
        <f>'09328920-GR@MB'!R14</f>
        <v>5.1611603305785128</v>
      </c>
      <c r="AN10" s="64">
        <f>'09328920-GR@MB'!R15</f>
        <v>2.871976859504132</v>
      </c>
      <c r="AO10" s="64">
        <f>'09328920-GR@MB'!R16</f>
        <v>4.4104066115702487</v>
      </c>
      <c r="AP10" s="64">
        <f>'09328920-GR@MB'!R17</f>
        <v>4.1099752066115709</v>
      </c>
      <c r="AR10" s="58"/>
      <c r="AS10" s="69" t="s">
        <v>362</v>
      </c>
      <c r="AT10" s="64">
        <f>ROUND(AP9,3)</f>
        <v>6.6000000000000003E-2</v>
      </c>
      <c r="AU10" s="64">
        <f t="shared" si="1"/>
        <v>6.2700000000000006E-2</v>
      </c>
      <c r="AV10" s="64">
        <f t="shared" si="2"/>
        <v>6.93E-2</v>
      </c>
      <c r="AW10" s="67">
        <v>0.05</v>
      </c>
      <c r="AX10" s="26"/>
      <c r="AY10" s="58"/>
      <c r="AZ10" s="58"/>
      <c r="BA10" s="58"/>
      <c r="BB10" s="67"/>
      <c r="BC10" s="26"/>
    </row>
    <row r="11" spans="1:55" ht="37">
      <c r="B11" s="59" t="s">
        <v>126</v>
      </c>
      <c r="C11" s="58" t="s">
        <v>104</v>
      </c>
      <c r="D11" s="58" t="s">
        <v>104</v>
      </c>
      <c r="E11" s="59" t="s">
        <v>104</v>
      </c>
      <c r="F11" s="58">
        <f>'USGS gage-NFD (annual)'!AF38/Tables!C1</f>
        <v>0.34399999999999997</v>
      </c>
      <c r="G11" s="58"/>
      <c r="I11" s="59" t="s">
        <v>143</v>
      </c>
      <c r="J11" s="58" t="s">
        <v>104</v>
      </c>
      <c r="K11" s="58" t="s">
        <v>104</v>
      </c>
      <c r="L11" s="59" t="s">
        <v>104</v>
      </c>
      <c r="M11" s="64">
        <f>M12-M9-M7-M6</f>
        <v>0.14629999999999832</v>
      </c>
      <c r="N11" s="58" t="s">
        <v>104</v>
      </c>
      <c r="O11" s="67">
        <f>M11/N16</f>
        <v>0.17754854368931838</v>
      </c>
      <c r="Q11" s="58"/>
      <c r="R11" s="68" t="s">
        <v>44</v>
      </c>
      <c r="S11" s="64">
        <f>'Mead water budget'!E81/C1</f>
        <v>9.2892396853180799</v>
      </c>
      <c r="T11" s="64">
        <f>'Mead water budget'!E82/C1</f>
        <v>13.7498931058752</v>
      </c>
      <c r="U11" s="64">
        <f>'Mead water budget'!E83/C1</f>
        <v>8.5252066519622414</v>
      </c>
      <c r="V11" s="64">
        <f>'Mead water budget'!E84/C1</f>
        <v>8.4979893920947198</v>
      </c>
      <c r="W11" s="64">
        <f>'Mead water budget'!E85/C1</f>
        <v>8.5115643029337598</v>
      </c>
      <c r="X11" s="64">
        <f>AVERAGE(S11:W11)</f>
        <v>9.7147786276368002</v>
      </c>
      <c r="Z11" s="58"/>
      <c r="AA11" s="68" t="s">
        <v>274</v>
      </c>
      <c r="AB11" s="58">
        <f ca="1">ROUND(-'Mead water budget'!Y87/C1,3)</f>
        <v>1.6E-2</v>
      </c>
      <c r="AC11" s="64">
        <f ca="1">AB11*(1-AE11)</f>
        <v>1.3599999999999999E-2</v>
      </c>
      <c r="AD11" s="64">
        <f ca="1">AB11*(1+AE11)</f>
        <v>1.84E-2</v>
      </c>
      <c r="AE11" s="67">
        <v>0.15</v>
      </c>
      <c r="AG11" s="58"/>
      <c r="AH11" s="59" t="s">
        <v>310</v>
      </c>
      <c r="AI11" s="59" t="s">
        <v>59</v>
      </c>
      <c r="AJ11" s="59">
        <v>9333500</v>
      </c>
      <c r="AK11" s="59">
        <v>6</v>
      </c>
      <c r="AL11" s="115">
        <f>'09333500-DDRabPoison'!R13</f>
        <v>7.9491570247933879E-2</v>
      </c>
      <c r="AM11" s="115">
        <f>'09333500-DDRabPoison'!R14</f>
        <v>5.9799669421487588E-2</v>
      </c>
      <c r="AN11" s="115">
        <f>'09333500-DDRabPoison'!R15</f>
        <v>3.8008264462809915E-2</v>
      </c>
      <c r="AO11" s="115">
        <f>'09333500-DDRabPoison'!R16</f>
        <v>7.3917024793388422E-2</v>
      </c>
      <c r="AP11" s="115">
        <f>'09333500-DDRabPoison'!R17</f>
        <v>6.2804132231404949E-2</v>
      </c>
      <c r="AR11" s="58"/>
      <c r="AS11" s="69" t="s">
        <v>363</v>
      </c>
      <c r="AT11" s="64">
        <f>ROUND(AP12,3)</f>
        <v>5.0000000000000001E-3</v>
      </c>
      <c r="AU11" s="64">
        <f t="shared" si="1"/>
        <v>4.7499999999999999E-3</v>
      </c>
      <c r="AV11" s="64">
        <f t="shared" si="2"/>
        <v>5.2500000000000003E-3</v>
      </c>
      <c r="AW11" s="67">
        <v>0.05</v>
      </c>
      <c r="AX11" s="26"/>
      <c r="AY11" s="58"/>
      <c r="AZ11" s="58"/>
      <c r="BA11" s="58"/>
      <c r="BB11" s="67"/>
      <c r="BC11" s="26"/>
    </row>
    <row r="12" spans="1:55" ht="23">
      <c r="B12" s="59" t="s">
        <v>127</v>
      </c>
      <c r="C12" s="58" t="s">
        <v>104</v>
      </c>
      <c r="D12" s="58" t="s">
        <v>104</v>
      </c>
      <c r="E12" s="59" t="s">
        <v>104</v>
      </c>
      <c r="F12" s="58">
        <f>'USGS gage-NFD (annual)'!BH38/Tables!C1</f>
        <v>0.76800000000000002</v>
      </c>
      <c r="G12" s="58"/>
      <c r="I12" s="58" t="s">
        <v>44</v>
      </c>
      <c r="J12" s="58" t="s">
        <v>59</v>
      </c>
      <c r="K12" s="58">
        <v>9402500</v>
      </c>
      <c r="L12" s="59">
        <v>13</v>
      </c>
      <c r="M12" s="58">
        <f>'USGS gage-NFD (annual)'!AB37/Tables!C1</f>
        <v>9.5169999999999995</v>
      </c>
      <c r="N12" s="58">
        <f>M12-M6</f>
        <v>0.43199999999999861</v>
      </c>
      <c r="O12" s="58" t="s">
        <v>104</v>
      </c>
      <c r="Q12" s="58"/>
      <c r="R12" s="68" t="s">
        <v>167</v>
      </c>
      <c r="S12" s="64" t="e">
        <f>S13-S11</f>
        <v>#VALUE!</v>
      </c>
      <c r="T12" s="64">
        <f t="shared" ref="T12:X12" si="4">T13-T11</f>
        <v>0.3699778081248013</v>
      </c>
      <c r="U12" s="64">
        <f t="shared" si="4"/>
        <v>0.41569296666047961</v>
      </c>
      <c r="V12" s="64">
        <f t="shared" si="4"/>
        <v>0.50479666619616026</v>
      </c>
      <c r="W12" s="64">
        <f t="shared" si="4"/>
        <v>0.36312291451583967</v>
      </c>
      <c r="X12" s="64">
        <f t="shared" si="4"/>
        <v>0.51978232445400074</v>
      </c>
      <c r="Z12" s="58"/>
      <c r="AA12" s="125" t="s">
        <v>275</v>
      </c>
      <c r="AB12" s="119">
        <f ca="1">SUM(AB9:AB11)</f>
        <v>10.40666</v>
      </c>
      <c r="AC12" s="119">
        <f t="shared" ref="AC12:AD12" ca="1" si="5">SUM(AC9:AC11)</f>
        <v>10.190227</v>
      </c>
      <c r="AD12" s="119">
        <f t="shared" ca="1" si="5"/>
        <v>10.623092999999999</v>
      </c>
      <c r="AE12" s="126" t="s">
        <v>104</v>
      </c>
      <c r="AG12" s="126"/>
      <c r="AH12" s="59" t="s">
        <v>311</v>
      </c>
      <c r="AI12" s="59" t="s">
        <v>59</v>
      </c>
      <c r="AJ12" s="59">
        <v>9337500</v>
      </c>
      <c r="AK12" s="59">
        <v>7</v>
      </c>
      <c r="AL12" s="115">
        <f>'09337500-Escalante '!R13</f>
        <v>5.1905454545454546E-3</v>
      </c>
      <c r="AM12" s="115">
        <f>'09337500-Escalante '!R14</f>
        <v>5.0170909090909077E-3</v>
      </c>
      <c r="AN12" s="115">
        <f>'09337500-Escalante '!R15</f>
        <v>1.9402314049586779E-3</v>
      </c>
      <c r="AO12" s="115">
        <f>'09337500-Escalante '!R16</f>
        <v>5.9727272727272728E-3</v>
      </c>
      <c r="AP12" s="115">
        <f>'09337500-Escalante '!R17</f>
        <v>4.5301487603305783E-3</v>
      </c>
      <c r="AR12" s="58"/>
      <c r="AS12" s="69" t="s">
        <v>364</v>
      </c>
      <c r="AT12" s="64">
        <f>ROUND(AP13,3)</f>
        <v>1.119</v>
      </c>
      <c r="AU12" s="64">
        <f t="shared" si="1"/>
        <v>1.0966199999999999</v>
      </c>
      <c r="AV12" s="64">
        <f t="shared" si="2"/>
        <v>1.1413800000000001</v>
      </c>
      <c r="AW12" s="67">
        <v>0.02</v>
      </c>
      <c r="AX12" s="26"/>
      <c r="AY12" s="58"/>
      <c r="AZ12" s="58"/>
      <c r="BA12" s="58"/>
      <c r="BB12" s="67"/>
      <c r="BC12" s="26"/>
    </row>
    <row r="13" spans="1:55" ht="34.5">
      <c r="B13" s="59" t="s">
        <v>128</v>
      </c>
      <c r="C13" s="58" t="s">
        <v>104</v>
      </c>
      <c r="D13" s="58" t="s">
        <v>104</v>
      </c>
      <c r="E13" s="59" t="s">
        <v>104</v>
      </c>
      <c r="F13" s="58">
        <f>'USGS gage-NFD (annual)'!BJ38/Tables!C1</f>
        <v>0.63500000000000001</v>
      </c>
      <c r="G13" s="58"/>
      <c r="I13" s="58" t="s">
        <v>144</v>
      </c>
      <c r="J13" s="58" t="s">
        <v>59</v>
      </c>
      <c r="K13" s="58">
        <v>9403850</v>
      </c>
      <c r="L13" s="59">
        <v>14</v>
      </c>
      <c r="M13" s="58">
        <f>'USGS gage-NFD (annual)'!AC37/Tables!C1</f>
        <v>9.7999999999999997E-3</v>
      </c>
      <c r="N13" s="58" t="s">
        <v>104</v>
      </c>
      <c r="O13" s="58" t="s">
        <v>104</v>
      </c>
      <c r="Q13" s="58"/>
      <c r="R13" s="68" t="s">
        <v>168</v>
      </c>
      <c r="S13" s="64" t="s">
        <v>455</v>
      </c>
      <c r="T13" s="71">
        <f>'Mead water budget'!F82/C1</f>
        <v>14.119870914000002</v>
      </c>
      <c r="U13" s="64">
        <f>'Mead water budget'!F83/C1</f>
        <v>8.940899618622721</v>
      </c>
      <c r="V13" s="64">
        <f>'Mead water budget'!F84/C1</f>
        <v>9.0027860582908801</v>
      </c>
      <c r="W13" s="64">
        <f>'Mead water budget'!F85/C1</f>
        <v>8.8746872174495994</v>
      </c>
      <c r="X13" s="71">
        <f>AVERAGE(S13:W13)</f>
        <v>10.234560952090801</v>
      </c>
      <c r="Z13" s="58"/>
      <c r="AA13" s="68" t="s">
        <v>276</v>
      </c>
      <c r="AB13" s="58">
        <f ca="1">ROUND('Mead water budget'!N87/C1,3)</f>
        <v>0.251</v>
      </c>
      <c r="AC13" s="64">
        <f ca="1">AB13*(1-AE13)</f>
        <v>0.24598</v>
      </c>
      <c r="AD13" s="64">
        <f ca="1">AB13*(1+AE13)</f>
        <v>0.25602000000000003</v>
      </c>
      <c r="AE13" s="67">
        <v>0.02</v>
      </c>
      <c r="AG13" s="58"/>
      <c r="AH13" s="59" t="s">
        <v>312</v>
      </c>
      <c r="AI13" s="59" t="s">
        <v>59</v>
      </c>
      <c r="AJ13" s="59">
        <v>9379500</v>
      </c>
      <c r="AK13" s="59">
        <v>8</v>
      </c>
      <c r="AL13" s="64">
        <f>'09379500-SJnrBluff '!R12</f>
        <v>1.2464568595041323</v>
      </c>
      <c r="AM13" s="64">
        <f>'09379500-SJnrBluff '!R13</f>
        <v>1.4225950413223138</v>
      </c>
      <c r="AN13" s="115">
        <f>'09379500-SJnrBluff '!R14</f>
        <v>0.48180000000000001</v>
      </c>
      <c r="AO13" s="64">
        <f>'09379500-SJnrBluff '!R15</f>
        <v>1.3270314049586778</v>
      </c>
      <c r="AP13" s="64">
        <f>'09379500-SJnrBluff '!R16</f>
        <v>1.1194708264462809</v>
      </c>
      <c r="AR13" s="58"/>
      <c r="AS13" s="170" t="s">
        <v>365</v>
      </c>
      <c r="AT13" s="116">
        <f>SUM(AT8:AT12)</f>
        <v>9.7110000000000021</v>
      </c>
      <c r="AU13" s="116">
        <f t="shared" ref="AU13:AV13" si="6">SUM(AU8:AU12)</f>
        <v>9.5146499999999996</v>
      </c>
      <c r="AV13" s="116">
        <f t="shared" si="6"/>
        <v>9.907350000000001</v>
      </c>
      <c r="AW13" s="126" t="s">
        <v>104</v>
      </c>
      <c r="AX13" s="26"/>
      <c r="AY13" s="126"/>
      <c r="AZ13" s="126"/>
      <c r="BA13" s="126"/>
      <c r="BB13" s="126"/>
      <c r="BC13" s="26"/>
    </row>
    <row r="14" spans="1:55" ht="23">
      <c r="B14" s="58" t="s">
        <v>129</v>
      </c>
      <c r="C14" s="58" t="s">
        <v>59</v>
      </c>
      <c r="D14" s="58">
        <v>9404200</v>
      </c>
      <c r="E14" s="59">
        <v>16</v>
      </c>
      <c r="F14" s="58">
        <f>'USGS gage-NFD (annual)'!AH38/Tables!C1</f>
        <v>10.039999999999999</v>
      </c>
      <c r="G14" s="58"/>
      <c r="I14" s="58" t="s">
        <v>145</v>
      </c>
      <c r="J14" s="58" t="s">
        <v>59</v>
      </c>
      <c r="K14" s="58">
        <v>9404115</v>
      </c>
      <c r="L14" s="59">
        <v>15</v>
      </c>
      <c r="M14" s="58">
        <f>'USGS gage-NFD (annual)'!AD37/Tables!C1</f>
        <v>4.6699999999999998E-2</v>
      </c>
      <c r="N14" s="58" t="s">
        <v>104</v>
      </c>
      <c r="O14" s="58" t="s">
        <v>104</v>
      </c>
      <c r="Q14" s="58"/>
      <c r="R14" s="68" t="s">
        <v>147</v>
      </c>
      <c r="S14" s="117">
        <f>'Mead water budget'!G81/C1</f>
        <v>6.1821778345343996E-3</v>
      </c>
      <c r="T14" s="117">
        <f>'Mead water budget'!G82/C1</f>
        <v>3.9859540216128E-3</v>
      </c>
      <c r="U14" s="117">
        <f>'Mead water budget'!G83/C1</f>
        <v>3.5829116659008E-3</v>
      </c>
      <c r="V14" s="117">
        <f>'Mead water budget'!G84/C1</f>
        <v>4.5241306081056001E-3</v>
      </c>
      <c r="W14" s="117">
        <f>'Mead water budget'!G85/C1</f>
        <v>5.0444360743967997E-3</v>
      </c>
      <c r="X14" s="117">
        <f>AVERAGE(S14:W14)</f>
        <v>4.66392204091008E-3</v>
      </c>
      <c r="Z14" s="58"/>
      <c r="AA14" s="127" t="s">
        <v>277</v>
      </c>
      <c r="AB14" s="130">
        <f ca="1">SUM(AB12:AB13)</f>
        <v>10.65766</v>
      </c>
      <c r="AC14" s="130">
        <f t="shared" ref="AC14:AD14" ca="1" si="7">SUM(AC12:AC13)</f>
        <v>10.436207</v>
      </c>
      <c r="AD14" s="130">
        <f t="shared" ca="1" si="7"/>
        <v>10.879112999999998</v>
      </c>
      <c r="AE14" s="128" t="s">
        <v>104</v>
      </c>
      <c r="AG14" s="128"/>
      <c r="AH14" s="59" t="s">
        <v>313</v>
      </c>
      <c r="AI14" s="59" t="s">
        <v>58</v>
      </c>
      <c r="AJ14" s="59" t="s">
        <v>104</v>
      </c>
      <c r="AK14" s="59" t="s">
        <v>104</v>
      </c>
      <c r="AL14" s="64">
        <f>'BoR-GCD-HD releases'!L327/C1</f>
        <v>8.9999828999999991</v>
      </c>
      <c r="AM14" s="64">
        <f>'BoR-GCD-HD releases'!L339/C1</f>
        <v>8.999985800000001</v>
      </c>
      <c r="AN14" s="64">
        <f>'BoR-GCD-HD releases'!L351/C1</f>
        <v>8.9999059999999993</v>
      </c>
      <c r="AO14" s="64">
        <f>'BoR-GCD-HD releases'!L363/C1</f>
        <v>9.0013951999999993</v>
      </c>
      <c r="AP14" s="64">
        <f>AVERAGE(AL14:AO14)</f>
        <v>9.0003174749999992</v>
      </c>
      <c r="AR14" s="58"/>
      <c r="AS14" s="69" t="s">
        <v>192</v>
      </c>
      <c r="AT14" s="64">
        <f ca="1">ROUND(PowellEvapPrecipBank!I80,3)</f>
        <v>0.09</v>
      </c>
      <c r="AU14" s="64">
        <f t="shared" ref="AU14" ca="1" si="8">AT14*(1-AW14)</f>
        <v>8.1000000000000003E-2</v>
      </c>
      <c r="AV14" s="64">
        <f t="shared" ref="AV14" ca="1" si="9">AT14*(1+AW14)</f>
        <v>9.9000000000000005E-2</v>
      </c>
      <c r="AW14" s="67">
        <v>0.1</v>
      </c>
      <c r="AX14" s="26"/>
      <c r="AY14" s="58"/>
      <c r="AZ14" s="58"/>
      <c r="BA14" s="58"/>
      <c r="BB14" s="58"/>
      <c r="BC14" s="26"/>
    </row>
    <row r="15" spans="1:55" ht="23.5" thickBot="1">
      <c r="B15" s="58" t="s">
        <v>130</v>
      </c>
      <c r="C15" s="58" t="s">
        <v>59</v>
      </c>
      <c r="D15" s="58">
        <v>9404208</v>
      </c>
      <c r="E15" s="59">
        <v>17</v>
      </c>
      <c r="F15" s="58">
        <f>'USGS gage-NFD (annual)'!AI38/Tables!C1</f>
        <v>4.0099999999999997E-3</v>
      </c>
      <c r="G15" s="58"/>
      <c r="I15" s="59" t="s">
        <v>146</v>
      </c>
      <c r="J15" s="58" t="s">
        <v>104</v>
      </c>
      <c r="K15" s="58" t="s">
        <v>104</v>
      </c>
      <c r="L15" s="59" t="s">
        <v>104</v>
      </c>
      <c r="M15" s="58">
        <f>'USGS gage-NFD (annual)'!AF37/Tables!C1</f>
        <v>0.39200000000000002</v>
      </c>
      <c r="N15" s="58" t="s">
        <v>104</v>
      </c>
      <c r="O15" s="67">
        <f>M15/N16</f>
        <v>0.47572815533980595</v>
      </c>
      <c r="Q15" s="58"/>
      <c r="R15" s="68" t="s">
        <v>149</v>
      </c>
      <c r="S15" s="64">
        <f>'Mead water budget'!H81/C1</f>
        <v>0.19983264460099201</v>
      </c>
      <c r="T15" s="64">
        <f>'Mead water budget'!H82/C1</f>
        <v>0.20827987287120003</v>
      </c>
      <c r="U15" s="115">
        <f>'Mead water budget'!H83/C1</f>
        <v>8.1018654012287999E-2</v>
      </c>
      <c r="V15" s="115">
        <f>'Mead water budget'!H84/C1</f>
        <v>7.3757941180992007E-2</v>
      </c>
      <c r="W15" s="115">
        <f>'Mead water budget'!H85/C1</f>
        <v>7.8952506565939204E-2</v>
      </c>
      <c r="X15" s="64">
        <f>AVERAGE(S15:W15)</f>
        <v>0.12836832384628225</v>
      </c>
      <c r="Z15" s="58"/>
      <c r="AA15" s="123"/>
      <c r="AB15" s="124"/>
      <c r="AC15" s="124"/>
      <c r="AD15" s="124"/>
      <c r="AE15" s="124"/>
      <c r="AG15" s="124"/>
      <c r="AH15" s="61" t="s">
        <v>121</v>
      </c>
      <c r="AI15" s="61" t="s">
        <v>59</v>
      </c>
      <c r="AJ15" s="61">
        <v>9380000</v>
      </c>
      <c r="AK15" s="61">
        <v>9</v>
      </c>
      <c r="AL15" s="118">
        <f>'09380000-CR@LF-2016to2019 '!R13</f>
        <v>9.1179371900826442</v>
      </c>
      <c r="AM15" s="118">
        <f>'09380000-CR@LF-2016to2019 '!R14</f>
        <v>9.1509421487603291</v>
      </c>
      <c r="AN15" s="118">
        <f>'09380000-CR@LF-2016to2019 '!R15</f>
        <v>9.1581818181818182</v>
      </c>
      <c r="AO15" s="118">
        <f>'09380000-CR@LF-2016to2019 '!R16</f>
        <v>9.2450578512396699</v>
      </c>
      <c r="AP15" s="118">
        <f>'09380000-CR@LF-2016to2019 '!R17</f>
        <v>9.1680297520661149</v>
      </c>
      <c r="AR15" s="58"/>
      <c r="AS15" s="171" t="s">
        <v>366</v>
      </c>
      <c r="AT15" s="188">
        <f ca="1">SUM(AT13:AT14)</f>
        <v>9.8010000000000019</v>
      </c>
      <c r="AU15" s="188">
        <f t="shared" ref="AU15:AV15" ca="1" si="10">SUM(AU13:AU14)</f>
        <v>9.5956499999999991</v>
      </c>
      <c r="AV15" s="130">
        <f t="shared" ca="1" si="10"/>
        <v>10.006350000000001</v>
      </c>
      <c r="AW15" s="128" t="s">
        <v>104</v>
      </c>
      <c r="AX15" s="26"/>
      <c r="AY15" s="126"/>
      <c r="AZ15" s="126"/>
      <c r="BA15" s="126"/>
      <c r="BB15" s="126"/>
      <c r="BC15" s="26"/>
    </row>
    <row r="16" spans="1:55" ht="15" thickBot="1">
      <c r="B16" s="58" t="s">
        <v>131</v>
      </c>
      <c r="C16" s="58" t="s">
        <v>59</v>
      </c>
      <c r="D16" s="58">
        <v>9415000</v>
      </c>
      <c r="E16" s="59">
        <v>18</v>
      </c>
      <c r="F16" s="58">
        <f>'USGS gage-NFD (annual)'!AJ38/Tables!C1</f>
        <v>0.16500000000000001</v>
      </c>
      <c r="G16" s="58"/>
      <c r="I16" s="58" t="s">
        <v>129</v>
      </c>
      <c r="J16" s="58" t="s">
        <v>59</v>
      </c>
      <c r="K16" s="58">
        <v>9404200</v>
      </c>
      <c r="L16" s="59">
        <v>16</v>
      </c>
      <c r="M16" s="58">
        <f>'USGS gage-NFD (annual)'!AH37/Tables!C1</f>
        <v>9.9090000000000007</v>
      </c>
      <c r="N16" s="58">
        <f>M16-M6</f>
        <v>0.82399999999999984</v>
      </c>
      <c r="O16" s="58" t="s">
        <v>104</v>
      </c>
      <c r="Q16" s="58"/>
      <c r="R16" s="70" t="s">
        <v>169</v>
      </c>
      <c r="S16" s="118">
        <f>'Mead water budget'!K81/C1</f>
        <v>9.5911723602979215</v>
      </c>
      <c r="T16" s="118">
        <f>'Mead water budget'!K82/C1</f>
        <v>9.5223259027843223</v>
      </c>
      <c r="U16" s="118">
        <f>'Mead water budget'!K83/C1</f>
        <v>9.1530542121724778</v>
      </c>
      <c r="V16" s="118">
        <f>'Mead water budget'!K84/C1</f>
        <v>9.44309594757312</v>
      </c>
      <c r="W16" s="118">
        <f>'Mead water budget'!K85/C1</f>
        <v>9.7238153450217606</v>
      </c>
      <c r="X16" s="118">
        <f>AVERAGE(S16:W16)</f>
        <v>9.4866927535699208</v>
      </c>
      <c r="Z16" s="58"/>
      <c r="AA16" s="122" t="s">
        <v>278</v>
      </c>
      <c r="AB16" s="124"/>
      <c r="AC16" s="124"/>
      <c r="AD16" s="124"/>
      <c r="AE16" s="124"/>
      <c r="AG16" s="124"/>
      <c r="AH16" s="124"/>
      <c r="AI16" s="124"/>
      <c r="AJ16" s="124"/>
      <c r="AS16" s="122" t="s">
        <v>278</v>
      </c>
      <c r="AT16" s="124"/>
      <c r="AU16" s="124"/>
      <c r="AV16" s="124"/>
      <c r="AW16" s="124"/>
      <c r="AY16" s="124"/>
      <c r="AZ16" s="124"/>
      <c r="BA16" s="124"/>
      <c r="BB16" s="124"/>
    </row>
    <row r="17" spans="2:54" ht="15" thickBot="1">
      <c r="B17" s="60" t="s">
        <v>19</v>
      </c>
      <c r="C17" s="60" t="s">
        <v>58</v>
      </c>
      <c r="D17" s="60" t="s">
        <v>104</v>
      </c>
      <c r="E17" s="61" t="s">
        <v>104</v>
      </c>
      <c r="F17" s="60">
        <f>'USGS gage-NFD (annual)'!BD38/Tables!C1</f>
        <v>9.5299999999999994</v>
      </c>
      <c r="G17" s="58"/>
      <c r="I17" s="58" t="s">
        <v>147</v>
      </c>
      <c r="J17" s="58" t="s">
        <v>59</v>
      </c>
      <c r="K17" s="58">
        <v>9404208</v>
      </c>
      <c r="L17" s="59">
        <v>17</v>
      </c>
      <c r="M17" s="58">
        <f>'USGS gage-NFD (annual)'!AI37/Tables!C1</f>
        <v>4.5399999999999998E-3</v>
      </c>
      <c r="N17" s="58" t="s">
        <v>104</v>
      </c>
      <c r="O17" s="58" t="s">
        <v>104</v>
      </c>
      <c r="Q17" s="58"/>
      <c r="R17" s="58"/>
      <c r="S17" s="58"/>
      <c r="AA17" s="68" t="s">
        <v>279</v>
      </c>
      <c r="AB17" s="58">
        <f>ROUND('Mead water budget'!K87/C1,2)</f>
        <v>9.49</v>
      </c>
      <c r="AC17" s="71">
        <f>AB17*(1-AE17)</f>
        <v>9.3950999999999993</v>
      </c>
      <c r="AD17" s="71">
        <f>AB17*(1+AE17)</f>
        <v>9.5849000000000011</v>
      </c>
      <c r="AE17" s="67">
        <v>0.01</v>
      </c>
      <c r="AG17" s="58"/>
      <c r="AH17" s="58"/>
      <c r="AI17" s="58"/>
      <c r="AJ17" s="67"/>
      <c r="AS17" s="68" t="s">
        <v>15</v>
      </c>
      <c r="AT17" s="64">
        <f>ROUND(AP14,3)</f>
        <v>9</v>
      </c>
      <c r="AU17" s="64">
        <f t="shared" ref="AU17" si="11">AT17*(1-AW17)</f>
        <v>8.91</v>
      </c>
      <c r="AV17" s="64">
        <f t="shared" ref="AV17" si="12">AT17*(1+AW17)</f>
        <v>9.09</v>
      </c>
      <c r="AW17" s="67">
        <v>0.01</v>
      </c>
      <c r="AY17" s="58"/>
      <c r="AZ17" s="58"/>
      <c r="BA17" s="58"/>
      <c r="BB17" s="67"/>
    </row>
    <row r="18" spans="2:54" ht="23">
      <c r="B18" s="62" t="s">
        <v>136</v>
      </c>
      <c r="I18" s="58" t="s">
        <v>131</v>
      </c>
      <c r="J18" s="58" t="s">
        <v>59</v>
      </c>
      <c r="K18" s="58">
        <v>9415000</v>
      </c>
      <c r="L18" s="59">
        <v>18</v>
      </c>
      <c r="M18" s="58">
        <f>'USGS gage-NFD (annual)'!AJ37/Tables!C1</f>
        <v>0.13800000000000001</v>
      </c>
      <c r="N18" s="58" t="s">
        <v>104</v>
      </c>
      <c r="O18" s="58" t="s">
        <v>104</v>
      </c>
      <c r="Q18" s="58"/>
      <c r="R18" t="s">
        <v>449</v>
      </c>
      <c r="S18" s="89">
        <f>SUM(S13,S15)</f>
        <v>0.19983264460099201</v>
      </c>
      <c r="T18" s="89">
        <f t="shared" ref="T18:X18" si="13">SUM(T13,T15)</f>
        <v>14.328150786871202</v>
      </c>
      <c r="U18" s="89">
        <f t="shared" si="13"/>
        <v>9.0219182726350091</v>
      </c>
      <c r="V18" s="89">
        <f t="shared" si="13"/>
        <v>9.0765439994718715</v>
      </c>
      <c r="W18" s="89">
        <f t="shared" si="13"/>
        <v>8.9536397240155381</v>
      </c>
      <c r="X18" s="89">
        <f t="shared" si="13"/>
        <v>10.362929275937082</v>
      </c>
      <c r="AA18" s="68" t="s">
        <v>280</v>
      </c>
      <c r="AB18" s="64">
        <f>ROUND('Mead water budget'!L87/C1,3)</f>
        <v>0.23</v>
      </c>
      <c r="AC18" s="64">
        <f>AB18*(1-AE18)</f>
        <v>0.22540000000000002</v>
      </c>
      <c r="AD18" s="64">
        <f>AB18*(1+AE18)</f>
        <v>0.2346</v>
      </c>
      <c r="AE18" s="67">
        <v>0.02</v>
      </c>
      <c r="AG18" s="58"/>
      <c r="AH18" s="58"/>
      <c r="AI18" s="58"/>
      <c r="AJ18" s="67"/>
      <c r="AS18" s="69" t="s">
        <v>367</v>
      </c>
      <c r="AT18" s="64">
        <f>ROUND(AP15,3)</f>
        <v>9.1679999999999993</v>
      </c>
      <c r="AU18" s="64">
        <f t="shared" ref="AU18" si="14">AT18*(1-AW18)</f>
        <v>9.0763199999999991</v>
      </c>
      <c r="AV18" s="64">
        <f t="shared" ref="AV18" si="15">AT18*(1+AW18)</f>
        <v>9.2596799999999995</v>
      </c>
      <c r="AW18" s="67">
        <v>0.01</v>
      </c>
      <c r="AY18" s="58"/>
      <c r="AZ18" s="58"/>
      <c r="BA18" s="58"/>
      <c r="BB18" s="67"/>
    </row>
    <row r="19" spans="2:54">
      <c r="B19" s="62" t="s">
        <v>137</v>
      </c>
      <c r="I19" s="58" t="s">
        <v>148</v>
      </c>
      <c r="J19" s="58" t="s">
        <v>104</v>
      </c>
      <c r="K19" s="58" t="s">
        <v>104</v>
      </c>
      <c r="L19" s="59" t="s">
        <v>104</v>
      </c>
      <c r="M19" s="58">
        <f>'USGS gage-NFD (annual)'!AK37/Tables!C1</f>
        <v>-3.49E-2</v>
      </c>
      <c r="N19" s="58" t="s">
        <v>104</v>
      </c>
      <c r="O19" s="58" t="s">
        <v>104</v>
      </c>
      <c r="Q19" s="58"/>
      <c r="R19" t="s">
        <v>450</v>
      </c>
      <c r="S19" s="89" t="e">
        <f>SUM(S$13-S6,S$15)</f>
        <v>#VALUE!</v>
      </c>
      <c r="T19" s="89">
        <f t="shared" ref="T19:X19" si="16">SUM(T$13-T6,T$15)</f>
        <v>1.1400362868712024</v>
      </c>
      <c r="U19" s="89">
        <f t="shared" si="16"/>
        <v>0.9094219726350089</v>
      </c>
      <c r="V19" s="89">
        <f t="shared" si="16"/>
        <v>1.0964263994718724</v>
      </c>
      <c r="W19" s="89">
        <f t="shared" si="16"/>
        <v>0.96129162401553769</v>
      </c>
      <c r="X19" s="89">
        <f t="shared" si="16"/>
        <v>1.187496735937084</v>
      </c>
      <c r="AA19" s="68" t="s">
        <v>281</v>
      </c>
      <c r="AB19" s="64">
        <f ca="1">ROUND('Mead water budget'!U87/C1,3)</f>
        <v>0.55900000000000005</v>
      </c>
      <c r="AC19" s="64">
        <f ca="1">'Mead water budget'!T87/C1</f>
        <v>0.53857560702576146</v>
      </c>
      <c r="AD19" s="64">
        <f ca="1">'Mead water budget'!V87/C1</f>
        <v>0.57960726722764389</v>
      </c>
      <c r="AE19" s="58" t="s">
        <v>104</v>
      </c>
      <c r="AG19" s="58"/>
      <c r="AH19" s="58"/>
      <c r="AI19" s="58"/>
      <c r="AJ19" s="58"/>
      <c r="AS19" s="69" t="s">
        <v>368</v>
      </c>
      <c r="AT19" s="64">
        <f ca="1">ROUND(PowellEvapPrecipBank!N80,3)</f>
        <v>0.56799999999999995</v>
      </c>
      <c r="AU19" s="64">
        <f ca="1">PowellEvapPrecipBank!M80</f>
        <v>0.40840097414144028</v>
      </c>
      <c r="AV19" s="64">
        <f ca="1">PowellEvapPrecipBank!L80</f>
        <v>0.77542939843465153</v>
      </c>
      <c r="AW19" s="58" t="s">
        <v>104</v>
      </c>
      <c r="AY19" s="58"/>
      <c r="AZ19" s="58"/>
      <c r="BA19" s="58"/>
      <c r="BB19" s="58"/>
    </row>
    <row r="20" spans="2:54" ht="15" thickBot="1">
      <c r="I20" s="58" t="s">
        <v>149</v>
      </c>
      <c r="J20" s="58" t="s">
        <v>59</v>
      </c>
      <c r="K20" s="58">
        <v>9415250</v>
      </c>
      <c r="L20" s="59">
        <v>19</v>
      </c>
      <c r="M20" s="58">
        <f>'USGS gage-NFD (annual)'!AL37/Tables!C1</f>
        <v>0.10299999999999999</v>
      </c>
      <c r="N20" s="58" t="s">
        <v>104</v>
      </c>
      <c r="O20" s="58" t="s">
        <v>104</v>
      </c>
      <c r="Q20" s="58"/>
      <c r="R20" t="s">
        <v>451</v>
      </c>
      <c r="S20" s="89" t="e">
        <f>SUM(S$13-S7,S$15)</f>
        <v>#VALUE!</v>
      </c>
      <c r="T20" s="89">
        <f t="shared" ref="T20:X20" si="17">SUM(T$13-T7,T$15)</f>
        <v>0.96910165832400152</v>
      </c>
      <c r="U20" s="89">
        <f t="shared" si="17"/>
        <v>0.87733077839596862</v>
      </c>
      <c r="V20" s="89">
        <f t="shared" si="17"/>
        <v>1.0513478857317107</v>
      </c>
      <c r="W20" s="89">
        <f t="shared" si="17"/>
        <v>0.82810153481713711</v>
      </c>
      <c r="X20" s="89">
        <f t="shared" si="17"/>
        <v>1.0780873539609557</v>
      </c>
      <c r="AA20" s="122" t="s">
        <v>282</v>
      </c>
      <c r="AB20" s="131">
        <f ca="1">SUM(AB17:AB19)</f>
        <v>10.279</v>
      </c>
      <c r="AC20" s="131">
        <f t="shared" ref="AC20:AD20" ca="1" si="18">SUM(AC17:AC19)</f>
        <v>10.159075607025761</v>
      </c>
      <c r="AD20" s="131">
        <f t="shared" ca="1" si="18"/>
        <v>10.399107267227645</v>
      </c>
      <c r="AE20" s="60" t="s">
        <v>104</v>
      </c>
      <c r="AG20" s="126"/>
      <c r="AH20" s="126"/>
      <c r="AI20" s="126"/>
      <c r="AJ20" s="58"/>
      <c r="AS20" s="69" t="s">
        <v>369</v>
      </c>
      <c r="AT20" s="58">
        <f ca="1">ROUND(PowellEvapPrecipBank!O80,3)</f>
        <v>0.39400000000000002</v>
      </c>
      <c r="AU20" s="64">
        <f t="shared" ref="AU20" ca="1" si="19">AT20*(1-AW20)</f>
        <v>0.29549999999999998</v>
      </c>
      <c r="AV20" s="64">
        <f t="shared" ref="AV20" ca="1" si="20">AT20*(1+AW20)</f>
        <v>0.49250000000000005</v>
      </c>
      <c r="AW20" s="67">
        <v>0.25</v>
      </c>
      <c r="AY20" s="58"/>
      <c r="AZ20" s="58"/>
      <c r="BA20" s="58"/>
      <c r="BB20" s="67"/>
    </row>
    <row r="21" spans="2:54" ht="23.5" thickBot="1">
      <c r="I21" s="60" t="s">
        <v>19</v>
      </c>
      <c r="J21" s="60" t="s">
        <v>58</v>
      </c>
      <c r="K21" s="60" t="s">
        <v>104</v>
      </c>
      <c r="L21" s="61" t="s">
        <v>104</v>
      </c>
      <c r="M21" s="60">
        <f>'USGS gage-NFD (annual)'!AO37/Tables!C1</f>
        <v>9.3230000000000004</v>
      </c>
      <c r="N21" s="60" t="s">
        <v>104</v>
      </c>
      <c r="O21" s="60" t="s">
        <v>104</v>
      </c>
      <c r="Q21" s="58"/>
      <c r="R21" s="58"/>
      <c r="S21" s="58"/>
      <c r="AS21" s="69" t="s">
        <v>370</v>
      </c>
      <c r="AT21" s="58">
        <f ca="1">ROUND(PowellEvapPrecipBank!K80,3)</f>
        <v>1.9E-2</v>
      </c>
      <c r="AU21" s="64">
        <f t="shared" ref="AU21" ca="1" si="21">AT21*(1-AW21)</f>
        <v>1.6149999999999998E-2</v>
      </c>
      <c r="AV21" s="64">
        <f t="shared" ref="AV21" ca="1" si="22">AT21*(1+AW21)</f>
        <v>2.1849999999999998E-2</v>
      </c>
      <c r="AW21" s="67">
        <v>0.15</v>
      </c>
      <c r="AY21" s="58"/>
      <c r="AZ21" s="58"/>
      <c r="BA21" s="58"/>
      <c r="BB21" s="58"/>
    </row>
    <row r="22" spans="2:54">
      <c r="AS22" s="68" t="s">
        <v>371</v>
      </c>
      <c r="AT22" s="58">
        <f ca="1">ROUND(PowellEvapPrecipBank!D80,3)</f>
        <v>0.23599999999999999</v>
      </c>
      <c r="AU22" s="64">
        <f t="shared" ref="AU22" ca="1" si="23">AT22*(1-AW22)</f>
        <v>0.23363999999999999</v>
      </c>
      <c r="AV22" s="64">
        <f t="shared" ref="AV22" ca="1" si="24">AT22*(1+AW22)</f>
        <v>0.23835999999999999</v>
      </c>
      <c r="AW22" s="67">
        <v>0.01</v>
      </c>
      <c r="AY22" s="58"/>
      <c r="AZ22" s="58"/>
      <c r="BA22" s="58"/>
      <c r="BB22" s="67"/>
    </row>
    <row r="23" spans="2:54" ht="34.5">
      <c r="AS23" s="170" t="s">
        <v>372</v>
      </c>
      <c r="AT23" s="116">
        <f ca="1">AT18+AT19+AT21+AT22</f>
        <v>9.9909999999999997</v>
      </c>
      <c r="AU23" s="116">
        <f t="shared" ref="AU23:AV23" ca="1" si="25">AU18+AU19+AU21+AU22</f>
        <v>9.734510974141438</v>
      </c>
      <c r="AV23" s="119">
        <f t="shared" ca="1" si="25"/>
        <v>10.295319398434652</v>
      </c>
      <c r="AW23" s="126" t="s">
        <v>104</v>
      </c>
      <c r="AY23" s="126"/>
      <c r="AZ23" s="126"/>
      <c r="BA23" s="126"/>
      <c r="BB23" s="126"/>
    </row>
    <row r="24" spans="2:54" ht="35" thickBot="1">
      <c r="AS24" s="169" t="s">
        <v>373</v>
      </c>
      <c r="AT24" s="120">
        <f ca="1">AT17+AT20+AT21+AT22</f>
        <v>9.6490000000000009</v>
      </c>
      <c r="AU24" s="120">
        <f t="shared" ref="AU24:AV24" ca="1" si="26">AU17+AU20+AU21+AU22</f>
        <v>9.4552899999999998</v>
      </c>
      <c r="AV24" s="120">
        <f t="shared" ca="1" si="26"/>
        <v>9.8427100000000003</v>
      </c>
      <c r="AW24" s="129" t="s">
        <v>104</v>
      </c>
      <c r="AY24" s="126"/>
      <c r="AZ24" s="126"/>
      <c r="BA24" s="126"/>
      <c r="BB24" s="126"/>
    </row>
    <row r="25" spans="2:54">
      <c r="AS25" s="172"/>
    </row>
    <row r="26" spans="2:54">
      <c r="AS26" s="172"/>
      <c r="AT26" s="26"/>
    </row>
    <row r="27" spans="2:54">
      <c r="AS27" s="172"/>
      <c r="AT27" s="26"/>
    </row>
  </sheetData>
  <mergeCells count="21">
    <mergeCell ref="AW4:AW6"/>
    <mergeCell ref="AT4:AT6"/>
    <mergeCell ref="AU4:AU6"/>
    <mergeCell ref="AV4:AV6"/>
    <mergeCell ref="AN4:AN5"/>
    <mergeCell ref="AO4:AO5"/>
    <mergeCell ref="AP4:AP5"/>
    <mergeCell ref="AL4:AL5"/>
    <mergeCell ref="AS4:AS6"/>
    <mergeCell ref="AH4:AH5"/>
    <mergeCell ref="AI4:AI5"/>
    <mergeCell ref="AJ4:AJ5"/>
    <mergeCell ref="AK4:AK5"/>
    <mergeCell ref="AM4:AM5"/>
    <mergeCell ref="X4:X5"/>
    <mergeCell ref="R4:R5"/>
    <mergeCell ref="S4:S5"/>
    <mergeCell ref="T4:T5"/>
    <mergeCell ref="U4:U5"/>
    <mergeCell ref="V4:V5"/>
    <mergeCell ref="W4:W5"/>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D264C-F623-4859-9C64-CD9DD7CBEFB4}">
  <dimension ref="A1:M84"/>
  <sheetViews>
    <sheetView workbookViewId="0"/>
  </sheetViews>
  <sheetFormatPr defaultColWidth="8.81640625" defaultRowHeight="14.5"/>
  <cols>
    <col min="4" max="4" width="13.453125" bestFit="1" customWidth="1"/>
  </cols>
  <sheetData>
    <row r="1" spans="1:13" ht="23">
      <c r="A1" s="113" t="s">
        <v>257</v>
      </c>
    </row>
    <row r="2" spans="1:13">
      <c r="A2" s="44" t="s">
        <v>258</v>
      </c>
    </row>
    <row r="3" spans="1:13">
      <c r="B3" s="110" t="s">
        <v>250</v>
      </c>
    </row>
    <row r="4" spans="1:13">
      <c r="B4" s="109" t="s">
        <v>210</v>
      </c>
      <c r="C4" s="108" t="s">
        <v>211</v>
      </c>
      <c r="D4" s="109" t="s">
        <v>50</v>
      </c>
      <c r="E4" s="108" t="s">
        <v>212</v>
      </c>
      <c r="F4" s="109" t="s">
        <v>52</v>
      </c>
      <c r="G4" s="108" t="s">
        <v>53</v>
      </c>
      <c r="H4" s="109" t="s">
        <v>54</v>
      </c>
      <c r="I4" s="108" t="s">
        <v>213</v>
      </c>
      <c r="J4" s="109" t="s">
        <v>214</v>
      </c>
      <c r="K4" s="108" t="s">
        <v>215</v>
      </c>
      <c r="L4" s="109" t="s">
        <v>216</v>
      </c>
      <c r="M4" s="108" t="s">
        <v>217</v>
      </c>
    </row>
    <row r="5" spans="1:13">
      <c r="A5" s="107">
        <v>2010</v>
      </c>
      <c r="B5" s="112">
        <v>373.9</v>
      </c>
      <c r="C5" s="112">
        <v>332.9</v>
      </c>
      <c r="D5" s="112">
        <v>311.3</v>
      </c>
      <c r="E5" s="112">
        <v>279.7</v>
      </c>
      <c r="F5" s="112">
        <v>261.10000000000002</v>
      </c>
      <c r="G5" s="112">
        <v>251.8</v>
      </c>
      <c r="H5" s="112">
        <v>253.5</v>
      </c>
      <c r="I5" s="112">
        <v>258.3</v>
      </c>
      <c r="J5" s="112">
        <v>258.3</v>
      </c>
      <c r="K5" s="112">
        <v>306.89999999999998</v>
      </c>
      <c r="L5" s="112">
        <v>300.39999999999998</v>
      </c>
      <c r="M5" s="112">
        <v>384</v>
      </c>
    </row>
    <row r="6" spans="1:13">
      <c r="A6" s="107">
        <v>2011</v>
      </c>
      <c r="B6" s="112">
        <v>309.89999999999998</v>
      </c>
      <c r="C6" s="112">
        <v>324.10000000000002</v>
      </c>
      <c r="D6" s="112">
        <v>304</v>
      </c>
      <c r="E6" s="112">
        <v>267.7</v>
      </c>
      <c r="F6" s="112">
        <v>270</v>
      </c>
      <c r="G6" s="112">
        <v>259.5</v>
      </c>
      <c r="H6" s="112">
        <v>293.5</v>
      </c>
      <c r="I6" s="112">
        <v>275.10000000000002</v>
      </c>
      <c r="J6" s="112">
        <v>333.2</v>
      </c>
      <c r="K6" s="112">
        <v>313.7</v>
      </c>
      <c r="L6" s="112">
        <v>294.7</v>
      </c>
      <c r="M6" s="112">
        <v>299.8</v>
      </c>
    </row>
    <row r="7" spans="1:13">
      <c r="A7" s="107">
        <v>2012</v>
      </c>
      <c r="B7" s="112">
        <v>298.60000000000002</v>
      </c>
      <c r="C7" s="112">
        <v>275.10000000000002</v>
      </c>
      <c r="D7" s="112">
        <v>278.7</v>
      </c>
      <c r="E7" s="112">
        <v>259.3</v>
      </c>
      <c r="F7" s="112">
        <v>249.4</v>
      </c>
      <c r="G7" s="112">
        <v>242.9</v>
      </c>
      <c r="H7" s="112">
        <v>276.3</v>
      </c>
      <c r="I7" s="112">
        <v>353.5</v>
      </c>
      <c r="J7" s="112">
        <v>318.8</v>
      </c>
      <c r="K7" s="112">
        <v>411.9</v>
      </c>
      <c r="L7" s="112">
        <v>273.3</v>
      </c>
      <c r="M7" s="112">
        <v>270.8</v>
      </c>
    </row>
    <row r="8" spans="1:13">
      <c r="A8" s="107">
        <v>2013</v>
      </c>
      <c r="B8" s="112">
        <v>295.5</v>
      </c>
      <c r="C8" s="112">
        <v>303.2</v>
      </c>
      <c r="D8" s="112">
        <v>293.89999999999998</v>
      </c>
      <c r="E8" s="112">
        <v>269.2</v>
      </c>
      <c r="F8" s="112">
        <v>267.60000000000002</v>
      </c>
      <c r="G8" s="112">
        <v>259.8</v>
      </c>
      <c r="H8" s="112">
        <v>312.60000000000002</v>
      </c>
      <c r="I8" s="112">
        <v>336.1</v>
      </c>
      <c r="J8" s="112">
        <v>319.39999999999998</v>
      </c>
      <c r="K8" s="112">
        <v>292.89999999999998</v>
      </c>
      <c r="L8" s="112">
        <v>311.5</v>
      </c>
      <c r="M8" s="112">
        <v>301.7</v>
      </c>
    </row>
    <row r="9" spans="1:13">
      <c r="A9" s="107">
        <v>2014</v>
      </c>
      <c r="B9" s="112">
        <v>302.2</v>
      </c>
      <c r="C9" s="112">
        <v>310.89999999999998</v>
      </c>
      <c r="D9" s="112">
        <v>322</v>
      </c>
      <c r="E9" s="112">
        <v>278.60000000000002</v>
      </c>
      <c r="F9" s="112">
        <v>267.10000000000002</v>
      </c>
      <c r="G9" s="112">
        <v>263.7</v>
      </c>
      <c r="H9" s="112">
        <v>293.60000000000002</v>
      </c>
      <c r="I9" s="112">
        <v>332.7</v>
      </c>
      <c r="J9" s="112">
        <v>334.5</v>
      </c>
      <c r="K9" s="112">
        <v>302</v>
      </c>
      <c r="L9" s="112">
        <v>305.39999999999998</v>
      </c>
      <c r="M9" s="112">
        <v>300.89999999999998</v>
      </c>
    </row>
    <row r="10" spans="1:13">
      <c r="A10" s="107">
        <v>2015</v>
      </c>
      <c r="B10" s="112">
        <v>323.3</v>
      </c>
      <c r="C10" s="112">
        <v>314.7</v>
      </c>
      <c r="D10" s="112">
        <v>323.5</v>
      </c>
      <c r="E10" s="112">
        <v>296.2</v>
      </c>
      <c r="F10" s="112">
        <v>294.39999999999998</v>
      </c>
      <c r="G10" s="112">
        <v>292.5</v>
      </c>
      <c r="H10" s="112">
        <v>289.2</v>
      </c>
      <c r="I10" s="112">
        <v>304.5</v>
      </c>
      <c r="J10" s="112">
        <v>293.39999999999998</v>
      </c>
      <c r="K10" s="112">
        <v>363.9</v>
      </c>
      <c r="L10" s="112">
        <v>311.5</v>
      </c>
      <c r="M10" s="112">
        <v>303.2</v>
      </c>
    </row>
    <row r="12" spans="1:13">
      <c r="B12" t="s">
        <v>248</v>
      </c>
      <c r="C12" t="s">
        <v>247</v>
      </c>
      <c r="D12" t="s">
        <v>246</v>
      </c>
      <c r="E12" s="105" t="s">
        <v>245</v>
      </c>
    </row>
    <row r="13" spans="1:13">
      <c r="A13" s="80">
        <v>3684</v>
      </c>
      <c r="B13">
        <v>373.9</v>
      </c>
      <c r="C13" s="83">
        <v>31</v>
      </c>
      <c r="D13" s="65">
        <f>B13*C13*86400</f>
        <v>1001453760</v>
      </c>
      <c r="E13" s="40">
        <f>D13*0.0000229569</f>
        <v>22990.273822944</v>
      </c>
      <c r="I13">
        <v>1970</v>
      </c>
      <c r="J13">
        <v>50.2</v>
      </c>
      <c r="K13">
        <f>J13*723.968</f>
        <v>36343.193599999999</v>
      </c>
    </row>
    <row r="14" spans="1:13">
      <c r="A14" s="80">
        <v>3712</v>
      </c>
      <c r="B14">
        <v>332.9</v>
      </c>
      <c r="C14" s="83">
        <v>28</v>
      </c>
      <c r="D14" s="65">
        <f t="shared" ref="D14:D77" si="0">B14*C14*86400</f>
        <v>805351679.99999988</v>
      </c>
      <c r="E14" s="40">
        <f t="shared" ref="E14:E77" si="1">D14*0.0000229569</f>
        <v>18488.377982591999</v>
      </c>
      <c r="I14">
        <v>1971</v>
      </c>
      <c r="J14">
        <v>48.6</v>
      </c>
      <c r="K14">
        <f t="shared" ref="K14:K44" si="2">J14*723.968</f>
        <v>35184.844799999999</v>
      </c>
    </row>
    <row r="15" spans="1:13">
      <c r="A15" s="80">
        <v>3743</v>
      </c>
      <c r="B15">
        <v>311.3</v>
      </c>
      <c r="C15" s="83">
        <v>31</v>
      </c>
      <c r="D15" s="65">
        <f t="shared" si="0"/>
        <v>833785920.00000012</v>
      </c>
      <c r="E15" s="40">
        <f t="shared" si="1"/>
        <v>19141.139986848004</v>
      </c>
      <c r="I15">
        <v>1972</v>
      </c>
      <c r="J15">
        <v>52.4</v>
      </c>
      <c r="K15">
        <f t="shared" si="2"/>
        <v>37935.923199999997</v>
      </c>
    </row>
    <row r="16" spans="1:13">
      <c r="A16" s="80">
        <v>3773</v>
      </c>
      <c r="B16">
        <v>279.7</v>
      </c>
      <c r="C16" s="83">
        <v>30</v>
      </c>
      <c r="D16" s="65">
        <f t="shared" si="0"/>
        <v>724982400</v>
      </c>
      <c r="E16" s="40">
        <f t="shared" si="1"/>
        <v>16643.348458560002</v>
      </c>
      <c r="I16">
        <v>1973</v>
      </c>
      <c r="J16">
        <v>63.6</v>
      </c>
      <c r="K16">
        <f t="shared" si="2"/>
        <v>46044.364799999996</v>
      </c>
    </row>
    <row r="17" spans="1:11">
      <c r="A17" s="80">
        <v>3804</v>
      </c>
      <c r="B17">
        <v>261.10000000000002</v>
      </c>
      <c r="C17" s="83">
        <v>31</v>
      </c>
      <c r="D17" s="65">
        <f t="shared" si="0"/>
        <v>699330240</v>
      </c>
      <c r="E17" s="40">
        <f t="shared" si="1"/>
        <v>16054.454386656</v>
      </c>
      <c r="I17">
        <v>1974</v>
      </c>
      <c r="J17">
        <v>62.8</v>
      </c>
      <c r="K17">
        <f t="shared" si="2"/>
        <v>45465.190399999992</v>
      </c>
    </row>
    <row r="18" spans="1:11">
      <c r="A18" s="80">
        <v>3834</v>
      </c>
      <c r="B18">
        <v>251.8</v>
      </c>
      <c r="C18" s="83">
        <v>30</v>
      </c>
      <c r="D18" s="65">
        <f t="shared" si="0"/>
        <v>652665600</v>
      </c>
      <c r="E18" s="40">
        <f t="shared" si="1"/>
        <v>14983.17891264</v>
      </c>
      <c r="I18">
        <v>1975</v>
      </c>
      <c r="J18">
        <v>79</v>
      </c>
      <c r="K18">
        <f t="shared" si="2"/>
        <v>57193.471999999994</v>
      </c>
    </row>
    <row r="19" spans="1:11">
      <c r="A19" s="80">
        <v>3865</v>
      </c>
      <c r="B19">
        <v>253.5</v>
      </c>
      <c r="C19" s="83">
        <v>31</v>
      </c>
      <c r="D19" s="65">
        <f t="shared" si="0"/>
        <v>678974400</v>
      </c>
      <c r="E19" s="40">
        <f t="shared" si="1"/>
        <v>15587.147403360001</v>
      </c>
      <c r="I19">
        <v>1976</v>
      </c>
      <c r="J19">
        <v>80.8</v>
      </c>
      <c r="K19">
        <f t="shared" si="2"/>
        <v>58496.614399999991</v>
      </c>
    </row>
    <row r="20" spans="1:11">
      <c r="A20" s="80">
        <v>3896</v>
      </c>
      <c r="B20">
        <v>258.3</v>
      </c>
      <c r="C20" s="83">
        <v>31</v>
      </c>
      <c r="D20" s="65">
        <f t="shared" si="0"/>
        <v>691830720</v>
      </c>
      <c r="E20" s="40">
        <f t="shared" si="1"/>
        <v>15882.288655968001</v>
      </c>
      <c r="I20">
        <v>1977</v>
      </c>
      <c r="J20">
        <v>86.6</v>
      </c>
      <c r="K20">
        <f t="shared" si="2"/>
        <v>62695.628799999991</v>
      </c>
    </row>
    <row r="21" spans="1:11">
      <c r="A21" s="80">
        <v>3926</v>
      </c>
      <c r="B21">
        <v>258.3</v>
      </c>
      <c r="C21" s="83">
        <v>30</v>
      </c>
      <c r="D21" s="65">
        <f t="shared" si="0"/>
        <v>669513600</v>
      </c>
      <c r="E21" s="40">
        <f t="shared" si="1"/>
        <v>15369.95676384</v>
      </c>
      <c r="I21">
        <v>1978</v>
      </c>
      <c r="J21">
        <v>86.9</v>
      </c>
      <c r="K21">
        <f t="shared" si="2"/>
        <v>62912.819199999998</v>
      </c>
    </row>
    <row r="22" spans="1:11">
      <c r="A22" s="80">
        <v>3957</v>
      </c>
      <c r="B22">
        <v>306.89999999999998</v>
      </c>
      <c r="C22" s="83">
        <v>31</v>
      </c>
      <c r="D22" s="65">
        <f t="shared" si="0"/>
        <v>822000960</v>
      </c>
      <c r="E22" s="40">
        <f t="shared" si="1"/>
        <v>18870.593838624001</v>
      </c>
      <c r="I22">
        <v>1979</v>
      </c>
      <c r="J22">
        <v>93.9</v>
      </c>
      <c r="K22">
        <f t="shared" si="2"/>
        <v>67980.595199999996</v>
      </c>
    </row>
    <row r="23" spans="1:11">
      <c r="A23" s="80">
        <v>3987</v>
      </c>
      <c r="B23">
        <v>300.39999999999998</v>
      </c>
      <c r="C23" s="83">
        <v>30</v>
      </c>
      <c r="D23" s="65">
        <f t="shared" si="0"/>
        <v>778636800</v>
      </c>
      <c r="E23" s="40">
        <f t="shared" si="1"/>
        <v>17875.087153920002</v>
      </c>
      <c r="I23">
        <v>1980</v>
      </c>
      <c r="J23">
        <v>99.5</v>
      </c>
      <c r="K23">
        <f t="shared" si="2"/>
        <v>72034.815999999992</v>
      </c>
    </row>
    <row r="24" spans="1:11">
      <c r="A24" s="80">
        <v>4018</v>
      </c>
      <c r="B24">
        <v>384</v>
      </c>
      <c r="C24" s="83">
        <v>31</v>
      </c>
      <c r="D24" s="65">
        <f t="shared" si="0"/>
        <v>1028505600</v>
      </c>
      <c r="E24" s="40">
        <f t="shared" si="1"/>
        <v>23611.300208640001</v>
      </c>
      <c r="I24">
        <v>1981</v>
      </c>
      <c r="J24">
        <v>96.4</v>
      </c>
      <c r="K24">
        <f t="shared" si="2"/>
        <v>69790.515199999994</v>
      </c>
    </row>
    <row r="25" spans="1:11">
      <c r="A25" s="80">
        <v>4049</v>
      </c>
      <c r="B25">
        <v>309.89999999999998</v>
      </c>
      <c r="C25" s="83">
        <v>31</v>
      </c>
      <c r="D25" s="65">
        <f t="shared" si="0"/>
        <v>830036160</v>
      </c>
      <c r="E25" s="40">
        <f t="shared" si="1"/>
        <v>19055.057121504</v>
      </c>
      <c r="I25">
        <v>1982</v>
      </c>
      <c r="J25">
        <v>105.3</v>
      </c>
      <c r="K25">
        <f t="shared" si="2"/>
        <v>76233.830399999992</v>
      </c>
    </row>
    <row r="26" spans="1:11">
      <c r="A26" s="80">
        <v>4077</v>
      </c>
      <c r="B26">
        <v>324.10000000000002</v>
      </c>
      <c r="C26" s="83">
        <v>28</v>
      </c>
      <c r="D26" s="65">
        <f t="shared" si="0"/>
        <v>784062720.00000012</v>
      </c>
      <c r="E26" s="40">
        <f t="shared" si="1"/>
        <v>17999.649456768002</v>
      </c>
      <c r="I26">
        <v>1983</v>
      </c>
      <c r="J26">
        <v>116.7</v>
      </c>
      <c r="K26">
        <f t="shared" si="2"/>
        <v>84487.065600000002</v>
      </c>
    </row>
    <row r="27" spans="1:11">
      <c r="A27" s="80">
        <v>4108</v>
      </c>
      <c r="B27">
        <v>304</v>
      </c>
      <c r="C27" s="83">
        <v>31</v>
      </c>
      <c r="D27" s="65">
        <f t="shared" si="0"/>
        <v>814233600</v>
      </c>
      <c r="E27" s="40">
        <f t="shared" si="1"/>
        <v>18692.27933184</v>
      </c>
      <c r="I27">
        <v>1984</v>
      </c>
      <c r="J27">
        <v>117.6</v>
      </c>
      <c r="K27">
        <f t="shared" si="2"/>
        <v>85138.636799999993</v>
      </c>
    </row>
    <row r="28" spans="1:11">
      <c r="A28" s="80">
        <v>4138</v>
      </c>
      <c r="B28">
        <v>267.7</v>
      </c>
      <c r="C28" s="83">
        <v>30</v>
      </c>
      <c r="D28" s="65">
        <f t="shared" si="0"/>
        <v>693878400</v>
      </c>
      <c r="E28" s="40">
        <f t="shared" si="1"/>
        <v>15929.29704096</v>
      </c>
      <c r="I28">
        <v>2003</v>
      </c>
      <c r="J28">
        <v>259.39999999999998</v>
      </c>
      <c r="K28">
        <f t="shared" si="2"/>
        <v>187797.29919999998</v>
      </c>
    </row>
    <row r="29" spans="1:11">
      <c r="A29" s="80">
        <v>4169</v>
      </c>
      <c r="B29">
        <v>270</v>
      </c>
      <c r="C29" s="83">
        <v>31</v>
      </c>
      <c r="D29" s="65">
        <f t="shared" si="0"/>
        <v>723168000</v>
      </c>
      <c r="E29" s="40">
        <f t="shared" si="1"/>
        <v>16601.6954592</v>
      </c>
      <c r="I29">
        <v>2004</v>
      </c>
      <c r="J29">
        <v>268.5</v>
      </c>
      <c r="K29">
        <f t="shared" si="2"/>
        <v>194385.408</v>
      </c>
    </row>
    <row r="30" spans="1:11">
      <c r="A30" s="80">
        <v>4199</v>
      </c>
      <c r="B30">
        <v>259.5</v>
      </c>
      <c r="C30" s="83">
        <v>30</v>
      </c>
      <c r="D30" s="65">
        <f t="shared" si="0"/>
        <v>672624000</v>
      </c>
      <c r="E30" s="40">
        <f t="shared" si="1"/>
        <v>15441.361905600001</v>
      </c>
      <c r="I30">
        <v>2005</v>
      </c>
      <c r="J30">
        <v>311</v>
      </c>
      <c r="K30">
        <f t="shared" si="2"/>
        <v>225154.04799999998</v>
      </c>
    </row>
    <row r="31" spans="1:11">
      <c r="A31" s="80">
        <v>4230</v>
      </c>
      <c r="B31">
        <v>293.5</v>
      </c>
      <c r="C31" s="83">
        <v>31</v>
      </c>
      <c r="D31" s="65">
        <f t="shared" si="0"/>
        <v>786110400</v>
      </c>
      <c r="E31" s="40">
        <f t="shared" si="1"/>
        <v>18046.657841759999</v>
      </c>
      <c r="I31">
        <v>2006</v>
      </c>
      <c r="J31">
        <v>301.39999999999998</v>
      </c>
      <c r="K31">
        <f t="shared" si="2"/>
        <v>218203.95519999997</v>
      </c>
    </row>
    <row r="32" spans="1:11">
      <c r="A32" s="80">
        <v>4261</v>
      </c>
      <c r="B32">
        <v>275.10000000000002</v>
      </c>
      <c r="C32" s="83">
        <v>31</v>
      </c>
      <c r="D32" s="65">
        <f t="shared" si="0"/>
        <v>736827840</v>
      </c>
      <c r="E32" s="40">
        <f t="shared" si="1"/>
        <v>16915.283040096001</v>
      </c>
      <c r="I32">
        <v>2007</v>
      </c>
      <c r="J32">
        <v>295.60000000000002</v>
      </c>
      <c r="K32">
        <f t="shared" si="2"/>
        <v>214004.94080000001</v>
      </c>
    </row>
    <row r="33" spans="1:12">
      <c r="A33" s="80">
        <v>4291</v>
      </c>
      <c r="B33">
        <v>333.2</v>
      </c>
      <c r="C33" s="83">
        <v>30</v>
      </c>
      <c r="D33" s="65">
        <f t="shared" si="0"/>
        <v>863654400</v>
      </c>
      <c r="E33" s="40">
        <f t="shared" si="1"/>
        <v>19826.82769536</v>
      </c>
      <c r="I33">
        <v>2008</v>
      </c>
      <c r="J33">
        <v>285.3</v>
      </c>
      <c r="K33">
        <f t="shared" si="2"/>
        <v>206548.0704</v>
      </c>
    </row>
    <row r="34" spans="1:12">
      <c r="A34" s="80">
        <v>4322</v>
      </c>
      <c r="B34">
        <v>313.7</v>
      </c>
      <c r="C34" s="83">
        <v>31</v>
      </c>
      <c r="D34" s="65">
        <f t="shared" si="0"/>
        <v>840214079.99999988</v>
      </c>
      <c r="E34" s="40">
        <f t="shared" si="1"/>
        <v>19288.710613151998</v>
      </c>
      <c r="I34">
        <v>2009</v>
      </c>
      <c r="J34">
        <v>289.89999999999998</v>
      </c>
      <c r="K34">
        <f t="shared" si="2"/>
        <v>209878.32319999998</v>
      </c>
    </row>
    <row r="35" spans="1:12">
      <c r="A35" s="80">
        <v>4352</v>
      </c>
      <c r="B35">
        <v>294.7</v>
      </c>
      <c r="C35" s="83">
        <v>30</v>
      </c>
      <c r="D35" s="65">
        <f t="shared" si="0"/>
        <v>763862400</v>
      </c>
      <c r="E35" s="40">
        <f t="shared" si="1"/>
        <v>17535.912730560001</v>
      </c>
      <c r="I35">
        <v>2010</v>
      </c>
      <c r="J35">
        <v>287.39999999999998</v>
      </c>
      <c r="K35">
        <f t="shared" si="2"/>
        <v>208068.40319999997</v>
      </c>
    </row>
    <row r="36" spans="1:12">
      <c r="A36" s="80">
        <v>4383</v>
      </c>
      <c r="B36">
        <v>299.8</v>
      </c>
      <c r="C36" s="83">
        <v>31</v>
      </c>
      <c r="D36" s="65">
        <f t="shared" si="0"/>
        <v>802984320.00000012</v>
      </c>
      <c r="E36" s="40">
        <f t="shared" si="1"/>
        <v>18434.030735808003</v>
      </c>
      <c r="I36">
        <v>2011</v>
      </c>
      <c r="J36">
        <v>302.3</v>
      </c>
      <c r="K36">
        <f t="shared" si="2"/>
        <v>218855.5264</v>
      </c>
    </row>
    <row r="37" spans="1:12">
      <c r="A37" s="80">
        <v>4414</v>
      </c>
      <c r="B37">
        <v>298.60000000000002</v>
      </c>
      <c r="C37" s="83">
        <v>31</v>
      </c>
      <c r="D37" s="65">
        <f t="shared" si="0"/>
        <v>799770240</v>
      </c>
      <c r="E37" s="40">
        <f t="shared" si="1"/>
        <v>18360.245422656</v>
      </c>
      <c r="I37">
        <v>2012</v>
      </c>
      <c r="J37">
        <v>288.60000000000002</v>
      </c>
      <c r="K37">
        <f t="shared" si="2"/>
        <v>208937.1648</v>
      </c>
    </row>
    <row r="38" spans="1:12">
      <c r="A38" s="80">
        <v>4443</v>
      </c>
      <c r="B38">
        <v>275.10000000000002</v>
      </c>
      <c r="C38" s="83">
        <v>29</v>
      </c>
      <c r="D38" s="65">
        <f t="shared" si="0"/>
        <v>689290560</v>
      </c>
      <c r="E38" s="40">
        <f t="shared" si="1"/>
        <v>15823.974456864</v>
      </c>
      <c r="I38">
        <v>2013</v>
      </c>
      <c r="J38">
        <v>301.3</v>
      </c>
      <c r="K38">
        <f t="shared" si="2"/>
        <v>218131.55840000001</v>
      </c>
    </row>
    <row r="39" spans="1:12">
      <c r="A39" s="80">
        <v>4474</v>
      </c>
      <c r="B39">
        <v>278.7</v>
      </c>
      <c r="C39" s="83">
        <v>31</v>
      </c>
      <c r="D39" s="65">
        <f t="shared" si="0"/>
        <v>746470079.99999988</v>
      </c>
      <c r="E39" s="40">
        <f t="shared" si="1"/>
        <v>17136.638979551997</v>
      </c>
      <c r="I39">
        <v>2014</v>
      </c>
      <c r="J39">
        <v>300.89999999999998</v>
      </c>
      <c r="K39">
        <f t="shared" si="2"/>
        <v>217841.97119999997</v>
      </c>
    </row>
    <row r="40" spans="1:12">
      <c r="A40" s="80">
        <v>4504</v>
      </c>
      <c r="B40">
        <v>259.3</v>
      </c>
      <c r="C40" s="83">
        <v>30</v>
      </c>
      <c r="D40" s="65">
        <f t="shared" si="0"/>
        <v>672105600</v>
      </c>
      <c r="E40" s="40">
        <f t="shared" si="1"/>
        <v>15429.46104864</v>
      </c>
      <c r="I40">
        <v>2015</v>
      </c>
      <c r="J40">
        <v>303.3</v>
      </c>
      <c r="K40">
        <f t="shared" si="2"/>
        <v>219579.4944</v>
      </c>
    </row>
    <row r="41" spans="1:12">
      <c r="A41" s="80">
        <v>4535</v>
      </c>
      <c r="B41">
        <v>249.4</v>
      </c>
      <c r="C41" s="83">
        <v>31</v>
      </c>
      <c r="D41" s="65">
        <f t="shared" si="0"/>
        <v>667992960</v>
      </c>
      <c r="E41" s="40">
        <f t="shared" si="1"/>
        <v>15335.047583424001</v>
      </c>
      <c r="I41">
        <v>2016</v>
      </c>
      <c r="J41">
        <v>314.60000000000002</v>
      </c>
      <c r="K41">
        <f t="shared" si="2"/>
        <v>227760.3328</v>
      </c>
    </row>
    <row r="42" spans="1:12">
      <c r="A42" s="80">
        <v>4565</v>
      </c>
      <c r="B42">
        <v>242.9</v>
      </c>
      <c r="C42" s="83">
        <v>30</v>
      </c>
      <c r="D42" s="65">
        <f t="shared" si="0"/>
        <v>629596800</v>
      </c>
      <c r="E42" s="40">
        <f t="shared" si="1"/>
        <v>14453.590777920001</v>
      </c>
      <c r="I42">
        <v>2017</v>
      </c>
      <c r="J42">
        <v>316.89999999999998</v>
      </c>
      <c r="K42">
        <f t="shared" si="2"/>
        <v>229425.45919999998</v>
      </c>
    </row>
    <row r="43" spans="1:12">
      <c r="A43" s="80">
        <v>4596</v>
      </c>
      <c r="B43">
        <v>276.3</v>
      </c>
      <c r="C43" s="83">
        <v>31</v>
      </c>
      <c r="D43" s="65">
        <f t="shared" si="0"/>
        <v>740041920.00000012</v>
      </c>
      <c r="E43" s="40">
        <f t="shared" si="1"/>
        <v>16989.068353248003</v>
      </c>
      <c r="I43">
        <v>2018</v>
      </c>
      <c r="J43">
        <v>320.60000000000002</v>
      </c>
      <c r="K43">
        <f t="shared" si="2"/>
        <v>232104.14079999999</v>
      </c>
    </row>
    <row r="44" spans="1:12">
      <c r="A44" s="80">
        <v>4627</v>
      </c>
      <c r="B44">
        <v>353.5</v>
      </c>
      <c r="C44" s="83">
        <v>31</v>
      </c>
      <c r="D44" s="65">
        <f t="shared" si="0"/>
        <v>946814400</v>
      </c>
      <c r="E44" s="40">
        <f t="shared" si="1"/>
        <v>21735.92349936</v>
      </c>
      <c r="I44">
        <v>2019</v>
      </c>
      <c r="J44">
        <v>332.2</v>
      </c>
      <c r="K44">
        <f t="shared" si="2"/>
        <v>240502.16959999996</v>
      </c>
      <c r="L44">
        <f>AVERAGE(K32:K42)</f>
        <v>216275.56770909092</v>
      </c>
    </row>
    <row r="45" spans="1:12">
      <c r="A45" s="80">
        <v>4657</v>
      </c>
      <c r="B45">
        <v>318.8</v>
      </c>
      <c r="C45" s="83">
        <v>30</v>
      </c>
      <c r="D45" s="65">
        <f t="shared" si="0"/>
        <v>826329600</v>
      </c>
      <c r="E45" s="40">
        <f t="shared" si="1"/>
        <v>18969.965994239999</v>
      </c>
    </row>
    <row r="46" spans="1:12">
      <c r="A46" s="80">
        <v>4688</v>
      </c>
      <c r="B46">
        <v>411.9</v>
      </c>
      <c r="C46" s="83">
        <v>31</v>
      </c>
      <c r="D46" s="65">
        <f t="shared" si="0"/>
        <v>1103232960</v>
      </c>
      <c r="E46" s="40">
        <f t="shared" si="1"/>
        <v>25326.808739423999</v>
      </c>
    </row>
    <row r="47" spans="1:12">
      <c r="A47" s="80">
        <v>4718</v>
      </c>
      <c r="B47">
        <v>273.3</v>
      </c>
      <c r="C47" s="83">
        <v>30</v>
      </c>
      <c r="D47" s="65">
        <f t="shared" si="0"/>
        <v>708393600</v>
      </c>
      <c r="E47" s="40">
        <f t="shared" si="1"/>
        <v>16262.52103584</v>
      </c>
    </row>
    <row r="48" spans="1:12">
      <c r="A48" s="80">
        <v>4749</v>
      </c>
      <c r="B48">
        <v>270.8</v>
      </c>
      <c r="C48" s="83">
        <v>31</v>
      </c>
      <c r="D48" s="65">
        <f t="shared" si="0"/>
        <v>725310720.00000012</v>
      </c>
      <c r="E48" s="40">
        <f t="shared" si="1"/>
        <v>16650.885667968003</v>
      </c>
    </row>
    <row r="49" spans="1:5">
      <c r="A49" s="80">
        <v>4780</v>
      </c>
      <c r="B49">
        <v>295.5</v>
      </c>
      <c r="C49" s="83">
        <v>31</v>
      </c>
      <c r="D49" s="65">
        <f t="shared" si="0"/>
        <v>791467200</v>
      </c>
      <c r="E49" s="40">
        <f t="shared" si="1"/>
        <v>18169.633363680001</v>
      </c>
    </row>
    <row r="50" spans="1:5">
      <c r="A50" s="80">
        <v>4808</v>
      </c>
      <c r="B50">
        <v>303.2</v>
      </c>
      <c r="C50" s="83">
        <v>28</v>
      </c>
      <c r="D50" s="65">
        <f t="shared" si="0"/>
        <v>733501440</v>
      </c>
      <c r="E50" s="40">
        <f t="shared" si="1"/>
        <v>16838.919207936</v>
      </c>
    </row>
    <row r="51" spans="1:5">
      <c r="A51" s="80">
        <v>4839</v>
      </c>
      <c r="B51">
        <v>293.89999999999998</v>
      </c>
      <c r="C51" s="83">
        <v>31</v>
      </c>
      <c r="D51" s="65">
        <f t="shared" si="0"/>
        <v>787181760</v>
      </c>
      <c r="E51" s="40">
        <f t="shared" si="1"/>
        <v>18071.252946143999</v>
      </c>
    </row>
    <row r="52" spans="1:5">
      <c r="A52" s="80">
        <v>4869</v>
      </c>
      <c r="B52">
        <v>269.2</v>
      </c>
      <c r="C52" s="83">
        <v>30</v>
      </c>
      <c r="D52" s="65">
        <f t="shared" si="0"/>
        <v>697766400</v>
      </c>
      <c r="E52" s="40">
        <f t="shared" si="1"/>
        <v>16018.55346816</v>
      </c>
    </row>
    <row r="53" spans="1:5">
      <c r="A53" s="80">
        <v>4900</v>
      </c>
      <c r="B53">
        <v>267.60000000000002</v>
      </c>
      <c r="C53" s="83">
        <v>31</v>
      </c>
      <c r="D53" s="65">
        <f t="shared" si="0"/>
        <v>716739840</v>
      </c>
      <c r="E53" s="40">
        <f t="shared" si="1"/>
        <v>16454.124832895999</v>
      </c>
    </row>
    <row r="54" spans="1:5">
      <c r="A54" s="80">
        <v>4930</v>
      </c>
      <c r="B54">
        <v>259.8</v>
      </c>
      <c r="C54" s="83">
        <v>30</v>
      </c>
      <c r="D54" s="65">
        <f t="shared" si="0"/>
        <v>673401600</v>
      </c>
      <c r="E54" s="40">
        <f t="shared" si="1"/>
        <v>15459.21319104</v>
      </c>
    </row>
    <row r="55" spans="1:5">
      <c r="A55" s="80">
        <v>4961</v>
      </c>
      <c r="B55">
        <v>312.60000000000002</v>
      </c>
      <c r="C55" s="83">
        <v>31</v>
      </c>
      <c r="D55" s="65">
        <f t="shared" si="0"/>
        <v>837267840</v>
      </c>
      <c r="E55" s="40">
        <f t="shared" si="1"/>
        <v>19221.074076096</v>
      </c>
    </row>
    <row r="56" spans="1:5">
      <c r="A56" s="80">
        <v>4992</v>
      </c>
      <c r="B56">
        <v>336.1</v>
      </c>
      <c r="C56" s="83">
        <v>31</v>
      </c>
      <c r="D56" s="65">
        <f t="shared" si="0"/>
        <v>900210240</v>
      </c>
      <c r="E56" s="40">
        <f t="shared" si="1"/>
        <v>20666.036458655999</v>
      </c>
    </row>
    <row r="57" spans="1:5">
      <c r="A57" s="80">
        <v>5022</v>
      </c>
      <c r="B57">
        <v>319.39999999999998</v>
      </c>
      <c r="C57" s="83">
        <v>30</v>
      </c>
      <c r="D57" s="65">
        <f t="shared" si="0"/>
        <v>827884800</v>
      </c>
      <c r="E57" s="40">
        <f t="shared" si="1"/>
        <v>19005.668565119999</v>
      </c>
    </row>
    <row r="58" spans="1:5">
      <c r="A58" s="80">
        <v>5053</v>
      </c>
      <c r="B58">
        <v>292.89999999999998</v>
      </c>
      <c r="C58" s="83">
        <v>31</v>
      </c>
      <c r="D58" s="65">
        <f t="shared" si="0"/>
        <v>784503360</v>
      </c>
      <c r="E58" s="40">
        <f t="shared" si="1"/>
        <v>18009.765185184002</v>
      </c>
    </row>
    <row r="59" spans="1:5">
      <c r="A59" s="80">
        <v>5083</v>
      </c>
      <c r="B59">
        <v>311.5</v>
      </c>
      <c r="C59" s="83">
        <v>30</v>
      </c>
      <c r="D59" s="65">
        <f t="shared" si="0"/>
        <v>807408000</v>
      </c>
      <c r="E59" s="40">
        <f t="shared" si="1"/>
        <v>18535.584715199999</v>
      </c>
    </row>
    <row r="60" spans="1:5">
      <c r="A60" s="80">
        <v>5114</v>
      </c>
      <c r="B60">
        <v>301.7</v>
      </c>
      <c r="C60" s="83">
        <v>31</v>
      </c>
      <c r="D60" s="65">
        <f t="shared" si="0"/>
        <v>808073279.99999988</v>
      </c>
      <c r="E60" s="40">
        <f t="shared" si="1"/>
        <v>18550.857481631996</v>
      </c>
    </row>
    <row r="61" spans="1:5">
      <c r="A61" s="80">
        <v>5145</v>
      </c>
      <c r="B61">
        <v>302.2</v>
      </c>
      <c r="C61" s="83">
        <v>31</v>
      </c>
      <c r="D61" s="65">
        <f t="shared" si="0"/>
        <v>809412479.99999988</v>
      </c>
      <c r="E61" s="40">
        <f t="shared" si="1"/>
        <v>18581.601362111996</v>
      </c>
    </row>
    <row r="62" spans="1:5">
      <c r="A62" s="80">
        <v>5173</v>
      </c>
      <c r="B62">
        <v>310.89999999999998</v>
      </c>
      <c r="C62" s="83">
        <v>28</v>
      </c>
      <c r="D62" s="65">
        <f t="shared" si="0"/>
        <v>752129279.99999988</v>
      </c>
      <c r="E62" s="40">
        <f t="shared" si="1"/>
        <v>17266.556668031997</v>
      </c>
    </row>
    <row r="63" spans="1:5">
      <c r="A63" s="80">
        <v>5204</v>
      </c>
      <c r="B63">
        <v>322</v>
      </c>
      <c r="C63" s="83">
        <v>31</v>
      </c>
      <c r="D63" s="65">
        <f t="shared" si="0"/>
        <v>862444800</v>
      </c>
      <c r="E63" s="40">
        <f t="shared" si="1"/>
        <v>19799.059029119999</v>
      </c>
    </row>
    <row r="64" spans="1:5">
      <c r="A64" s="80">
        <v>5234</v>
      </c>
      <c r="B64">
        <v>278.60000000000002</v>
      </c>
      <c r="C64" s="83">
        <v>30</v>
      </c>
      <c r="D64" s="65">
        <f t="shared" si="0"/>
        <v>722131200</v>
      </c>
      <c r="E64" s="40">
        <f t="shared" si="1"/>
        <v>16577.893745280002</v>
      </c>
    </row>
    <row r="65" spans="1:5">
      <c r="A65" s="80">
        <v>5265</v>
      </c>
      <c r="B65">
        <v>267.10000000000002</v>
      </c>
      <c r="C65" s="83">
        <v>31</v>
      </c>
      <c r="D65" s="65">
        <f t="shared" si="0"/>
        <v>715400640</v>
      </c>
      <c r="E65" s="40">
        <f t="shared" si="1"/>
        <v>16423.380952415999</v>
      </c>
    </row>
    <row r="66" spans="1:5">
      <c r="A66" s="80">
        <v>5295</v>
      </c>
      <c r="B66">
        <v>263.7</v>
      </c>
      <c r="C66" s="83">
        <v>30</v>
      </c>
      <c r="D66" s="65">
        <f t="shared" si="0"/>
        <v>683510400</v>
      </c>
      <c r="E66" s="40">
        <f t="shared" si="1"/>
        <v>15691.279901760001</v>
      </c>
    </row>
    <row r="67" spans="1:5">
      <c r="A67" s="80">
        <v>5326</v>
      </c>
      <c r="B67">
        <v>293.60000000000002</v>
      </c>
      <c r="C67" s="83">
        <v>31</v>
      </c>
      <c r="D67" s="65">
        <f t="shared" si="0"/>
        <v>786378240</v>
      </c>
      <c r="E67" s="40">
        <f t="shared" si="1"/>
        <v>18052.806617856</v>
      </c>
    </row>
    <row r="68" spans="1:5">
      <c r="A68" s="80">
        <v>5357</v>
      </c>
      <c r="B68">
        <v>332.7</v>
      </c>
      <c r="C68" s="83">
        <v>31</v>
      </c>
      <c r="D68" s="65">
        <f t="shared" si="0"/>
        <v>891103679.99999988</v>
      </c>
      <c r="E68" s="40">
        <f t="shared" si="1"/>
        <v>20456.978071391997</v>
      </c>
    </row>
    <row r="69" spans="1:5">
      <c r="A69" s="80">
        <v>5387</v>
      </c>
      <c r="B69">
        <v>334.5</v>
      </c>
      <c r="C69" s="83">
        <v>30</v>
      </c>
      <c r="D69" s="65">
        <f t="shared" si="0"/>
        <v>867024000</v>
      </c>
      <c r="E69" s="40">
        <f t="shared" si="1"/>
        <v>19904.183265600001</v>
      </c>
    </row>
    <row r="70" spans="1:5">
      <c r="A70" s="80">
        <v>5418</v>
      </c>
      <c r="B70">
        <v>302</v>
      </c>
      <c r="C70" s="83">
        <v>31</v>
      </c>
      <c r="D70" s="65">
        <f t="shared" si="0"/>
        <v>808876800</v>
      </c>
      <c r="E70" s="40">
        <f t="shared" si="1"/>
        <v>18569.303809920002</v>
      </c>
    </row>
    <row r="71" spans="1:5">
      <c r="A71" s="80">
        <v>5448</v>
      </c>
      <c r="B71">
        <v>305.39999999999998</v>
      </c>
      <c r="C71" s="83">
        <v>30</v>
      </c>
      <c r="D71" s="65">
        <f t="shared" si="0"/>
        <v>791596800</v>
      </c>
      <c r="E71" s="40">
        <f t="shared" si="1"/>
        <v>18172.60857792</v>
      </c>
    </row>
    <row r="72" spans="1:5">
      <c r="A72" s="80">
        <v>5479</v>
      </c>
      <c r="B72">
        <v>300.89999999999998</v>
      </c>
      <c r="C72" s="83">
        <v>31</v>
      </c>
      <c r="D72" s="65">
        <f t="shared" si="0"/>
        <v>805930560</v>
      </c>
      <c r="E72" s="40">
        <f t="shared" si="1"/>
        <v>18501.667272864001</v>
      </c>
    </row>
    <row r="73" spans="1:5">
      <c r="A73" s="80">
        <v>5510</v>
      </c>
      <c r="B73">
        <v>323.3</v>
      </c>
      <c r="C73" s="83">
        <v>31</v>
      </c>
      <c r="D73" s="65">
        <f t="shared" si="0"/>
        <v>865926720.00000012</v>
      </c>
      <c r="E73" s="40">
        <f t="shared" si="1"/>
        <v>19878.993118368002</v>
      </c>
    </row>
    <row r="74" spans="1:5">
      <c r="A74" s="80">
        <v>5538</v>
      </c>
      <c r="B74">
        <v>314.7</v>
      </c>
      <c r="C74" s="83">
        <v>28</v>
      </c>
      <c r="D74" s="65">
        <f t="shared" si="0"/>
        <v>761322240</v>
      </c>
      <c r="E74" s="40">
        <f t="shared" si="1"/>
        <v>17477.598531456002</v>
      </c>
    </row>
    <row r="75" spans="1:5">
      <c r="A75" s="80">
        <v>5569</v>
      </c>
      <c r="B75">
        <v>323.5</v>
      </c>
      <c r="C75" s="83">
        <v>31</v>
      </c>
      <c r="D75" s="65">
        <f t="shared" si="0"/>
        <v>866462400</v>
      </c>
      <c r="E75" s="40">
        <f t="shared" si="1"/>
        <v>19891.29067056</v>
      </c>
    </row>
    <row r="76" spans="1:5">
      <c r="A76" s="80">
        <v>5599</v>
      </c>
      <c r="B76">
        <v>296.2</v>
      </c>
      <c r="C76" s="83">
        <v>30</v>
      </c>
      <c r="D76" s="65">
        <f t="shared" si="0"/>
        <v>767750400</v>
      </c>
      <c r="E76" s="40">
        <f t="shared" si="1"/>
        <v>17625.16915776</v>
      </c>
    </row>
    <row r="77" spans="1:5">
      <c r="A77" s="80">
        <v>5630</v>
      </c>
      <c r="B77">
        <v>294.39999999999998</v>
      </c>
      <c r="C77" s="83">
        <v>31</v>
      </c>
      <c r="D77" s="65">
        <f t="shared" si="0"/>
        <v>788520960</v>
      </c>
      <c r="E77" s="40">
        <f t="shared" si="1"/>
        <v>18101.996826623999</v>
      </c>
    </row>
    <row r="78" spans="1:5">
      <c r="A78" s="80">
        <v>5660</v>
      </c>
      <c r="B78">
        <v>292.5</v>
      </c>
      <c r="C78" s="83">
        <v>30</v>
      </c>
      <c r="D78" s="65">
        <f t="shared" ref="D78:D84" si="3">B78*C78*86400</f>
        <v>758160000</v>
      </c>
      <c r="E78" s="40">
        <f t="shared" ref="E78:E84" si="4">D78*0.0000229569</f>
        <v>17405.003304000002</v>
      </c>
    </row>
    <row r="79" spans="1:5">
      <c r="A79" s="80">
        <v>5691</v>
      </c>
      <c r="B79">
        <v>289.2</v>
      </c>
      <c r="C79" s="83">
        <v>31</v>
      </c>
      <c r="D79" s="65">
        <f t="shared" si="3"/>
        <v>774593279.99999988</v>
      </c>
      <c r="E79" s="40">
        <f t="shared" si="4"/>
        <v>17782.260469631998</v>
      </c>
    </row>
    <row r="80" spans="1:5">
      <c r="A80" s="80">
        <v>5722</v>
      </c>
      <c r="B80">
        <v>304.5</v>
      </c>
      <c r="C80" s="83">
        <v>31</v>
      </c>
      <c r="D80" s="65">
        <f t="shared" si="3"/>
        <v>815572800</v>
      </c>
      <c r="E80" s="40">
        <f t="shared" si="4"/>
        <v>18723.02321232</v>
      </c>
    </row>
    <row r="81" spans="1:5">
      <c r="A81" s="80">
        <v>5752</v>
      </c>
      <c r="B81">
        <v>293.39999999999998</v>
      </c>
      <c r="C81" s="83">
        <v>30</v>
      </c>
      <c r="D81" s="65">
        <f t="shared" si="3"/>
        <v>760492800</v>
      </c>
      <c r="E81" s="40">
        <f t="shared" si="4"/>
        <v>17458.557160320001</v>
      </c>
    </row>
    <row r="82" spans="1:5">
      <c r="A82" s="80">
        <v>5783</v>
      </c>
      <c r="B82">
        <v>363.9</v>
      </c>
      <c r="C82" s="83">
        <v>31</v>
      </c>
      <c r="D82" s="65">
        <f t="shared" si="3"/>
        <v>974669760</v>
      </c>
      <c r="E82" s="40">
        <f t="shared" si="4"/>
        <v>22375.396213344</v>
      </c>
    </row>
    <row r="83" spans="1:5">
      <c r="A83" s="80">
        <v>5813</v>
      </c>
      <c r="B83">
        <v>311.5</v>
      </c>
      <c r="C83" s="83">
        <v>30</v>
      </c>
      <c r="D83" s="65">
        <f t="shared" si="3"/>
        <v>807408000</v>
      </c>
      <c r="E83" s="40">
        <f t="shared" si="4"/>
        <v>18535.584715199999</v>
      </c>
    </row>
    <row r="84" spans="1:5">
      <c r="A84" s="80">
        <v>5844</v>
      </c>
      <c r="B84">
        <v>303.2</v>
      </c>
      <c r="C84" s="83">
        <v>31</v>
      </c>
      <c r="D84" s="65">
        <f t="shared" si="3"/>
        <v>812090879.99999988</v>
      </c>
      <c r="E84" s="40">
        <f t="shared" si="4"/>
        <v>18643.089123071997</v>
      </c>
    </row>
  </sheetData>
  <hyperlinks>
    <hyperlink ref="A2" r:id="rId1" xr:uid="{47BAA502-347E-4DF4-9F44-43F35046406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6C436-9EC6-46CC-ABE8-5796E171D758}">
  <dimension ref="A1:Z84"/>
  <sheetViews>
    <sheetView workbookViewId="0">
      <selection activeCell="N22" sqref="N22"/>
    </sheetView>
  </sheetViews>
  <sheetFormatPr defaultColWidth="8.81640625" defaultRowHeight="14.5"/>
  <cols>
    <col min="4" max="4" width="13.453125" bestFit="1" customWidth="1"/>
    <col min="6" max="6" width="12.36328125" bestFit="1" customWidth="1"/>
    <col min="8" max="8" width="10.08984375" bestFit="1" customWidth="1"/>
    <col min="9" max="9" width="10.453125" customWidth="1"/>
    <col min="17" max="17" width="11.81640625" bestFit="1" customWidth="1"/>
  </cols>
  <sheetData>
    <row r="1" spans="1:13" ht="16.5">
      <c r="A1" s="111" t="s">
        <v>77</v>
      </c>
    </row>
    <row r="2" spans="1:13">
      <c r="A2" s="44" t="s">
        <v>259</v>
      </c>
    </row>
    <row r="3" spans="1:13">
      <c r="A3" s="44"/>
      <c r="B3" s="110" t="s">
        <v>250</v>
      </c>
    </row>
    <row r="4" spans="1:13">
      <c r="A4" s="44"/>
      <c r="B4" s="109" t="s">
        <v>210</v>
      </c>
      <c r="C4" s="108" t="s">
        <v>211</v>
      </c>
      <c r="D4" s="109" t="s">
        <v>50</v>
      </c>
      <c r="E4" s="108" t="s">
        <v>212</v>
      </c>
      <c r="F4" s="109" t="s">
        <v>52</v>
      </c>
      <c r="G4" s="108" t="s">
        <v>53</v>
      </c>
      <c r="H4" s="109" t="s">
        <v>54</v>
      </c>
      <c r="I4" s="108" t="s">
        <v>213</v>
      </c>
      <c r="J4" s="109" t="s">
        <v>214</v>
      </c>
      <c r="K4" s="108" t="s">
        <v>215</v>
      </c>
      <c r="L4" s="109" t="s">
        <v>216</v>
      </c>
      <c r="M4" s="108" t="s">
        <v>217</v>
      </c>
    </row>
    <row r="5" spans="1:13">
      <c r="A5" s="107">
        <v>2010</v>
      </c>
      <c r="B5" s="106">
        <v>10310</v>
      </c>
      <c r="C5" s="106">
        <v>7215</v>
      </c>
      <c r="D5" s="106">
        <v>14460</v>
      </c>
      <c r="E5" s="106">
        <v>15690</v>
      </c>
      <c r="F5" s="106">
        <v>15630</v>
      </c>
      <c r="G5" s="106">
        <v>16920</v>
      </c>
      <c r="H5" s="106">
        <v>15310</v>
      </c>
      <c r="I5" s="106">
        <v>13480</v>
      </c>
      <c r="J5" s="106">
        <v>12740</v>
      </c>
      <c r="K5" s="106">
        <v>10370</v>
      </c>
      <c r="L5" s="106">
        <v>13450</v>
      </c>
      <c r="M5" s="106">
        <v>10740</v>
      </c>
    </row>
    <row r="6" spans="1:13">
      <c r="A6" s="107">
        <v>2011</v>
      </c>
      <c r="B6" s="106">
        <v>8777</v>
      </c>
      <c r="C6" s="106">
        <v>11420</v>
      </c>
      <c r="D6" s="106">
        <v>16370</v>
      </c>
      <c r="E6" s="106">
        <v>18120</v>
      </c>
      <c r="F6" s="106">
        <v>16300</v>
      </c>
      <c r="G6" s="106">
        <v>15790</v>
      </c>
      <c r="H6" s="106">
        <v>16290</v>
      </c>
      <c r="I6" s="106">
        <v>13520</v>
      </c>
      <c r="J6" s="106">
        <v>11260</v>
      </c>
      <c r="K6" s="106">
        <v>7210</v>
      </c>
      <c r="L6" s="106">
        <v>9481</v>
      </c>
      <c r="M6" s="106">
        <v>8077</v>
      </c>
    </row>
    <row r="7" spans="1:13">
      <c r="A7" s="107">
        <v>2012</v>
      </c>
      <c r="B7" s="106">
        <v>11600</v>
      </c>
      <c r="C7" s="106">
        <v>13480</v>
      </c>
      <c r="D7" s="106">
        <v>16040</v>
      </c>
      <c r="E7" s="106">
        <v>19660</v>
      </c>
      <c r="F7" s="106">
        <v>16360</v>
      </c>
      <c r="G7" s="106">
        <v>16630</v>
      </c>
      <c r="H7" s="106">
        <v>13680</v>
      </c>
      <c r="I7" s="106">
        <v>12990</v>
      </c>
      <c r="J7" s="106">
        <v>10680</v>
      </c>
      <c r="K7" s="106">
        <v>5619</v>
      </c>
      <c r="L7" s="106">
        <v>10930</v>
      </c>
      <c r="M7" s="106">
        <v>7735</v>
      </c>
    </row>
    <row r="8" spans="1:13">
      <c r="A8" s="107">
        <v>2013</v>
      </c>
      <c r="B8" s="106">
        <v>9899</v>
      </c>
      <c r="C8" s="106">
        <v>11630</v>
      </c>
      <c r="D8" s="106">
        <v>16050</v>
      </c>
      <c r="E8" s="106">
        <v>18540</v>
      </c>
      <c r="F8" s="106">
        <v>16370</v>
      </c>
      <c r="G8" s="106">
        <v>15930</v>
      </c>
      <c r="H8" s="106">
        <v>14070</v>
      </c>
      <c r="I8" s="106">
        <v>13140</v>
      </c>
      <c r="J8" s="106">
        <v>10060</v>
      </c>
      <c r="K8" s="106">
        <v>11920</v>
      </c>
      <c r="L8" s="106">
        <v>8629</v>
      </c>
      <c r="M8" s="106">
        <v>9072</v>
      </c>
    </row>
    <row r="9" spans="1:13">
      <c r="A9" s="107">
        <v>2014</v>
      </c>
      <c r="B9" s="106">
        <v>9850</v>
      </c>
      <c r="C9" s="106">
        <v>12910</v>
      </c>
      <c r="D9" s="106">
        <v>17720</v>
      </c>
      <c r="E9" s="106">
        <v>19060</v>
      </c>
      <c r="F9" s="106">
        <v>17650</v>
      </c>
      <c r="G9" s="106">
        <v>16120</v>
      </c>
      <c r="H9" s="106">
        <v>15320</v>
      </c>
      <c r="I9" s="106">
        <v>11960</v>
      </c>
      <c r="J9" s="106">
        <v>11530</v>
      </c>
      <c r="K9" s="106">
        <v>7672</v>
      </c>
      <c r="L9" s="106">
        <v>11680</v>
      </c>
      <c r="M9" s="106">
        <v>8019</v>
      </c>
    </row>
    <row r="10" spans="1:13">
      <c r="A10" s="107">
        <v>2015</v>
      </c>
      <c r="B10" s="106">
        <v>13540</v>
      </c>
      <c r="C10" s="106">
        <v>10800</v>
      </c>
      <c r="D10" s="106">
        <v>16810</v>
      </c>
      <c r="E10" s="106">
        <v>18270</v>
      </c>
      <c r="F10" s="106">
        <v>14130</v>
      </c>
      <c r="G10" s="106">
        <v>14590</v>
      </c>
      <c r="H10" s="106">
        <v>12480</v>
      </c>
      <c r="I10" s="106">
        <v>13050</v>
      </c>
      <c r="J10" s="106">
        <v>12150</v>
      </c>
      <c r="K10" s="106">
        <v>9405</v>
      </c>
      <c r="L10" s="106">
        <v>10610</v>
      </c>
      <c r="M10" s="106">
        <v>10070</v>
      </c>
    </row>
    <row r="12" spans="1:13" ht="29">
      <c r="B12" t="s">
        <v>248</v>
      </c>
      <c r="C12" t="s">
        <v>247</v>
      </c>
      <c r="D12" t="s">
        <v>246</v>
      </c>
      <c r="E12" s="105" t="s">
        <v>245</v>
      </c>
      <c r="F12" s="2" t="s">
        <v>260</v>
      </c>
    </row>
    <row r="13" spans="1:13">
      <c r="A13" s="80">
        <v>3684</v>
      </c>
      <c r="B13">
        <v>10310</v>
      </c>
      <c r="C13" s="83">
        <v>31</v>
      </c>
      <c r="D13" s="65">
        <f>B13*C13*86400</f>
        <v>27614304000</v>
      </c>
      <c r="E13" s="40">
        <f>D13*0.0000229569</f>
        <v>633938.81549760001</v>
      </c>
      <c r="F13" s="114">
        <v>634322</v>
      </c>
    </row>
    <row r="14" spans="1:13">
      <c r="A14" s="80">
        <v>3712</v>
      </c>
      <c r="B14">
        <v>7215</v>
      </c>
      <c r="C14" s="83">
        <v>28</v>
      </c>
      <c r="D14" s="65">
        <f t="shared" ref="D14:D77" si="0">B14*C14*86400</f>
        <v>17454528000</v>
      </c>
      <c r="E14" s="40">
        <f t="shared" ref="E14:E77" si="1">D14*0.0000229569</f>
        <v>400701.85384320002</v>
      </c>
      <c r="F14" s="72">
        <v>400427</v>
      </c>
    </row>
    <row r="15" spans="1:13">
      <c r="A15" s="80">
        <v>3743</v>
      </c>
      <c r="B15">
        <v>14460</v>
      </c>
      <c r="C15" s="83">
        <v>31</v>
      </c>
      <c r="D15" s="65">
        <f t="shared" si="0"/>
        <v>38729664000</v>
      </c>
      <c r="E15" s="40">
        <f t="shared" si="1"/>
        <v>889113.02348159999</v>
      </c>
      <c r="F15" s="72">
        <v>889313</v>
      </c>
    </row>
    <row r="16" spans="1:13">
      <c r="A16" s="80">
        <v>3773</v>
      </c>
      <c r="B16">
        <v>15690</v>
      </c>
      <c r="C16" s="83">
        <v>30</v>
      </c>
      <c r="D16" s="65">
        <f t="shared" si="0"/>
        <v>40668480000</v>
      </c>
      <c r="E16" s="40">
        <f t="shared" si="1"/>
        <v>933622.22851200006</v>
      </c>
      <c r="F16" s="72">
        <v>932990</v>
      </c>
    </row>
    <row r="17" spans="1:13">
      <c r="A17" s="80">
        <v>3804</v>
      </c>
      <c r="B17">
        <v>15630</v>
      </c>
      <c r="C17" s="83">
        <v>31</v>
      </c>
      <c r="D17" s="65">
        <f t="shared" si="0"/>
        <v>41863392000</v>
      </c>
      <c r="E17" s="40">
        <f t="shared" si="1"/>
        <v>961053.70380480005</v>
      </c>
      <c r="F17" s="72">
        <v>960947</v>
      </c>
      <c r="I17">
        <v>2000</v>
      </c>
      <c r="J17">
        <v>15150</v>
      </c>
      <c r="K17">
        <f>J17*723.968</f>
        <v>10968115.199999999</v>
      </c>
    </row>
    <row r="18" spans="1:13">
      <c r="A18" s="80">
        <v>3834</v>
      </c>
      <c r="B18">
        <v>16920</v>
      </c>
      <c r="C18" s="83">
        <v>30</v>
      </c>
      <c r="D18" s="65">
        <f t="shared" si="0"/>
        <v>43856640000</v>
      </c>
      <c r="E18" s="40">
        <f t="shared" si="1"/>
        <v>1006812.4988160001</v>
      </c>
      <c r="F18" s="72">
        <v>1007173</v>
      </c>
      <c r="I18">
        <v>2001</v>
      </c>
      <c r="J18">
        <v>14500</v>
      </c>
      <c r="K18">
        <f t="shared" ref="K18:K34" si="2">J18*723.968</f>
        <v>10497536</v>
      </c>
    </row>
    <row r="19" spans="1:13">
      <c r="A19" s="80">
        <v>3865</v>
      </c>
      <c r="B19">
        <v>15310</v>
      </c>
      <c r="C19" s="83">
        <v>31</v>
      </c>
      <c r="D19" s="65">
        <f t="shared" si="0"/>
        <v>41006304000</v>
      </c>
      <c r="E19" s="40">
        <f t="shared" si="1"/>
        <v>941377.62029760005</v>
      </c>
      <c r="F19" s="72">
        <v>940805</v>
      </c>
      <c r="I19">
        <v>2002</v>
      </c>
      <c r="J19">
        <v>14510</v>
      </c>
      <c r="K19">
        <f t="shared" si="2"/>
        <v>10504775.68</v>
      </c>
      <c r="M19" s="2"/>
    </row>
    <row r="20" spans="1:13">
      <c r="A20" s="80">
        <v>3896</v>
      </c>
      <c r="B20">
        <v>13480</v>
      </c>
      <c r="C20" s="83">
        <v>31</v>
      </c>
      <c r="D20" s="65">
        <f t="shared" si="0"/>
        <v>36104832000</v>
      </c>
      <c r="E20" s="40">
        <f t="shared" si="1"/>
        <v>828855.01774080005</v>
      </c>
      <c r="F20" s="72">
        <v>828841</v>
      </c>
      <c r="I20">
        <v>2003</v>
      </c>
      <c r="J20">
        <v>13070</v>
      </c>
      <c r="K20">
        <f t="shared" si="2"/>
        <v>9462261.7599999998</v>
      </c>
    </row>
    <row r="21" spans="1:13">
      <c r="A21" s="80">
        <v>3926</v>
      </c>
      <c r="B21">
        <v>12740</v>
      </c>
      <c r="C21" s="83">
        <v>30</v>
      </c>
      <c r="D21" s="65">
        <f t="shared" si="0"/>
        <v>33022080000</v>
      </c>
      <c r="E21" s="40">
        <f t="shared" si="1"/>
        <v>758084.58835199999</v>
      </c>
      <c r="F21" s="72">
        <v>758480</v>
      </c>
      <c r="I21">
        <v>2004</v>
      </c>
      <c r="J21">
        <v>13270</v>
      </c>
      <c r="K21">
        <f t="shared" si="2"/>
        <v>9607055.3599999994</v>
      </c>
    </row>
    <row r="22" spans="1:13">
      <c r="A22" s="80">
        <v>3957</v>
      </c>
      <c r="B22">
        <v>10370</v>
      </c>
      <c r="C22" s="83">
        <v>31</v>
      </c>
      <c r="D22" s="65">
        <f t="shared" si="0"/>
        <v>27775008000</v>
      </c>
      <c r="E22" s="40">
        <f t="shared" si="1"/>
        <v>637628.08115520002</v>
      </c>
      <c r="F22" s="72">
        <v>637585</v>
      </c>
      <c r="I22">
        <v>2005</v>
      </c>
      <c r="J22">
        <v>10970</v>
      </c>
      <c r="K22">
        <f t="shared" si="2"/>
        <v>7941928.96</v>
      </c>
    </row>
    <row r="23" spans="1:13">
      <c r="A23" s="80">
        <v>3987</v>
      </c>
      <c r="B23">
        <v>13450</v>
      </c>
      <c r="C23" s="83">
        <v>30</v>
      </c>
      <c r="D23" s="65">
        <f t="shared" si="0"/>
        <v>34862400000</v>
      </c>
      <c r="E23" s="40">
        <f t="shared" si="1"/>
        <v>800332.63055999996</v>
      </c>
      <c r="F23" s="72">
        <v>799870</v>
      </c>
      <c r="I23">
        <v>2006</v>
      </c>
      <c r="J23">
        <v>12980</v>
      </c>
      <c r="K23">
        <f t="shared" si="2"/>
        <v>9397104.6399999987</v>
      </c>
    </row>
    <row r="24" spans="1:13">
      <c r="A24" s="80">
        <v>4018</v>
      </c>
      <c r="B24">
        <v>10740</v>
      </c>
      <c r="C24" s="83">
        <v>31</v>
      </c>
      <c r="D24" s="65">
        <f t="shared" si="0"/>
        <v>28766016000</v>
      </c>
      <c r="E24" s="40">
        <f t="shared" si="1"/>
        <v>660378.55271039996</v>
      </c>
      <c r="F24" s="72">
        <v>660041</v>
      </c>
      <c r="I24">
        <v>2007</v>
      </c>
      <c r="J24">
        <v>13050</v>
      </c>
      <c r="K24">
        <f t="shared" si="2"/>
        <v>9447782.4000000004</v>
      </c>
    </row>
    <row r="25" spans="1:13">
      <c r="A25" s="80">
        <v>4049</v>
      </c>
      <c r="B25">
        <v>8777</v>
      </c>
      <c r="C25" s="83">
        <v>31</v>
      </c>
      <c r="D25" s="65">
        <f t="shared" si="0"/>
        <v>23508316800</v>
      </c>
      <c r="E25" s="40">
        <f t="shared" si="1"/>
        <v>539678.07794592006</v>
      </c>
      <c r="F25" s="72">
        <v>539700</v>
      </c>
      <c r="I25">
        <v>2008</v>
      </c>
      <c r="J25">
        <v>13120</v>
      </c>
      <c r="K25">
        <f t="shared" si="2"/>
        <v>9498460.1600000001</v>
      </c>
    </row>
    <row r="26" spans="1:13">
      <c r="A26" s="80">
        <v>4077</v>
      </c>
      <c r="B26">
        <v>11420</v>
      </c>
      <c r="C26" s="83">
        <v>28</v>
      </c>
      <c r="D26" s="65">
        <f t="shared" si="0"/>
        <v>27627264000</v>
      </c>
      <c r="E26" s="40">
        <f t="shared" si="1"/>
        <v>634236.33692160004</v>
      </c>
      <c r="F26" s="72">
        <v>634400</v>
      </c>
      <c r="I26">
        <v>2009</v>
      </c>
      <c r="J26">
        <v>12720</v>
      </c>
      <c r="K26">
        <f t="shared" si="2"/>
        <v>9208872.959999999</v>
      </c>
    </row>
    <row r="27" spans="1:13">
      <c r="A27" s="80">
        <v>4108</v>
      </c>
      <c r="B27">
        <v>16370</v>
      </c>
      <c r="C27" s="83">
        <v>31</v>
      </c>
      <c r="D27" s="65">
        <f t="shared" si="0"/>
        <v>43845408000</v>
      </c>
      <c r="E27" s="40">
        <f t="shared" si="1"/>
        <v>1006554.6469152</v>
      </c>
      <c r="F27" s="72">
        <v>1006000</v>
      </c>
      <c r="I27">
        <v>2010</v>
      </c>
      <c r="J27">
        <v>12790</v>
      </c>
      <c r="K27">
        <f t="shared" si="2"/>
        <v>9259550.7199999988</v>
      </c>
    </row>
    <row r="28" spans="1:13">
      <c r="A28" s="80">
        <v>4138</v>
      </c>
      <c r="B28">
        <v>18120</v>
      </c>
      <c r="C28" s="83">
        <v>30</v>
      </c>
      <c r="D28" s="65">
        <f t="shared" si="0"/>
        <v>46967040000</v>
      </c>
      <c r="E28" s="40">
        <f t="shared" si="1"/>
        <v>1078217.6405760001</v>
      </c>
      <c r="F28" s="72">
        <v>1078000</v>
      </c>
      <c r="I28">
        <v>2011</v>
      </c>
      <c r="J28">
        <v>13540</v>
      </c>
      <c r="K28">
        <f t="shared" si="2"/>
        <v>9802526.7199999988</v>
      </c>
    </row>
    <row r="29" spans="1:13">
      <c r="A29" s="80">
        <v>4169</v>
      </c>
      <c r="B29">
        <v>16300</v>
      </c>
      <c r="C29" s="83">
        <v>31</v>
      </c>
      <c r="D29" s="65">
        <f t="shared" si="0"/>
        <v>43657920000</v>
      </c>
      <c r="E29" s="40">
        <f t="shared" si="1"/>
        <v>1002250.5036480001</v>
      </c>
      <c r="F29" s="72">
        <v>1002000</v>
      </c>
      <c r="I29">
        <v>2012</v>
      </c>
      <c r="J29">
        <v>12980</v>
      </c>
      <c r="K29">
        <f t="shared" si="2"/>
        <v>9397104.6399999987</v>
      </c>
    </row>
    <row r="30" spans="1:13">
      <c r="A30" s="80">
        <v>4199</v>
      </c>
      <c r="B30">
        <v>15790</v>
      </c>
      <c r="C30" s="83">
        <v>30</v>
      </c>
      <c r="D30" s="65">
        <f t="shared" si="0"/>
        <v>40927680000</v>
      </c>
      <c r="E30" s="40">
        <f t="shared" si="1"/>
        <v>939572.65699200006</v>
      </c>
      <c r="F30" s="72">
        <v>939600</v>
      </c>
      <c r="I30">
        <v>2013</v>
      </c>
      <c r="J30">
        <v>12490</v>
      </c>
      <c r="K30">
        <f t="shared" si="2"/>
        <v>9042360.3200000003</v>
      </c>
    </row>
    <row r="31" spans="1:13">
      <c r="A31" s="80">
        <v>4230</v>
      </c>
      <c r="B31">
        <v>16290</v>
      </c>
      <c r="C31" s="83">
        <v>31</v>
      </c>
      <c r="D31" s="65">
        <f t="shared" si="0"/>
        <v>43631136000</v>
      </c>
      <c r="E31" s="40">
        <f t="shared" si="1"/>
        <v>1001635.6260384</v>
      </c>
      <c r="F31" s="72">
        <v>1002000</v>
      </c>
      <c r="I31">
        <v>2014</v>
      </c>
      <c r="J31">
        <v>13480</v>
      </c>
      <c r="K31">
        <f t="shared" si="2"/>
        <v>9759088.6399999987</v>
      </c>
    </row>
    <row r="32" spans="1:13">
      <c r="A32" s="80">
        <v>4261</v>
      </c>
      <c r="B32">
        <v>13520</v>
      </c>
      <c r="C32" s="83">
        <v>31</v>
      </c>
      <c r="D32" s="65">
        <f t="shared" si="0"/>
        <v>36211968000</v>
      </c>
      <c r="E32" s="40">
        <f t="shared" si="1"/>
        <v>831314.52817920002</v>
      </c>
      <c r="F32" s="72">
        <v>831300</v>
      </c>
      <c r="I32">
        <v>2015</v>
      </c>
      <c r="J32">
        <v>12770</v>
      </c>
      <c r="K32">
        <f t="shared" si="2"/>
        <v>9245071.3599999994</v>
      </c>
    </row>
    <row r="33" spans="1:26">
      <c r="A33" s="80">
        <v>4291</v>
      </c>
      <c r="B33">
        <v>11260</v>
      </c>
      <c r="C33" s="83">
        <v>30</v>
      </c>
      <c r="D33" s="65">
        <f t="shared" si="0"/>
        <v>29185920000</v>
      </c>
      <c r="E33" s="40">
        <f t="shared" si="1"/>
        <v>670018.24684799998</v>
      </c>
      <c r="F33" s="72">
        <v>669800</v>
      </c>
      <c r="I33">
        <v>2016</v>
      </c>
      <c r="J33">
        <v>12800</v>
      </c>
      <c r="K33">
        <f t="shared" si="2"/>
        <v>9266790.4000000004</v>
      </c>
    </row>
    <row r="34" spans="1:26">
      <c r="A34" s="80">
        <v>4322</v>
      </c>
      <c r="B34">
        <v>7210</v>
      </c>
      <c r="C34" s="83">
        <v>31</v>
      </c>
      <c r="D34" s="65">
        <f t="shared" si="0"/>
        <v>19311264000</v>
      </c>
      <c r="E34" s="40">
        <f t="shared" si="1"/>
        <v>443326.75652160001</v>
      </c>
      <c r="F34" s="72">
        <v>443300</v>
      </c>
      <c r="I34">
        <v>2017</v>
      </c>
      <c r="J34">
        <v>11910</v>
      </c>
      <c r="K34">
        <f t="shared" si="2"/>
        <v>8622458.879999999</v>
      </c>
      <c r="M34">
        <f>AVERAGE(K24:K34)</f>
        <v>9322733.3818181828</v>
      </c>
    </row>
    <row r="35" spans="1:26">
      <c r="A35" s="80">
        <v>4352</v>
      </c>
      <c r="B35">
        <v>9481</v>
      </c>
      <c r="C35" s="83">
        <v>30</v>
      </c>
      <c r="D35" s="65">
        <f t="shared" si="0"/>
        <v>24574752000</v>
      </c>
      <c r="E35" s="40">
        <f t="shared" si="1"/>
        <v>564160.12418879999</v>
      </c>
      <c r="F35" s="72">
        <v>564200</v>
      </c>
      <c r="Y35">
        <v>149316</v>
      </c>
      <c r="Z35">
        <v>171700</v>
      </c>
    </row>
    <row r="36" spans="1:26">
      <c r="A36" s="80">
        <v>4383</v>
      </c>
      <c r="B36">
        <v>8077</v>
      </c>
      <c r="C36" s="83">
        <v>31</v>
      </c>
      <c r="D36" s="65">
        <f t="shared" si="0"/>
        <v>21633436800</v>
      </c>
      <c r="E36" s="40">
        <f t="shared" si="1"/>
        <v>496636.64527392003</v>
      </c>
      <c r="F36" s="72">
        <v>496700</v>
      </c>
      <c r="Y36">
        <v>279</v>
      </c>
    </row>
    <row r="37" spans="1:26">
      <c r="A37" s="80">
        <v>4414</v>
      </c>
      <c r="B37">
        <v>11600</v>
      </c>
      <c r="C37" s="83">
        <v>31</v>
      </c>
      <c r="D37" s="65">
        <f t="shared" si="0"/>
        <v>31069440000</v>
      </c>
      <c r="E37" s="40">
        <f t="shared" si="1"/>
        <v>713258.02713599999</v>
      </c>
      <c r="F37" s="72">
        <v>713100</v>
      </c>
      <c r="Y37">
        <v>5929</v>
      </c>
    </row>
    <row r="38" spans="1:26">
      <c r="A38" s="80">
        <v>4443</v>
      </c>
      <c r="B38">
        <v>13480</v>
      </c>
      <c r="C38" s="83">
        <v>29</v>
      </c>
      <c r="D38" s="65">
        <f t="shared" si="0"/>
        <v>33775488000</v>
      </c>
      <c r="E38" s="40">
        <f t="shared" si="1"/>
        <v>775380.50046720007</v>
      </c>
      <c r="F38" s="72">
        <v>775700</v>
      </c>
      <c r="Y38">
        <v>2193</v>
      </c>
    </row>
    <row r="39" spans="1:26">
      <c r="A39" s="80">
        <v>4474</v>
      </c>
      <c r="B39">
        <v>16040</v>
      </c>
      <c r="C39" s="83">
        <v>31</v>
      </c>
      <c r="D39" s="65">
        <f t="shared" si="0"/>
        <v>42961536000</v>
      </c>
      <c r="E39" s="40">
        <f t="shared" si="1"/>
        <v>986263.68579839997</v>
      </c>
      <c r="F39" s="72">
        <v>986000</v>
      </c>
      <c r="Y39">
        <f>SUM(Y35:Y38)</f>
        <v>157717</v>
      </c>
      <c r="Z39">
        <f>Z35-Y39</f>
        <v>13983</v>
      </c>
    </row>
    <row r="40" spans="1:26">
      <c r="A40" s="80">
        <v>4504</v>
      </c>
      <c r="B40">
        <v>19660</v>
      </c>
      <c r="C40" s="83">
        <v>30</v>
      </c>
      <c r="D40" s="65">
        <f t="shared" si="0"/>
        <v>50958720000</v>
      </c>
      <c r="E40" s="40">
        <f t="shared" si="1"/>
        <v>1169854.2391679999</v>
      </c>
      <c r="F40" s="72">
        <v>1170000</v>
      </c>
    </row>
    <row r="41" spans="1:26">
      <c r="A41" s="80">
        <v>4535</v>
      </c>
      <c r="B41">
        <v>16360</v>
      </c>
      <c r="C41" s="83">
        <v>31</v>
      </c>
      <c r="D41" s="65">
        <f t="shared" si="0"/>
        <v>43818624000</v>
      </c>
      <c r="E41" s="40">
        <f t="shared" si="1"/>
        <v>1005939.7693056</v>
      </c>
      <c r="F41" s="72">
        <v>1006000</v>
      </c>
      <c r="H41" s="40">
        <f>SUM(E15:E74)</f>
        <v>47433463.767849609</v>
      </c>
      <c r="I41" s="40">
        <f>SUM(F15:F74)</f>
        <v>47433081</v>
      </c>
    </row>
    <row r="42" spans="1:26">
      <c r="A42" s="80">
        <v>4565</v>
      </c>
      <c r="B42">
        <v>16630</v>
      </c>
      <c r="C42" s="83">
        <v>30</v>
      </c>
      <c r="D42" s="65">
        <f t="shared" si="0"/>
        <v>43104960000</v>
      </c>
      <c r="E42" s="40">
        <f t="shared" si="1"/>
        <v>989556.25622400001</v>
      </c>
      <c r="F42" s="72">
        <v>989700</v>
      </c>
      <c r="H42">
        <f>H41/5</f>
        <v>9486692.7535699215</v>
      </c>
    </row>
    <row r="43" spans="1:26">
      <c r="A43" s="80">
        <v>4596</v>
      </c>
      <c r="B43">
        <v>13680</v>
      </c>
      <c r="C43" s="83">
        <v>31</v>
      </c>
      <c r="D43" s="65">
        <f t="shared" si="0"/>
        <v>36640512000</v>
      </c>
      <c r="E43" s="40">
        <f t="shared" si="1"/>
        <v>841152.56993280002</v>
      </c>
      <c r="F43" s="72">
        <v>841269</v>
      </c>
    </row>
    <row r="44" spans="1:26">
      <c r="A44" s="80">
        <v>4627</v>
      </c>
      <c r="B44">
        <v>12990</v>
      </c>
      <c r="C44" s="83">
        <v>31</v>
      </c>
      <c r="D44" s="65">
        <f t="shared" si="0"/>
        <v>34792416000</v>
      </c>
      <c r="E44" s="40">
        <f t="shared" si="1"/>
        <v>798726.01487039996</v>
      </c>
      <c r="F44" s="72">
        <v>798526</v>
      </c>
    </row>
    <row r="45" spans="1:26">
      <c r="A45" s="80">
        <v>4657</v>
      </c>
      <c r="B45">
        <v>10680</v>
      </c>
      <c r="C45" s="83">
        <v>30</v>
      </c>
      <c r="D45" s="65">
        <f t="shared" si="0"/>
        <v>27682560000</v>
      </c>
      <c r="E45" s="40">
        <f t="shared" si="1"/>
        <v>635505.76166399999</v>
      </c>
      <c r="F45" s="72">
        <v>635484</v>
      </c>
    </row>
    <row r="46" spans="1:26">
      <c r="A46" s="80">
        <v>4688</v>
      </c>
      <c r="B46">
        <v>5619</v>
      </c>
      <c r="C46" s="83">
        <v>31</v>
      </c>
      <c r="D46" s="65">
        <f t="shared" si="0"/>
        <v>15049929600</v>
      </c>
      <c r="E46" s="40">
        <f t="shared" si="1"/>
        <v>345499.72883424</v>
      </c>
      <c r="F46" s="72">
        <v>345481</v>
      </c>
    </row>
    <row r="47" spans="1:26">
      <c r="A47" s="80">
        <v>4718</v>
      </c>
      <c r="B47">
        <v>10930</v>
      </c>
      <c r="C47" s="83">
        <v>30</v>
      </c>
      <c r="D47" s="65">
        <f t="shared" si="0"/>
        <v>28330560000</v>
      </c>
      <c r="E47" s="40">
        <f t="shared" si="1"/>
        <v>650381.832864</v>
      </c>
      <c r="F47" s="72">
        <v>650360</v>
      </c>
      <c r="H47">
        <f>H42*0.99</f>
        <v>9391825.8260342218</v>
      </c>
      <c r="I47">
        <f>I41*0.98</f>
        <v>46484419.380000003</v>
      </c>
    </row>
    <row r="48" spans="1:26">
      <c r="A48" s="80">
        <v>4749</v>
      </c>
      <c r="B48">
        <v>7735</v>
      </c>
      <c r="C48" s="83">
        <v>31</v>
      </c>
      <c r="D48" s="65">
        <f t="shared" si="0"/>
        <v>20717424000</v>
      </c>
      <c r="E48" s="40">
        <f t="shared" si="1"/>
        <v>475607.83102560003</v>
      </c>
      <c r="F48" s="72">
        <v>475636</v>
      </c>
      <c r="H48">
        <f>H42*1.01</f>
        <v>9581559.6811056212</v>
      </c>
      <c r="I48">
        <f>I41*1.02</f>
        <v>48381742.619999997</v>
      </c>
    </row>
    <row r="49" spans="1:6">
      <c r="A49" s="80">
        <v>4780</v>
      </c>
      <c r="B49">
        <v>9899</v>
      </c>
      <c r="C49" s="83">
        <v>31</v>
      </c>
      <c r="D49" s="65">
        <f t="shared" si="0"/>
        <v>26513481600</v>
      </c>
      <c r="E49" s="40">
        <f t="shared" si="1"/>
        <v>608667.34574303997</v>
      </c>
      <c r="F49" s="72">
        <v>608857</v>
      </c>
    </row>
    <row r="50" spans="1:6">
      <c r="A50" s="80">
        <v>4808</v>
      </c>
      <c r="B50">
        <v>11630</v>
      </c>
      <c r="C50" s="83">
        <v>28</v>
      </c>
      <c r="D50" s="65">
        <f t="shared" si="0"/>
        <v>28135296000</v>
      </c>
      <c r="E50" s="40">
        <f t="shared" si="1"/>
        <v>645899.17674240004</v>
      </c>
      <c r="F50" s="72">
        <v>646350</v>
      </c>
    </row>
    <row r="51" spans="1:6">
      <c r="A51" s="80">
        <v>4839</v>
      </c>
      <c r="B51">
        <v>16050</v>
      </c>
      <c r="C51" s="83">
        <v>31</v>
      </c>
      <c r="D51" s="65">
        <f t="shared" si="0"/>
        <v>42988320000</v>
      </c>
      <c r="E51" s="40">
        <f t="shared" si="1"/>
        <v>986878.56340800005</v>
      </c>
      <c r="F51" s="72">
        <v>987074</v>
      </c>
    </row>
    <row r="52" spans="1:6">
      <c r="A52" s="80">
        <v>4869</v>
      </c>
      <c r="B52">
        <v>18540</v>
      </c>
      <c r="C52" s="83">
        <v>30</v>
      </c>
      <c r="D52" s="65">
        <f t="shared" si="0"/>
        <v>48055680000</v>
      </c>
      <c r="E52" s="40">
        <f t="shared" si="1"/>
        <v>1103209.440192</v>
      </c>
      <c r="F52" s="72">
        <v>1103099</v>
      </c>
    </row>
    <row r="53" spans="1:6">
      <c r="A53" s="80">
        <v>4900</v>
      </c>
      <c r="B53">
        <v>16370</v>
      </c>
      <c r="C53" s="83">
        <v>31</v>
      </c>
      <c r="D53" s="65">
        <f t="shared" si="0"/>
        <v>43845408000</v>
      </c>
      <c r="E53" s="40">
        <f t="shared" si="1"/>
        <v>1006554.6469152</v>
      </c>
      <c r="F53" s="72">
        <v>1006651</v>
      </c>
    </row>
    <row r="54" spans="1:6">
      <c r="A54" s="80">
        <v>4930</v>
      </c>
      <c r="B54">
        <v>15930</v>
      </c>
      <c r="C54" s="83">
        <v>30</v>
      </c>
      <c r="D54" s="65">
        <f t="shared" si="0"/>
        <v>41290560000</v>
      </c>
      <c r="E54" s="40">
        <f t="shared" si="1"/>
        <v>947903.256864</v>
      </c>
      <c r="F54" s="72">
        <v>947681</v>
      </c>
    </row>
    <row r="55" spans="1:6">
      <c r="A55" s="80">
        <v>4961</v>
      </c>
      <c r="B55">
        <v>14070</v>
      </c>
      <c r="C55" s="83">
        <v>31</v>
      </c>
      <c r="D55" s="65">
        <f t="shared" si="0"/>
        <v>37685088000</v>
      </c>
      <c r="E55" s="40">
        <f t="shared" si="1"/>
        <v>865132.7967072</v>
      </c>
      <c r="F55" s="72">
        <v>864869</v>
      </c>
    </row>
    <row r="56" spans="1:6">
      <c r="A56" s="80">
        <v>4992</v>
      </c>
      <c r="B56">
        <v>13140</v>
      </c>
      <c r="C56" s="83">
        <v>31</v>
      </c>
      <c r="D56" s="65">
        <f t="shared" si="0"/>
        <v>35194176000</v>
      </c>
      <c r="E56" s="40">
        <f t="shared" si="1"/>
        <v>807949.1790144</v>
      </c>
      <c r="F56" s="72">
        <v>807874</v>
      </c>
    </row>
    <row r="57" spans="1:6">
      <c r="A57" s="80">
        <v>5022</v>
      </c>
      <c r="B57">
        <v>10060</v>
      </c>
      <c r="C57" s="83">
        <v>30</v>
      </c>
      <c r="D57" s="65">
        <f t="shared" si="0"/>
        <v>26075520000</v>
      </c>
      <c r="E57" s="40">
        <f t="shared" si="1"/>
        <v>598613.10508799995</v>
      </c>
      <c r="F57" s="72">
        <v>598691</v>
      </c>
    </row>
    <row r="58" spans="1:6">
      <c r="A58" s="80">
        <v>5053</v>
      </c>
      <c r="B58">
        <v>11920</v>
      </c>
      <c r="C58" s="83">
        <v>31</v>
      </c>
      <c r="D58" s="65">
        <f t="shared" si="0"/>
        <v>31926528000</v>
      </c>
      <c r="E58" s="40">
        <f t="shared" si="1"/>
        <v>732934.11064319999</v>
      </c>
      <c r="F58" s="72">
        <v>732807</v>
      </c>
    </row>
    <row r="59" spans="1:6">
      <c r="A59" s="80">
        <v>5083</v>
      </c>
      <c r="B59">
        <v>8629</v>
      </c>
      <c r="C59" s="83">
        <v>30</v>
      </c>
      <c r="D59" s="65">
        <f t="shared" si="0"/>
        <v>22366368000</v>
      </c>
      <c r="E59" s="40">
        <f t="shared" si="1"/>
        <v>513462.47353920003</v>
      </c>
      <c r="F59" s="72">
        <v>513358</v>
      </c>
    </row>
    <row r="60" spans="1:6">
      <c r="A60" s="80">
        <v>5114</v>
      </c>
      <c r="B60">
        <v>9072</v>
      </c>
      <c r="C60" s="83">
        <v>31</v>
      </c>
      <c r="D60" s="65">
        <f t="shared" si="0"/>
        <v>24298444800</v>
      </c>
      <c r="E60" s="40">
        <f t="shared" si="1"/>
        <v>557816.96742911998</v>
      </c>
      <c r="F60" s="72">
        <v>557970</v>
      </c>
    </row>
    <row r="61" spans="1:6">
      <c r="A61" s="80">
        <v>5145</v>
      </c>
      <c r="B61">
        <v>9850</v>
      </c>
      <c r="C61" s="83">
        <v>31</v>
      </c>
      <c r="D61" s="65">
        <f t="shared" si="0"/>
        <v>26382240000</v>
      </c>
      <c r="E61" s="40">
        <f t="shared" si="1"/>
        <v>605654.44545600004</v>
      </c>
      <c r="F61" s="72">
        <v>605470</v>
      </c>
    </row>
    <row r="62" spans="1:6">
      <c r="A62" s="80">
        <v>5173</v>
      </c>
      <c r="B62">
        <v>12910</v>
      </c>
      <c r="C62" s="83">
        <v>28</v>
      </c>
      <c r="D62" s="65">
        <f t="shared" si="0"/>
        <v>31231872000</v>
      </c>
      <c r="E62" s="40">
        <f t="shared" si="1"/>
        <v>716986.96231680003</v>
      </c>
      <c r="F62" s="72">
        <v>717087</v>
      </c>
    </row>
    <row r="63" spans="1:6">
      <c r="A63" s="80">
        <v>5204</v>
      </c>
      <c r="B63">
        <v>17720</v>
      </c>
      <c r="C63" s="83">
        <v>31</v>
      </c>
      <c r="D63" s="65">
        <f t="shared" si="0"/>
        <v>47461248000</v>
      </c>
      <c r="E63" s="40">
        <f t="shared" si="1"/>
        <v>1089563.1242112</v>
      </c>
      <c r="F63" s="72">
        <v>1089771</v>
      </c>
    </row>
    <row r="64" spans="1:6">
      <c r="A64" s="80">
        <v>5234</v>
      </c>
      <c r="B64">
        <v>19060</v>
      </c>
      <c r="C64" s="83">
        <v>30</v>
      </c>
      <c r="D64" s="65">
        <f t="shared" si="0"/>
        <v>49403520000</v>
      </c>
      <c r="E64" s="40">
        <f t="shared" si="1"/>
        <v>1134151.6682879999</v>
      </c>
      <c r="F64" s="72">
        <v>1133734</v>
      </c>
    </row>
    <row r="65" spans="1:6">
      <c r="A65" s="80">
        <v>5265</v>
      </c>
      <c r="B65">
        <v>17650</v>
      </c>
      <c r="C65" s="83">
        <v>31</v>
      </c>
      <c r="D65" s="65">
        <f t="shared" si="0"/>
        <v>47273760000</v>
      </c>
      <c r="E65" s="40">
        <f t="shared" si="1"/>
        <v>1085258.980944</v>
      </c>
      <c r="F65" s="72">
        <v>1085576</v>
      </c>
    </row>
    <row r="66" spans="1:6">
      <c r="A66" s="80">
        <v>5295</v>
      </c>
      <c r="B66">
        <v>16120</v>
      </c>
      <c r="C66" s="83">
        <v>30</v>
      </c>
      <c r="D66" s="65">
        <f t="shared" si="0"/>
        <v>41783040000</v>
      </c>
      <c r="E66" s="40">
        <f t="shared" si="1"/>
        <v>959209.07097600005</v>
      </c>
      <c r="F66" s="72">
        <v>959403</v>
      </c>
    </row>
    <row r="67" spans="1:6">
      <c r="A67" s="80">
        <v>5326</v>
      </c>
      <c r="B67">
        <v>15320</v>
      </c>
      <c r="C67" s="83">
        <v>31</v>
      </c>
      <c r="D67" s="65">
        <f t="shared" si="0"/>
        <v>41033088000</v>
      </c>
      <c r="E67" s="40">
        <f t="shared" si="1"/>
        <v>941992.49790720001</v>
      </c>
      <c r="F67" s="72">
        <v>942819</v>
      </c>
    </row>
    <row r="68" spans="1:6">
      <c r="A68" s="80">
        <v>5357</v>
      </c>
      <c r="B68">
        <v>11960</v>
      </c>
      <c r="C68" s="83">
        <v>31</v>
      </c>
      <c r="D68" s="65">
        <f t="shared" si="0"/>
        <v>32033664000</v>
      </c>
      <c r="E68" s="40">
        <f t="shared" si="1"/>
        <v>735393.62108159997</v>
      </c>
      <c r="F68" s="72">
        <v>735220</v>
      </c>
    </row>
    <row r="69" spans="1:6">
      <c r="A69" s="80">
        <v>5387</v>
      </c>
      <c r="B69">
        <v>11530</v>
      </c>
      <c r="C69" s="83">
        <v>30</v>
      </c>
      <c r="D69" s="65">
        <f t="shared" si="0"/>
        <v>29885760000</v>
      </c>
      <c r="E69" s="40">
        <f t="shared" si="1"/>
        <v>686084.40374400001</v>
      </c>
      <c r="F69" s="72">
        <v>685769</v>
      </c>
    </row>
    <row r="70" spans="1:6">
      <c r="A70" s="80">
        <v>5418</v>
      </c>
      <c r="B70">
        <v>7672</v>
      </c>
      <c r="C70" s="83">
        <v>31</v>
      </c>
      <c r="D70" s="65">
        <f t="shared" si="0"/>
        <v>20548684800</v>
      </c>
      <c r="E70" s="40">
        <f t="shared" si="1"/>
        <v>471734.10208511999</v>
      </c>
      <c r="F70" s="72">
        <v>471828</v>
      </c>
    </row>
    <row r="71" spans="1:6">
      <c r="A71" s="80">
        <v>5448</v>
      </c>
      <c r="B71">
        <v>11680</v>
      </c>
      <c r="C71" s="83">
        <v>30</v>
      </c>
      <c r="D71" s="65">
        <f t="shared" si="0"/>
        <v>30274560000</v>
      </c>
      <c r="E71" s="40">
        <f t="shared" si="1"/>
        <v>695010.04646400001</v>
      </c>
      <c r="F71" s="72">
        <v>695041</v>
      </c>
    </row>
    <row r="72" spans="1:6">
      <c r="A72" s="80">
        <v>5479</v>
      </c>
      <c r="B72">
        <v>8019</v>
      </c>
      <c r="C72" s="83">
        <v>31</v>
      </c>
      <c r="D72" s="65">
        <f t="shared" si="0"/>
        <v>21478089600</v>
      </c>
      <c r="E72" s="40">
        <f t="shared" si="1"/>
        <v>493070.35513824003</v>
      </c>
      <c r="F72" s="72">
        <v>493122</v>
      </c>
    </row>
    <row r="73" spans="1:6">
      <c r="A73" s="80">
        <v>5510</v>
      </c>
      <c r="B73">
        <v>13540</v>
      </c>
      <c r="C73" s="83">
        <v>31</v>
      </c>
      <c r="D73" s="65">
        <f t="shared" si="0"/>
        <v>36265536000</v>
      </c>
      <c r="E73" s="40">
        <f t="shared" si="1"/>
        <v>832544.28339840006</v>
      </c>
      <c r="F73" s="72">
        <v>832489</v>
      </c>
    </row>
    <row r="74" spans="1:6">
      <c r="A74" s="80">
        <v>5538</v>
      </c>
      <c r="B74">
        <v>10800</v>
      </c>
      <c r="C74" s="83">
        <v>28</v>
      </c>
      <c r="D74" s="65">
        <f t="shared" si="0"/>
        <v>26127360000</v>
      </c>
      <c r="E74" s="40">
        <f t="shared" si="1"/>
        <v>599803.19078399998</v>
      </c>
      <c r="F74" s="72">
        <v>600170</v>
      </c>
    </row>
    <row r="75" spans="1:6">
      <c r="A75" s="80">
        <v>5569</v>
      </c>
      <c r="B75">
        <v>16810</v>
      </c>
      <c r="C75" s="83">
        <v>31</v>
      </c>
      <c r="D75" s="65">
        <f t="shared" si="0"/>
        <v>45023904000</v>
      </c>
      <c r="E75" s="40">
        <f t="shared" si="1"/>
        <v>1033609.2617376</v>
      </c>
      <c r="F75" s="72">
        <v>1033989</v>
      </c>
    </row>
    <row r="76" spans="1:6">
      <c r="A76" s="80">
        <v>5599</v>
      </c>
      <c r="B76">
        <v>18270</v>
      </c>
      <c r="C76" s="83">
        <v>30</v>
      </c>
      <c r="D76" s="65">
        <f t="shared" si="0"/>
        <v>47355840000</v>
      </c>
      <c r="E76" s="40">
        <f t="shared" si="1"/>
        <v>1087143.283296</v>
      </c>
      <c r="F76" s="72">
        <v>1087135</v>
      </c>
    </row>
    <row r="77" spans="1:6">
      <c r="A77" s="80">
        <v>5630</v>
      </c>
      <c r="B77">
        <v>14130</v>
      </c>
      <c r="C77" s="83">
        <v>31</v>
      </c>
      <c r="D77" s="65">
        <f t="shared" si="0"/>
        <v>37845792000</v>
      </c>
      <c r="E77" s="40">
        <f t="shared" si="1"/>
        <v>868822.06236480002</v>
      </c>
      <c r="F77" s="72">
        <v>870891</v>
      </c>
    </row>
    <row r="78" spans="1:6">
      <c r="A78" s="80">
        <v>5660</v>
      </c>
      <c r="B78">
        <v>14590</v>
      </c>
      <c r="C78" s="83">
        <v>30</v>
      </c>
      <c r="D78" s="65">
        <f t="shared" ref="D78:D84" si="3">B78*C78*86400</f>
        <v>37817280000</v>
      </c>
      <c r="E78" s="40">
        <f t="shared" ref="E78:E84" si="4">D78*0.0000229569</f>
        <v>868167.51523200003</v>
      </c>
      <c r="F78" s="72">
        <v>868221</v>
      </c>
    </row>
    <row r="79" spans="1:6">
      <c r="A79" s="80">
        <v>5691</v>
      </c>
      <c r="B79">
        <v>12480</v>
      </c>
      <c r="C79" s="83">
        <v>31</v>
      </c>
      <c r="D79" s="65">
        <f t="shared" si="3"/>
        <v>33426432000</v>
      </c>
      <c r="E79" s="40">
        <f t="shared" si="4"/>
        <v>767367.25678080006</v>
      </c>
      <c r="F79" s="72">
        <v>767351</v>
      </c>
    </row>
    <row r="80" spans="1:6">
      <c r="A80" s="80">
        <v>5722</v>
      </c>
      <c r="B80">
        <v>13050</v>
      </c>
      <c r="C80" s="83">
        <v>31</v>
      </c>
      <c r="D80" s="65">
        <f t="shared" si="3"/>
        <v>34953120000</v>
      </c>
      <c r="E80" s="40">
        <f t="shared" si="4"/>
        <v>802415.28052799997</v>
      </c>
      <c r="F80" s="72">
        <v>802766</v>
      </c>
    </row>
    <row r="81" spans="1:6">
      <c r="A81" s="80">
        <v>5752</v>
      </c>
      <c r="B81">
        <v>12150</v>
      </c>
      <c r="C81" s="83">
        <v>30</v>
      </c>
      <c r="D81" s="65">
        <f t="shared" si="3"/>
        <v>31492800000</v>
      </c>
      <c r="E81" s="40">
        <f t="shared" si="4"/>
        <v>722977.06032000005</v>
      </c>
      <c r="F81" s="72">
        <v>722908</v>
      </c>
    </row>
    <row r="82" spans="1:6">
      <c r="A82" s="80">
        <v>5783</v>
      </c>
      <c r="B82">
        <v>9405</v>
      </c>
      <c r="C82" s="83">
        <v>31</v>
      </c>
      <c r="D82" s="65">
        <f t="shared" si="3"/>
        <v>25190352000</v>
      </c>
      <c r="E82" s="40">
        <f t="shared" si="4"/>
        <v>578292.39182879997</v>
      </c>
      <c r="F82" s="72">
        <v>578179</v>
      </c>
    </row>
    <row r="83" spans="1:6">
      <c r="A83" s="80">
        <v>5813</v>
      </c>
      <c r="B83">
        <v>10610</v>
      </c>
      <c r="C83" s="83">
        <v>30</v>
      </c>
      <c r="D83" s="65">
        <f t="shared" si="3"/>
        <v>27501120000</v>
      </c>
      <c r="E83" s="40">
        <f t="shared" si="4"/>
        <v>631340.46172799997</v>
      </c>
      <c r="F83" s="72">
        <v>630956</v>
      </c>
    </row>
    <row r="84" spans="1:6">
      <c r="A84" s="80">
        <v>5844</v>
      </c>
      <c r="B84">
        <v>10070</v>
      </c>
      <c r="C84" s="83">
        <v>31</v>
      </c>
      <c r="D84" s="65">
        <f t="shared" si="3"/>
        <v>26971488000</v>
      </c>
      <c r="E84" s="40">
        <f t="shared" si="4"/>
        <v>619181.75286720006</v>
      </c>
      <c r="F84" s="72">
        <v>618945</v>
      </c>
    </row>
  </sheetData>
  <hyperlinks>
    <hyperlink ref="A2" r:id="rId1" display="https://waterdata.usgs.gov/nwis/monthly/?referred_module=sw&amp;amp;site_no=09421500&amp;amp;por_09421500_102357=172091,00060,102357,1934-04,2017-09&amp;amp;format=html_table&amp;amp;date_format=YYYY-MM-DD&amp;amp;rdb_compression=file&amp;amp;submitted_form=parameter_selection_list" xr:uid="{50AC2CED-DF1D-4B6C-B557-3B740571966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94939-9FEF-43CA-B851-121294AED3AD}">
  <dimension ref="A1:AH707"/>
  <sheetViews>
    <sheetView workbookViewId="0">
      <pane xSplit="2" ySplit="3" topLeftCell="S7" activePane="bottomRight" state="frozen"/>
      <selection pane="topRight" activeCell="D1" sqref="D1"/>
      <selection pane="bottomLeft" activeCell="A5" sqref="A5"/>
      <selection pane="bottomRight" activeCell="AB17" sqref="AB17"/>
    </sheetView>
  </sheetViews>
  <sheetFormatPr defaultColWidth="8.81640625" defaultRowHeight="14.5"/>
  <cols>
    <col min="1" max="1" width="6.453125" style="1" bestFit="1" customWidth="1"/>
    <col min="2" max="2" width="10.81640625" style="83" bestFit="1" customWidth="1"/>
    <col min="3" max="3" width="22.36328125" style="1" bestFit="1" customWidth="1"/>
    <col min="4" max="4" width="16.453125" style="1" bestFit="1" customWidth="1"/>
    <col min="5" max="5" width="10.453125" style="1" bestFit="1" customWidth="1"/>
    <col min="6" max="6" width="12.453125" style="1" bestFit="1" customWidth="1"/>
    <col min="7" max="7" width="24" style="1" customWidth="1"/>
    <col min="8" max="8" width="20.08984375" style="1" bestFit="1" customWidth="1"/>
    <col min="9" max="9" width="20" style="1" bestFit="1" customWidth="1"/>
    <col min="10" max="11" width="20" style="1" customWidth="1"/>
    <col min="12" max="13" width="15.453125" bestFit="1" customWidth="1"/>
    <col min="14" max="14" width="15.453125" customWidth="1"/>
    <col min="15" max="15" width="10.08984375" bestFit="1" customWidth="1"/>
    <col min="19" max="19" width="14.81640625" customWidth="1"/>
    <col min="20" max="20" width="13" customWidth="1"/>
    <col min="21" max="21" width="11.08984375" customWidth="1"/>
    <col min="22" max="23" width="12.08984375" customWidth="1"/>
    <col min="24" max="24" width="15.1796875" customWidth="1"/>
    <col min="25" max="25" width="19.08984375" customWidth="1"/>
    <col min="26" max="26" width="27.453125" customWidth="1"/>
    <col min="29" max="29" width="27.81640625" bestFit="1" customWidth="1"/>
    <col min="30" max="30" width="10" bestFit="1" customWidth="1"/>
    <col min="33" max="33" width="14" bestFit="1" customWidth="1"/>
    <col min="34" max="34" width="16.453125" bestFit="1" customWidth="1"/>
  </cols>
  <sheetData>
    <row r="1" spans="1:34" ht="28.25" customHeight="1">
      <c r="B1" s="173"/>
      <c r="C1" s="1" t="s">
        <v>378</v>
      </c>
      <c r="K1" s="203" t="s">
        <v>379</v>
      </c>
      <c r="Y1" s="226" t="s">
        <v>444</v>
      </c>
      <c r="Z1" s="226"/>
    </row>
    <row r="2" spans="1:34" ht="38.4" customHeight="1">
      <c r="C2" s="1" t="s">
        <v>380</v>
      </c>
      <c r="D2" s="1" t="s">
        <v>381</v>
      </c>
      <c r="E2" s="1" t="s">
        <v>382</v>
      </c>
      <c r="F2" s="1" t="s">
        <v>383</v>
      </c>
      <c r="G2" s="1" t="s">
        <v>384</v>
      </c>
      <c r="H2" s="1" t="s">
        <v>385</v>
      </c>
      <c r="I2" s="1" t="s">
        <v>386</v>
      </c>
      <c r="J2" s="1" t="s">
        <v>387</v>
      </c>
      <c r="K2" s="182" t="s">
        <v>388</v>
      </c>
      <c r="L2" s="1" t="s">
        <v>389</v>
      </c>
      <c r="M2" s="1" t="s">
        <v>390</v>
      </c>
      <c r="N2" s="1" t="s">
        <v>415</v>
      </c>
      <c r="O2" s="1" t="s">
        <v>391</v>
      </c>
      <c r="S2" s="224" t="s">
        <v>392</v>
      </c>
      <c r="T2" s="224"/>
      <c r="U2" s="224"/>
      <c r="V2" s="224"/>
      <c r="W2" s="73"/>
      <c r="X2" s="73"/>
      <c r="Y2" s="226"/>
      <c r="Z2" s="226"/>
    </row>
    <row r="3" spans="1:34">
      <c r="A3" s="1" t="s">
        <v>61</v>
      </c>
      <c r="B3" s="83" t="s">
        <v>60</v>
      </c>
      <c r="C3" s="1" t="s">
        <v>393</v>
      </c>
      <c r="D3" s="1" t="s">
        <v>394</v>
      </c>
      <c r="E3" s="1" t="s">
        <v>395</v>
      </c>
      <c r="F3" s="1" t="s">
        <v>395</v>
      </c>
      <c r="G3" s="1" t="s">
        <v>396</v>
      </c>
      <c r="H3" s="1" t="s">
        <v>397</v>
      </c>
      <c r="I3" s="1" t="s">
        <v>398</v>
      </c>
      <c r="J3" s="1" t="s">
        <v>398</v>
      </c>
      <c r="K3" s="1" t="s">
        <v>397</v>
      </c>
      <c r="L3" s="1" t="s">
        <v>398</v>
      </c>
      <c r="M3" s="1" t="s">
        <v>398</v>
      </c>
      <c r="N3" s="1" t="s">
        <v>398</v>
      </c>
      <c r="O3" s="1" t="s">
        <v>398</v>
      </c>
      <c r="S3" s="216" t="s">
        <v>399</v>
      </c>
      <c r="T3" s="216"/>
      <c r="U3" s="216" t="s">
        <v>400</v>
      </c>
      <c r="V3" s="216"/>
      <c r="W3" s="225" t="s">
        <v>401</v>
      </c>
      <c r="X3" s="225"/>
      <c r="Y3" s="216" t="s">
        <v>402</v>
      </c>
      <c r="Z3" s="216"/>
      <c r="AC3" s="174" t="s">
        <v>403</v>
      </c>
      <c r="AD3" s="1"/>
      <c r="AG3" s="174" t="s">
        <v>404</v>
      </c>
    </row>
    <row r="4" spans="1:34">
      <c r="A4" s="1" t="s">
        <v>210</v>
      </c>
      <c r="B4" s="83">
        <v>2015</v>
      </c>
      <c r="C4" s="1">
        <v>3593.57</v>
      </c>
      <c r="D4" s="78">
        <f t="shared" ref="D4:D35" ca="1" si="0">FORECAST(C4,OFFSET($AH$5:$AH$690,MATCH(C4,$AG$5:$AG$690,1)-1,0,2), OFFSET($AG$5:$AG$690,MATCH(C4,$AG$5:$AG$690,1)-1,0,2))</f>
        <v>11146790.714979053</v>
      </c>
      <c r="E4" s="187">
        <f t="shared" ref="E4:E35" ca="1" si="1">FORECAST(C4,OFFSET($AD$5:$AD$690,MATCH(C4,$AC$5:$AC$690,1)-1,0,2), OFFSET($AC$5:$AC$690,MATCH(C4,$AC$5:$AC$690,1)-1,0,2))</f>
        <v>92262.019999985816</v>
      </c>
      <c r="F4" s="187">
        <f ca="1">(E531+E4)/2</f>
        <v>46131.009999992908</v>
      </c>
      <c r="G4" s="1">
        <v>1.41</v>
      </c>
      <c r="H4" s="86">
        <f t="shared" ref="H4:H66" si="2">G4/12</f>
        <v>0.11749999999999999</v>
      </c>
      <c r="I4" s="65">
        <f ca="1">H4*F4</f>
        <v>5420.3936749991663</v>
      </c>
      <c r="J4" s="78">
        <f ca="1">D4-D531</f>
        <v>11146790.714979053</v>
      </c>
      <c r="K4" s="79">
        <f t="shared" ref="K4:K35" ca="1" si="3">0.08*J4</f>
        <v>891743.25719832419</v>
      </c>
      <c r="L4" s="83">
        <f t="shared" ref="L4:L35" ca="1" si="4">VLOOKUP(A4,$S$4:$T$15,2,FALSE)*F4</f>
        <v>17068.473699997376</v>
      </c>
      <c r="M4" s="83">
        <f t="shared" ref="M4:M35" ca="1" si="5">VLOOKUP(A4,$U$4:$V$15,2,FALSE)*F4</f>
        <v>7380.9615999988655</v>
      </c>
      <c r="N4" s="83">
        <f t="shared" ref="N4:N35" ca="1" si="6">VLOOKUP(A4,$W$4:$X$15,2,FALSE)*F4</f>
        <v>11071.442399998297</v>
      </c>
      <c r="O4" s="83">
        <f t="shared" ref="O4:O35" ca="1" si="7">VLOOKUP(A4,$Y$4:$Z$15,2,FALSE)*F4</f>
        <v>9133.9399799985968</v>
      </c>
      <c r="S4" s="1" t="s">
        <v>210</v>
      </c>
      <c r="T4" s="1">
        <v>0.37</v>
      </c>
      <c r="U4" s="1" t="s">
        <v>210</v>
      </c>
      <c r="V4" s="1">
        <v>0.16</v>
      </c>
      <c r="W4" s="1" t="s">
        <v>210</v>
      </c>
      <c r="X4" s="1">
        <v>0.24</v>
      </c>
      <c r="Y4" s="1" t="s">
        <v>210</v>
      </c>
      <c r="Z4" s="1">
        <v>0.19800000000000001</v>
      </c>
      <c r="AC4" s="1" t="s">
        <v>405</v>
      </c>
      <c r="AD4" s="1" t="s">
        <v>406</v>
      </c>
      <c r="AG4" s="1" t="s">
        <v>405</v>
      </c>
      <c r="AH4" s="1" t="s">
        <v>407</v>
      </c>
    </row>
    <row r="5" spans="1:34">
      <c r="A5" s="1" t="s">
        <v>211</v>
      </c>
      <c r="B5" s="83">
        <v>2015</v>
      </c>
      <c r="C5" s="1">
        <v>3592.23</v>
      </c>
      <c r="D5" s="78">
        <f t="shared" ca="1" si="0"/>
        <v>11023603.715019524</v>
      </c>
      <c r="E5" s="187">
        <f t="shared" ca="1" si="1"/>
        <v>91610.779999996535</v>
      </c>
      <c r="F5" s="187">
        <f t="shared" ref="F5:F36" ca="1" si="8">(E4+E5)/2</f>
        <v>91936.399999991176</v>
      </c>
      <c r="G5" s="1">
        <v>0.57999999999999996</v>
      </c>
      <c r="H5" s="86">
        <f t="shared" si="2"/>
        <v>4.8333333333333332E-2</v>
      </c>
      <c r="I5" s="65">
        <f t="shared" ref="I5:I66" ca="1" si="9">H5*F5</f>
        <v>4443.5926666662399</v>
      </c>
      <c r="J5" s="78">
        <f t="shared" ref="J5:J36" ca="1" si="10">D5-D4</f>
        <v>-123186.99995952845</v>
      </c>
      <c r="K5" s="79">
        <f t="shared" ca="1" si="3"/>
        <v>-9854.9599967622762</v>
      </c>
      <c r="L5" s="83">
        <f t="shared" ca="1" si="4"/>
        <v>24822.827999997618</v>
      </c>
      <c r="M5" s="83">
        <f t="shared" ca="1" si="5"/>
        <v>6435.5479999993831</v>
      </c>
      <c r="N5" s="83">
        <f t="shared" ca="1" si="6"/>
        <v>17467.915999998324</v>
      </c>
      <c r="O5" s="83">
        <f t="shared" ca="1" si="7"/>
        <v>17100.170399998358</v>
      </c>
      <c r="S5" s="1" t="s">
        <v>211</v>
      </c>
      <c r="T5" s="1">
        <v>0.27</v>
      </c>
      <c r="U5" s="1" t="s">
        <v>211</v>
      </c>
      <c r="V5" s="1">
        <v>7.0000000000000007E-2</v>
      </c>
      <c r="W5" s="1" t="s">
        <v>211</v>
      </c>
      <c r="X5" s="1">
        <v>0.19</v>
      </c>
      <c r="Y5" s="1" t="s">
        <v>211</v>
      </c>
      <c r="Z5" s="1">
        <v>0.186</v>
      </c>
      <c r="AC5" s="1">
        <v>3370</v>
      </c>
      <c r="AD5" s="1">
        <v>20303.0000000031</v>
      </c>
      <c r="AG5">
        <v>3370</v>
      </c>
      <c r="AH5">
        <v>0</v>
      </c>
    </row>
    <row r="6" spans="1:34">
      <c r="A6" s="1" t="s">
        <v>50</v>
      </c>
      <c r="B6" s="83">
        <v>2015</v>
      </c>
      <c r="C6" s="1">
        <v>3591.02</v>
      </c>
      <c r="D6" s="78">
        <f t="shared" ca="1" si="0"/>
        <v>10913097.690009058</v>
      </c>
      <c r="E6" s="187">
        <f t="shared" ca="1" si="1"/>
        <v>91022.72000003024</v>
      </c>
      <c r="F6" s="187">
        <f t="shared" ca="1" si="8"/>
        <v>91316.750000013388</v>
      </c>
      <c r="G6" s="1">
        <v>1.05</v>
      </c>
      <c r="H6" s="86">
        <f t="shared" si="2"/>
        <v>8.7500000000000008E-2</v>
      </c>
      <c r="I6" s="65">
        <f t="shared" ca="1" si="9"/>
        <v>7990.2156250011722</v>
      </c>
      <c r="J6" s="78">
        <f t="shared" ca="1" si="10"/>
        <v>-110506.02501046658</v>
      </c>
      <c r="K6" s="79">
        <f t="shared" ca="1" si="3"/>
        <v>-8840.4820008373263</v>
      </c>
      <c r="L6" s="83">
        <f t="shared" ca="1" si="4"/>
        <v>37439.867500005486</v>
      </c>
      <c r="M6" s="83">
        <f t="shared" ca="1" si="5"/>
        <v>21002.852500003079</v>
      </c>
      <c r="N6" s="83">
        <f t="shared" ca="1" si="6"/>
        <v>26481.85750000388</v>
      </c>
      <c r="O6" s="83">
        <f t="shared" ca="1" si="7"/>
        <v>21276.80275000312</v>
      </c>
      <c r="S6" s="1" t="s">
        <v>50</v>
      </c>
      <c r="T6" s="1">
        <v>0.41</v>
      </c>
      <c r="U6" s="1" t="s">
        <v>50</v>
      </c>
      <c r="V6" s="1">
        <v>0.23</v>
      </c>
      <c r="W6" s="1" t="s">
        <v>50</v>
      </c>
      <c r="X6" s="1">
        <v>0.28999999999999998</v>
      </c>
      <c r="Y6" s="1" t="s">
        <v>50</v>
      </c>
      <c r="Z6" s="1">
        <v>0.23300000000000001</v>
      </c>
      <c r="AC6" s="1">
        <v>3370.5</v>
      </c>
      <c r="AD6" s="1">
        <v>20392.950000004399</v>
      </c>
      <c r="AG6">
        <v>3370.5</v>
      </c>
      <c r="AH6">
        <v>10173.990000008</v>
      </c>
    </row>
    <row r="7" spans="1:34">
      <c r="A7" s="1" t="s">
        <v>212</v>
      </c>
      <c r="B7" s="83">
        <v>2015</v>
      </c>
      <c r="C7" s="1">
        <v>3590.18</v>
      </c>
      <c r="D7" s="78">
        <f t="shared" ca="1" si="0"/>
        <v>10836821.730013549</v>
      </c>
      <c r="E7" s="187">
        <f t="shared" ca="1" si="1"/>
        <v>90614.480000040261</v>
      </c>
      <c r="F7" s="187">
        <f t="shared" ca="1" si="8"/>
        <v>90818.600000035251</v>
      </c>
      <c r="G7" s="1">
        <v>0.71</v>
      </c>
      <c r="H7" s="86">
        <f t="shared" si="2"/>
        <v>5.9166666666666666E-2</v>
      </c>
      <c r="I7" s="65">
        <f t="shared" ca="1" si="9"/>
        <v>5373.433833335419</v>
      </c>
      <c r="J7" s="78">
        <f t="shared" ca="1" si="10"/>
        <v>-76275.959995508194</v>
      </c>
      <c r="K7" s="79">
        <f t="shared" ca="1" si="3"/>
        <v>-6102.0767996406557</v>
      </c>
      <c r="L7" s="83">
        <f t="shared" ca="1" si="4"/>
        <v>47225.672000018334</v>
      </c>
      <c r="M7" s="83">
        <f t="shared" ca="1" si="5"/>
        <v>29970.138000011633</v>
      </c>
      <c r="N7" s="83">
        <f t="shared" ca="1" si="6"/>
        <v>34511.068000013394</v>
      </c>
      <c r="O7" s="83">
        <f t="shared" ca="1" si="7"/>
        <v>24066.929000009342</v>
      </c>
      <c r="S7" s="1" t="s">
        <v>212</v>
      </c>
      <c r="T7" s="1">
        <v>0.52</v>
      </c>
      <c r="U7" s="1" t="s">
        <v>212</v>
      </c>
      <c r="V7" s="1">
        <v>0.33</v>
      </c>
      <c r="W7" s="1" t="s">
        <v>212</v>
      </c>
      <c r="X7" s="1">
        <v>0.38</v>
      </c>
      <c r="Y7" s="1" t="s">
        <v>212</v>
      </c>
      <c r="Z7" s="1">
        <v>0.26500000000000001</v>
      </c>
      <c r="AC7" s="1">
        <v>3371</v>
      </c>
      <c r="AD7" s="1">
        <v>20482.900000005699</v>
      </c>
      <c r="AG7">
        <v>3371</v>
      </c>
      <c r="AH7">
        <v>20392.949999988101</v>
      </c>
    </row>
    <row r="8" spans="1:34">
      <c r="A8" s="1" t="s">
        <v>52</v>
      </c>
      <c r="B8" s="83">
        <v>2015</v>
      </c>
      <c r="C8" s="1">
        <v>3597.27</v>
      </c>
      <c r="D8" s="78">
        <f t="shared" ca="1" si="0"/>
        <v>11491494.635020077</v>
      </c>
      <c r="E8" s="187">
        <f t="shared" ca="1" si="1"/>
        <v>94060.220000010449</v>
      </c>
      <c r="F8" s="187">
        <f t="shared" ca="1" si="8"/>
        <v>92337.350000025355</v>
      </c>
      <c r="G8" s="1">
        <v>1.52</v>
      </c>
      <c r="H8" s="86">
        <f t="shared" si="2"/>
        <v>0.12666666666666668</v>
      </c>
      <c r="I8" s="65">
        <f t="shared" ca="1" si="9"/>
        <v>11696.064333336546</v>
      </c>
      <c r="J8" s="78">
        <f t="shared" ca="1" si="10"/>
        <v>654672.9050065279</v>
      </c>
      <c r="K8" s="79">
        <f t="shared" ca="1" si="3"/>
        <v>52373.832400522231</v>
      </c>
      <c r="L8" s="83">
        <f t="shared" ca="1" si="4"/>
        <v>60019.277500016484</v>
      </c>
      <c r="M8" s="83">
        <f t="shared" ca="1" si="5"/>
        <v>35088.193000009633</v>
      </c>
      <c r="N8" s="83">
        <f t="shared" ca="1" si="6"/>
        <v>46168.675000012678</v>
      </c>
      <c r="O8" s="83">
        <f t="shared" ca="1" si="7"/>
        <v>33149.108650009104</v>
      </c>
      <c r="S8" s="1" t="s">
        <v>52</v>
      </c>
      <c r="T8" s="1">
        <v>0.65</v>
      </c>
      <c r="U8" s="1" t="s">
        <v>52</v>
      </c>
      <c r="V8" s="1">
        <v>0.38</v>
      </c>
      <c r="W8" s="1" t="s">
        <v>52</v>
      </c>
      <c r="X8" s="1">
        <v>0.5</v>
      </c>
      <c r="Y8" s="1" t="s">
        <v>52</v>
      </c>
      <c r="Z8" s="1">
        <v>0.35899999999999999</v>
      </c>
      <c r="AC8" s="1">
        <v>3371.5</v>
      </c>
      <c r="AD8" s="1">
        <v>20572.8500000069</v>
      </c>
      <c r="AG8">
        <v>3371.5</v>
      </c>
      <c r="AH8">
        <v>30656.8900000063</v>
      </c>
    </row>
    <row r="9" spans="1:34">
      <c r="A9" s="1" t="s">
        <v>53</v>
      </c>
      <c r="B9" s="83">
        <v>2015</v>
      </c>
      <c r="C9" s="1">
        <v>3613.54</v>
      </c>
      <c r="D9" s="78">
        <f t="shared" ca="1" si="0"/>
        <v>13089936.874785841</v>
      </c>
      <c r="E9" s="187">
        <f t="shared" ca="1" si="1"/>
        <v>102523.93400004576</v>
      </c>
      <c r="F9" s="187">
        <f t="shared" ca="1" si="8"/>
        <v>98292.077000028105</v>
      </c>
      <c r="G9" s="1">
        <v>2.31</v>
      </c>
      <c r="H9" s="86">
        <f t="shared" si="2"/>
        <v>0.1925</v>
      </c>
      <c r="I9" s="65">
        <f t="shared" ca="1" si="9"/>
        <v>18921.22482250541</v>
      </c>
      <c r="J9" s="78">
        <f t="shared" ca="1" si="10"/>
        <v>1598442.2397657633</v>
      </c>
      <c r="K9" s="79">
        <f t="shared" ca="1" si="3"/>
        <v>127875.37918126107</v>
      </c>
      <c r="L9" s="83">
        <f t="shared" ca="1" si="4"/>
        <v>81582.423910023324</v>
      </c>
      <c r="M9" s="83">
        <f t="shared" ca="1" si="5"/>
        <v>52094.800810014895</v>
      </c>
      <c r="N9" s="83">
        <f t="shared" ca="1" si="6"/>
        <v>61924.008510017709</v>
      </c>
      <c r="O9" s="83">
        <f t="shared" ca="1" si="7"/>
        <v>40398.043647011546</v>
      </c>
      <c r="S9" s="1" t="s">
        <v>53</v>
      </c>
      <c r="T9" s="1">
        <v>0.83</v>
      </c>
      <c r="U9" s="1" t="s">
        <v>53</v>
      </c>
      <c r="V9" s="1">
        <v>0.53</v>
      </c>
      <c r="W9" s="1" t="s">
        <v>53</v>
      </c>
      <c r="X9" s="1">
        <v>0.63</v>
      </c>
      <c r="Y9" s="1" t="s">
        <v>53</v>
      </c>
      <c r="Z9" s="1">
        <v>0.41099999999999998</v>
      </c>
      <c r="AC9" s="1">
        <v>3372</v>
      </c>
      <c r="AD9" s="1">
        <v>20662.800000008199</v>
      </c>
      <c r="AG9">
        <v>3372</v>
      </c>
      <c r="AH9">
        <v>40965.799999996598</v>
      </c>
    </row>
    <row r="10" spans="1:34">
      <c r="A10" s="1" t="s">
        <v>54</v>
      </c>
      <c r="B10" s="83">
        <v>2015</v>
      </c>
      <c r="C10" s="1">
        <v>3612.62</v>
      </c>
      <c r="D10" s="78">
        <f t="shared" ca="1" si="0"/>
        <v>12995845.092409313</v>
      </c>
      <c r="E10" s="187">
        <f t="shared" ca="1" si="1"/>
        <v>102039.00200010161</v>
      </c>
      <c r="F10" s="187">
        <f t="shared" ca="1" si="8"/>
        <v>102281.46800007368</v>
      </c>
      <c r="G10" s="1">
        <v>2.06</v>
      </c>
      <c r="H10" s="86">
        <f t="shared" si="2"/>
        <v>0.17166666666666666</v>
      </c>
      <c r="I10" s="65">
        <f t="shared" ca="1" si="9"/>
        <v>17558.318673345981</v>
      </c>
      <c r="J10" s="78">
        <f t="shared" ca="1" si="10"/>
        <v>-94091.782376527786</v>
      </c>
      <c r="K10" s="79">
        <f t="shared" ca="1" si="3"/>
        <v>-7527.3425901222226</v>
      </c>
      <c r="L10" s="83">
        <f t="shared" ca="1" si="4"/>
        <v>102281.46800007368</v>
      </c>
      <c r="M10" s="83">
        <f t="shared" ca="1" si="5"/>
        <v>54209.178040039056</v>
      </c>
      <c r="N10" s="83">
        <f t="shared" ca="1" si="6"/>
        <v>71597.027600051573</v>
      </c>
      <c r="O10" s="83">
        <f t="shared" ca="1" si="7"/>
        <v>47663.16408803434</v>
      </c>
      <c r="S10" s="1" t="s">
        <v>54</v>
      </c>
      <c r="T10" s="1">
        <v>1</v>
      </c>
      <c r="U10" s="1" t="s">
        <v>54</v>
      </c>
      <c r="V10" s="1">
        <v>0.53</v>
      </c>
      <c r="W10" s="1" t="s">
        <v>54</v>
      </c>
      <c r="X10" s="1">
        <v>0.7</v>
      </c>
      <c r="Y10" s="1" t="s">
        <v>54</v>
      </c>
      <c r="Z10" s="1">
        <v>0.46600000000000003</v>
      </c>
      <c r="AC10" s="1">
        <v>3372.5</v>
      </c>
      <c r="AD10" s="1">
        <v>20752.750000009499</v>
      </c>
      <c r="AG10">
        <v>3372.5</v>
      </c>
      <c r="AH10">
        <v>51319.690000025003</v>
      </c>
    </row>
    <row r="11" spans="1:34">
      <c r="A11" s="1" t="s">
        <v>213</v>
      </c>
      <c r="B11" s="83">
        <v>2015</v>
      </c>
      <c r="C11" s="1">
        <v>3609.07</v>
      </c>
      <c r="D11" s="78">
        <f t="shared" ca="1" si="0"/>
        <v>12636923.937618673</v>
      </c>
      <c r="E11" s="187">
        <f t="shared" ca="1" si="1"/>
        <v>100167.79700007197</v>
      </c>
      <c r="F11" s="187">
        <f t="shared" ca="1" si="8"/>
        <v>101103.39950008679</v>
      </c>
      <c r="G11" s="1">
        <v>1.1000000000000001</v>
      </c>
      <c r="H11" s="86">
        <f t="shared" si="2"/>
        <v>9.1666666666666674E-2</v>
      </c>
      <c r="I11" s="65">
        <f t="shared" ca="1" si="9"/>
        <v>9267.8116208412903</v>
      </c>
      <c r="J11" s="78">
        <f t="shared" ca="1" si="10"/>
        <v>-358921.15479063988</v>
      </c>
      <c r="K11" s="79">
        <f t="shared" ca="1" si="3"/>
        <v>-28713.692383251189</v>
      </c>
      <c r="L11" s="83">
        <f t="shared" ca="1" si="4"/>
        <v>93015.127540079848</v>
      </c>
      <c r="M11" s="83">
        <f t="shared" ca="1" si="5"/>
        <v>62684.10769005381</v>
      </c>
      <c r="N11" s="83">
        <f t="shared" ca="1" si="6"/>
        <v>77849.617615066833</v>
      </c>
      <c r="O11" s="83">
        <f t="shared" ca="1" si="7"/>
        <v>48327.424961041484</v>
      </c>
      <c r="S11" s="1" t="s">
        <v>213</v>
      </c>
      <c r="T11" s="1">
        <v>0.92</v>
      </c>
      <c r="U11" s="1" t="s">
        <v>213</v>
      </c>
      <c r="V11" s="1">
        <v>0.62</v>
      </c>
      <c r="W11" s="1" t="s">
        <v>213</v>
      </c>
      <c r="X11" s="1">
        <v>0.77</v>
      </c>
      <c r="Y11" s="1" t="s">
        <v>213</v>
      </c>
      <c r="Z11" s="1">
        <v>0.47799999999999998</v>
      </c>
      <c r="AC11" s="1">
        <v>3373</v>
      </c>
      <c r="AD11" s="1">
        <v>20842.7000000107</v>
      </c>
      <c r="AG11">
        <v>3373</v>
      </c>
      <c r="AH11">
        <v>61718.550000025498</v>
      </c>
    </row>
    <row r="12" spans="1:34">
      <c r="A12" s="1" t="s">
        <v>214</v>
      </c>
      <c r="B12" s="83">
        <v>2015</v>
      </c>
      <c r="C12" s="1">
        <v>3606.01</v>
      </c>
      <c r="D12" s="78">
        <f t="shared" ca="1" si="0"/>
        <v>12332871.613777518</v>
      </c>
      <c r="E12" s="187">
        <f t="shared" ca="1" si="1"/>
        <v>98554.871000011684</v>
      </c>
      <c r="F12" s="187">
        <f t="shared" ca="1" si="8"/>
        <v>99361.334000041825</v>
      </c>
      <c r="G12" s="1">
        <v>0.64</v>
      </c>
      <c r="H12" s="86">
        <f t="shared" si="2"/>
        <v>5.3333333333333337E-2</v>
      </c>
      <c r="I12" s="65">
        <f t="shared" ca="1" si="9"/>
        <v>5299.2711466688979</v>
      </c>
      <c r="J12" s="78">
        <f t="shared" ca="1" si="10"/>
        <v>-304052.32384115458</v>
      </c>
      <c r="K12" s="79">
        <f t="shared" ca="1" si="3"/>
        <v>-24324.185907292365</v>
      </c>
      <c r="L12" s="83">
        <f t="shared" ca="1" si="4"/>
        <v>99361.334000041825</v>
      </c>
      <c r="M12" s="83">
        <f t="shared" ca="1" si="5"/>
        <v>47693.440320020076</v>
      </c>
      <c r="N12" s="83">
        <f t="shared" ca="1" si="6"/>
        <v>68559.320460028859</v>
      </c>
      <c r="O12" s="83">
        <f t="shared" ca="1" si="7"/>
        <v>41234.953610017357</v>
      </c>
      <c r="S12" s="1" t="s">
        <v>214</v>
      </c>
      <c r="T12" s="1">
        <v>1</v>
      </c>
      <c r="U12" s="1" t="s">
        <v>214</v>
      </c>
      <c r="V12" s="1">
        <v>0.48</v>
      </c>
      <c r="W12" s="1" t="s">
        <v>214</v>
      </c>
      <c r="X12" s="1">
        <v>0.69</v>
      </c>
      <c r="Y12" s="1" t="s">
        <v>214</v>
      </c>
      <c r="Z12" s="1">
        <v>0.41499999999999998</v>
      </c>
      <c r="AC12" s="1">
        <v>3373.5</v>
      </c>
      <c r="AD12" s="1">
        <v>20932.650000012</v>
      </c>
      <c r="AG12">
        <v>3373.5</v>
      </c>
      <c r="AH12">
        <v>72162.389999983105</v>
      </c>
    </row>
    <row r="13" spans="1:34">
      <c r="A13" s="1" t="s">
        <v>215</v>
      </c>
      <c r="B13" s="83">
        <v>2015</v>
      </c>
      <c r="C13" s="1">
        <v>3606.44</v>
      </c>
      <c r="D13" s="78">
        <f t="shared" ca="1" si="0"/>
        <v>12375304.607200503</v>
      </c>
      <c r="E13" s="187">
        <f t="shared" ca="1" si="1"/>
        <v>98781.523999985075</v>
      </c>
      <c r="F13" s="187">
        <f t="shared" ca="1" si="8"/>
        <v>98668.197499998379</v>
      </c>
      <c r="G13" s="1">
        <v>2.06</v>
      </c>
      <c r="H13" s="86">
        <f t="shared" si="2"/>
        <v>0.17166666666666666</v>
      </c>
      <c r="I13" s="65">
        <f t="shared" ca="1" si="9"/>
        <v>16938.040570833055</v>
      </c>
      <c r="J13" s="78">
        <f t="shared" ca="1" si="10"/>
        <v>42432.993422985077</v>
      </c>
      <c r="K13" s="79">
        <f t="shared" ca="1" si="3"/>
        <v>3394.6394738388062</v>
      </c>
      <c r="L13" s="83">
        <f t="shared" ca="1" si="4"/>
        <v>67094.374299998904</v>
      </c>
      <c r="M13" s="83">
        <f t="shared" ca="1" si="5"/>
        <v>23680.36739999961</v>
      </c>
      <c r="N13" s="83">
        <f t="shared" ca="1" si="6"/>
        <v>51307.46269999916</v>
      </c>
      <c r="O13" s="83">
        <f t="shared" ca="1" si="7"/>
        <v>37000.574062499392</v>
      </c>
      <c r="S13" s="1" t="s">
        <v>215</v>
      </c>
      <c r="T13" s="1">
        <v>0.68</v>
      </c>
      <c r="U13" s="1" t="s">
        <v>215</v>
      </c>
      <c r="V13" s="1">
        <v>0.24</v>
      </c>
      <c r="W13" s="1" t="s">
        <v>215</v>
      </c>
      <c r="X13" s="1">
        <v>0.52</v>
      </c>
      <c r="Y13" s="1" t="s">
        <v>215</v>
      </c>
      <c r="Z13" s="1">
        <v>0.375</v>
      </c>
      <c r="AC13" s="1">
        <v>3374</v>
      </c>
      <c r="AD13" s="1">
        <v>21022.599999988499</v>
      </c>
      <c r="AG13">
        <v>3374</v>
      </c>
      <c r="AH13">
        <v>82651.2000003992</v>
      </c>
    </row>
    <row r="14" spans="1:34">
      <c r="A14" s="1" t="s">
        <v>216</v>
      </c>
      <c r="B14" s="83">
        <v>2015</v>
      </c>
      <c r="C14" s="1">
        <v>3605.47</v>
      </c>
      <c r="D14" s="78">
        <f t="shared" ca="1" si="0"/>
        <v>12279731.261603177</v>
      </c>
      <c r="E14" s="187">
        <f t="shared" ca="1" si="1"/>
        <v>98270.237000044202</v>
      </c>
      <c r="F14" s="187">
        <f t="shared" ca="1" si="8"/>
        <v>98525.880500014639</v>
      </c>
      <c r="G14" s="1">
        <v>1.04</v>
      </c>
      <c r="H14" s="86">
        <f t="shared" si="2"/>
        <v>8.666666666666667E-2</v>
      </c>
      <c r="I14" s="65">
        <f t="shared" ca="1" si="9"/>
        <v>8538.9096433346022</v>
      </c>
      <c r="J14" s="78">
        <f t="shared" ca="1" si="10"/>
        <v>-95573.345597326756</v>
      </c>
      <c r="K14" s="79">
        <f t="shared" ca="1" si="3"/>
        <v>-7645.8676477861409</v>
      </c>
      <c r="L14" s="83">
        <f t="shared" ca="1" si="4"/>
        <v>58130.269495008637</v>
      </c>
      <c r="M14" s="83">
        <f t="shared" ca="1" si="5"/>
        <v>25616.728930003806</v>
      </c>
      <c r="N14" s="83">
        <f t="shared" ca="1" si="6"/>
        <v>40395.611005006002</v>
      </c>
      <c r="O14" s="83">
        <f t="shared" ca="1" si="7"/>
        <v>30740.074716004568</v>
      </c>
      <c r="S14" s="1" t="s">
        <v>216</v>
      </c>
      <c r="T14" s="1">
        <v>0.59</v>
      </c>
      <c r="U14" s="1" t="s">
        <v>216</v>
      </c>
      <c r="V14" s="1">
        <v>0.26</v>
      </c>
      <c r="W14" s="1" t="s">
        <v>216</v>
      </c>
      <c r="X14" s="1">
        <v>0.41</v>
      </c>
      <c r="Y14" s="1" t="s">
        <v>216</v>
      </c>
      <c r="Z14" s="1">
        <v>0.312</v>
      </c>
      <c r="AC14" s="1">
        <v>3374.5</v>
      </c>
      <c r="AD14" s="1">
        <v>21112.549999989798</v>
      </c>
      <c r="AG14">
        <v>3374.5</v>
      </c>
      <c r="AH14">
        <v>93184.989999961603</v>
      </c>
    </row>
    <row r="15" spans="1:34">
      <c r="A15" s="1" t="s">
        <v>217</v>
      </c>
      <c r="B15" s="83">
        <v>2015</v>
      </c>
      <c r="C15" s="1">
        <v>3600.8</v>
      </c>
      <c r="D15" s="78">
        <f t="shared" ca="1" si="0"/>
        <v>11826569.086014569</v>
      </c>
      <c r="E15" s="187">
        <f t="shared" ca="1" si="1"/>
        <v>95808.680000082357</v>
      </c>
      <c r="F15" s="187">
        <f t="shared" ca="1" si="8"/>
        <v>97039.45850006328</v>
      </c>
      <c r="G15" s="1">
        <v>1.31</v>
      </c>
      <c r="H15" s="86">
        <f t="shared" si="2"/>
        <v>0.10916666666666668</v>
      </c>
      <c r="I15" s="65">
        <f t="shared" ca="1" si="9"/>
        <v>10593.474219590242</v>
      </c>
      <c r="J15" s="78">
        <f t="shared" ca="1" si="10"/>
        <v>-453162.17558860779</v>
      </c>
      <c r="K15" s="79">
        <f t="shared" ca="1" si="3"/>
        <v>-36252.974047088625</v>
      </c>
      <c r="L15" s="83">
        <f t="shared" ca="1" si="4"/>
        <v>50460.518420032909</v>
      </c>
      <c r="M15" s="83">
        <f t="shared" ca="1" si="5"/>
        <v>24259.86462501582</v>
      </c>
      <c r="N15" s="83">
        <f t="shared" ca="1" si="6"/>
        <v>34934.205060022781</v>
      </c>
      <c r="O15" s="83">
        <f t="shared" ca="1" si="7"/>
        <v>25327.298668516516</v>
      </c>
      <c r="S15" s="1" t="s">
        <v>217</v>
      </c>
      <c r="T15" s="1">
        <v>0.52</v>
      </c>
      <c r="U15" s="1" t="s">
        <v>217</v>
      </c>
      <c r="V15" s="1">
        <v>0.25</v>
      </c>
      <c r="W15" s="1" t="s">
        <v>217</v>
      </c>
      <c r="X15" s="1">
        <v>0.36</v>
      </c>
      <c r="Y15" s="1" t="s">
        <v>217</v>
      </c>
      <c r="Z15" s="1">
        <v>0.26100000000000001</v>
      </c>
      <c r="AC15" s="1">
        <v>3375</v>
      </c>
      <c r="AD15" s="1">
        <v>21202.499999991102</v>
      </c>
      <c r="AG15">
        <v>3375</v>
      </c>
      <c r="AH15">
        <v>103763.750000145</v>
      </c>
    </row>
    <row r="16" spans="1:34">
      <c r="A16" s="1" t="s">
        <v>210</v>
      </c>
      <c r="B16" s="83">
        <v>2016</v>
      </c>
      <c r="C16" s="1">
        <v>3596.58</v>
      </c>
      <c r="D16" s="78">
        <f t="shared" ca="1" si="0"/>
        <v>11426701.849969447</v>
      </c>
      <c r="E16" s="187">
        <f t="shared" ca="1" si="1"/>
        <v>93724.880000022007</v>
      </c>
      <c r="F16" s="187">
        <f t="shared" ca="1" si="8"/>
        <v>94766.780000052182</v>
      </c>
      <c r="G16" s="177">
        <v>1.37</v>
      </c>
      <c r="H16" s="86">
        <f t="shared" si="2"/>
        <v>0.11416666666666668</v>
      </c>
      <c r="I16" s="65">
        <f t="shared" ca="1" si="9"/>
        <v>10819.207383339291</v>
      </c>
      <c r="J16" s="78">
        <f t="shared" ca="1" si="10"/>
        <v>-399867.23604512215</v>
      </c>
      <c r="K16" s="79">
        <f t="shared" ca="1" si="3"/>
        <v>-31989.378883609774</v>
      </c>
      <c r="L16" s="83">
        <f t="shared" ca="1" si="4"/>
        <v>35063.708600019309</v>
      </c>
      <c r="M16" s="83">
        <f t="shared" ca="1" si="5"/>
        <v>15162.68480000835</v>
      </c>
      <c r="N16" s="83">
        <f t="shared" ca="1" si="6"/>
        <v>22744.027200012522</v>
      </c>
      <c r="O16" s="83">
        <f t="shared" ca="1" si="7"/>
        <v>18763.822440010332</v>
      </c>
      <c r="T16" s="89">
        <f>SUM(T4:T15)</f>
        <v>7.76</v>
      </c>
      <c r="U16" s="89"/>
      <c r="V16" s="89">
        <f>SUM(V4:V15)</f>
        <v>4.08</v>
      </c>
      <c r="W16" s="89"/>
      <c r="X16" s="89">
        <f>SUM(X4:X15)</f>
        <v>5.6800000000000006</v>
      </c>
      <c r="Y16" s="89"/>
      <c r="Z16" s="86">
        <f>SUM(Z4:Z15)</f>
        <v>3.9590000000000001</v>
      </c>
      <c r="AC16" s="1">
        <v>3375.5</v>
      </c>
      <c r="AD16" s="1">
        <v>21292.449999992299</v>
      </c>
      <c r="AG16">
        <v>3375.5</v>
      </c>
      <c r="AH16">
        <v>114387.490000285</v>
      </c>
    </row>
    <row r="17" spans="1:34">
      <c r="A17" s="1" t="s">
        <v>211</v>
      </c>
      <c r="B17" s="83">
        <v>2016</v>
      </c>
      <c r="C17" s="1">
        <v>3594.41</v>
      </c>
      <c r="D17" s="78">
        <f t="shared" ca="1" si="0"/>
        <v>11224463.924979866</v>
      </c>
      <c r="E17" s="187">
        <f t="shared" ca="1" si="1"/>
        <v>92670.259999931091</v>
      </c>
      <c r="F17" s="187">
        <f t="shared" ca="1" si="8"/>
        <v>93197.569999976549</v>
      </c>
      <c r="G17" s="1">
        <v>0.7</v>
      </c>
      <c r="H17" s="86">
        <f t="shared" si="2"/>
        <v>5.8333333333333327E-2</v>
      </c>
      <c r="I17" s="65">
        <f t="shared" ca="1" si="9"/>
        <v>5436.5249166652984</v>
      </c>
      <c r="J17" s="78">
        <f t="shared" ca="1" si="10"/>
        <v>-202237.92498958111</v>
      </c>
      <c r="K17" s="79">
        <f t="shared" ca="1" si="3"/>
        <v>-16179.03399916649</v>
      </c>
      <c r="L17" s="83">
        <f t="shared" ca="1" si="4"/>
        <v>25163.34389999367</v>
      </c>
      <c r="M17" s="83">
        <f t="shared" ca="1" si="5"/>
        <v>6523.829899998359</v>
      </c>
      <c r="N17" s="83">
        <f t="shared" ca="1" si="6"/>
        <v>17707.538299995544</v>
      </c>
      <c r="O17" s="83">
        <f t="shared" ca="1" si="7"/>
        <v>17334.748019995637</v>
      </c>
      <c r="AC17" s="1">
        <v>3376</v>
      </c>
      <c r="AD17" s="1">
        <v>21382.399999993599</v>
      </c>
      <c r="AG17">
        <v>3376</v>
      </c>
      <c r="AH17">
        <v>125056.200000235</v>
      </c>
    </row>
    <row r="18" spans="1:34">
      <c r="A18" s="1" t="s">
        <v>50</v>
      </c>
      <c r="B18" s="83">
        <v>2016</v>
      </c>
      <c r="C18" s="1">
        <v>3592.18</v>
      </c>
      <c r="D18" s="78">
        <f t="shared" ca="1" si="0"/>
        <v>11019022.690023422</v>
      </c>
      <c r="E18" s="187">
        <f t="shared" ca="1" si="1"/>
        <v>91586.479999987641</v>
      </c>
      <c r="F18" s="187">
        <f t="shared" ca="1" si="8"/>
        <v>92128.369999959366</v>
      </c>
      <c r="G18" s="1">
        <v>0.45</v>
      </c>
      <c r="H18" s="86">
        <f t="shared" si="2"/>
        <v>3.7499999999999999E-2</v>
      </c>
      <c r="I18" s="65">
        <f t="shared" ca="1" si="9"/>
        <v>3454.813874998476</v>
      </c>
      <c r="J18" s="78">
        <f t="shared" ca="1" si="10"/>
        <v>-205441.23495644331</v>
      </c>
      <c r="K18" s="79">
        <f t="shared" ca="1" si="3"/>
        <v>-16435.298796515464</v>
      </c>
      <c r="L18" s="83">
        <f t="shared" ca="1" si="4"/>
        <v>37772.631699983336</v>
      </c>
      <c r="M18" s="83">
        <f t="shared" ca="1" si="5"/>
        <v>21189.525099990657</v>
      </c>
      <c r="N18" s="83">
        <f t="shared" ca="1" si="6"/>
        <v>26717.227299988215</v>
      </c>
      <c r="O18" s="83">
        <f t="shared" ca="1" si="7"/>
        <v>21465.910209990532</v>
      </c>
      <c r="AC18" s="1">
        <v>3376.5</v>
      </c>
      <c r="AD18" s="1">
        <v>21472.349999994902</v>
      </c>
      <c r="AG18">
        <v>3376.5</v>
      </c>
      <c r="AH18">
        <v>135769.89000014201</v>
      </c>
    </row>
    <row r="19" spans="1:34">
      <c r="A19" s="1" t="s">
        <v>212</v>
      </c>
      <c r="B19" s="83">
        <v>2016</v>
      </c>
      <c r="C19" s="1">
        <v>3592.12</v>
      </c>
      <c r="D19" s="78">
        <f t="shared" ca="1" si="0"/>
        <v>11013525.460028112</v>
      </c>
      <c r="E19" s="187">
        <f t="shared" ca="1" si="1"/>
        <v>91557.319999977015</v>
      </c>
      <c r="F19" s="187">
        <f t="shared" ca="1" si="8"/>
        <v>91571.899999982328</v>
      </c>
      <c r="G19" s="1">
        <v>1.05</v>
      </c>
      <c r="H19" s="86">
        <f t="shared" si="2"/>
        <v>8.7500000000000008E-2</v>
      </c>
      <c r="I19" s="65">
        <f t="shared" ca="1" si="9"/>
        <v>8012.5412499984541</v>
      </c>
      <c r="J19" s="78">
        <f t="shared" ca="1" si="10"/>
        <v>-5497.2299953103065</v>
      </c>
      <c r="K19" s="79">
        <f t="shared" ca="1" si="3"/>
        <v>-439.77839962482454</v>
      </c>
      <c r="L19" s="83">
        <f t="shared" ca="1" si="4"/>
        <v>47617.387999990809</v>
      </c>
      <c r="M19" s="83">
        <f t="shared" ca="1" si="5"/>
        <v>30218.726999994171</v>
      </c>
      <c r="N19" s="83">
        <f t="shared" ca="1" si="6"/>
        <v>34797.321999993284</v>
      </c>
      <c r="O19" s="83">
        <f t="shared" ca="1" si="7"/>
        <v>24266.55349999532</v>
      </c>
      <c r="T19" s="1"/>
      <c r="V19" s="1"/>
      <c r="W19" s="1"/>
      <c r="X19" s="1"/>
      <c r="AC19" s="1">
        <v>3377</v>
      </c>
      <c r="AD19" s="1">
        <v>21562.299999996099</v>
      </c>
      <c r="AG19">
        <v>3377</v>
      </c>
      <c r="AH19">
        <v>146528.54999985901</v>
      </c>
    </row>
    <row r="20" spans="1:34">
      <c r="A20" s="1" t="s">
        <v>52</v>
      </c>
      <c r="B20" s="83">
        <v>2016</v>
      </c>
      <c r="C20" s="1">
        <v>3603.87</v>
      </c>
      <c r="D20" s="78">
        <f t="shared" ca="1" si="0"/>
        <v>12123182.529401422</v>
      </c>
      <c r="E20" s="187">
        <f t="shared" ca="1" si="1"/>
        <v>97426.876999894856</v>
      </c>
      <c r="F20" s="187">
        <f t="shared" ca="1" si="8"/>
        <v>94492.098499935935</v>
      </c>
      <c r="G20" s="1">
        <v>0.85</v>
      </c>
      <c r="H20" s="86">
        <f t="shared" si="2"/>
        <v>7.0833333333333331E-2</v>
      </c>
      <c r="I20" s="65">
        <f t="shared" ca="1" si="9"/>
        <v>6693.1903104121284</v>
      </c>
      <c r="J20" s="78">
        <f t="shared" ca="1" si="10"/>
        <v>1109657.0693733096</v>
      </c>
      <c r="K20" s="79">
        <f t="shared" ca="1" si="3"/>
        <v>88772.565549864768</v>
      </c>
      <c r="L20" s="83">
        <f t="shared" ca="1" si="4"/>
        <v>61419.864024958362</v>
      </c>
      <c r="M20" s="83">
        <f t="shared" ca="1" si="5"/>
        <v>35906.997429975658</v>
      </c>
      <c r="N20" s="83">
        <f t="shared" ca="1" si="6"/>
        <v>47246.049249967968</v>
      </c>
      <c r="O20" s="83">
        <f t="shared" ca="1" si="7"/>
        <v>33922.663361476996</v>
      </c>
      <c r="U20" s="174"/>
      <c r="V20" s="1"/>
      <c r="W20" s="1"/>
      <c r="X20" s="1"/>
      <c r="AC20" s="1">
        <v>3377.5</v>
      </c>
      <c r="AD20" s="1">
        <v>21652.249999997399</v>
      </c>
      <c r="AG20">
        <v>3377.5</v>
      </c>
      <c r="AH20">
        <v>157332.19000034401</v>
      </c>
    </row>
    <row r="21" spans="1:34">
      <c r="A21" s="1" t="s">
        <v>53</v>
      </c>
      <c r="B21" s="83">
        <v>2016</v>
      </c>
      <c r="C21" s="1">
        <v>3620.01</v>
      </c>
      <c r="D21" s="78">
        <f t="shared" ca="1" si="0"/>
        <v>13764295.805600703</v>
      </c>
      <c r="E21" s="187">
        <f t="shared" ca="1" si="1"/>
        <v>105935.06239990029</v>
      </c>
      <c r="F21" s="187">
        <f t="shared" ca="1" si="8"/>
        <v>101680.96969989757</v>
      </c>
      <c r="G21" s="1">
        <v>0.22</v>
      </c>
      <c r="H21" s="86">
        <f t="shared" si="2"/>
        <v>1.8333333333333333E-2</v>
      </c>
      <c r="I21" s="65">
        <f t="shared" ca="1" si="9"/>
        <v>1864.1511111647887</v>
      </c>
      <c r="J21" s="78">
        <f t="shared" ca="1" si="10"/>
        <v>1641113.2761992812</v>
      </c>
      <c r="K21" s="79">
        <f t="shared" ca="1" si="3"/>
        <v>131289.0620959425</v>
      </c>
      <c r="L21" s="83">
        <f t="shared" ca="1" si="4"/>
        <v>84395.204850914975</v>
      </c>
      <c r="M21" s="83">
        <f t="shared" ca="1" si="5"/>
        <v>53890.913940945713</v>
      </c>
      <c r="N21" s="83">
        <f t="shared" ca="1" si="6"/>
        <v>64059.010910935467</v>
      </c>
      <c r="O21" s="83">
        <f t="shared" ca="1" si="7"/>
        <v>41790.878546657899</v>
      </c>
      <c r="U21" s="1"/>
      <c r="V21" s="1"/>
      <c r="W21" s="1"/>
      <c r="X21" s="1"/>
      <c r="AC21" s="1">
        <v>3378</v>
      </c>
      <c r="AD21" s="1">
        <v>21742.199999998698</v>
      </c>
      <c r="AG21">
        <v>3378</v>
      </c>
      <c r="AH21">
        <v>168180.79999982801</v>
      </c>
    </row>
    <row r="22" spans="1:34">
      <c r="A22" s="1" t="s">
        <v>54</v>
      </c>
      <c r="B22" s="83">
        <v>2016</v>
      </c>
      <c r="C22" s="1">
        <v>3618.22</v>
      </c>
      <c r="D22" s="78">
        <f t="shared" ca="1" si="0"/>
        <v>13575532.647580445</v>
      </c>
      <c r="E22" s="187">
        <f t="shared" ca="1" si="1"/>
        <v>104990.76200000732</v>
      </c>
      <c r="F22" s="187">
        <f t="shared" ca="1" si="8"/>
        <v>105462.9121999538</v>
      </c>
      <c r="G22" s="1">
        <v>2</v>
      </c>
      <c r="H22" s="86">
        <f t="shared" si="2"/>
        <v>0.16666666666666666</v>
      </c>
      <c r="I22" s="65">
        <f t="shared" ca="1" si="9"/>
        <v>17577.152033325634</v>
      </c>
      <c r="J22" s="78">
        <f t="shared" ca="1" si="10"/>
        <v>-188763.15802025795</v>
      </c>
      <c r="K22" s="79">
        <f t="shared" ca="1" si="3"/>
        <v>-15101.052641620636</v>
      </c>
      <c r="L22" s="83">
        <f t="shared" ca="1" si="4"/>
        <v>105462.9121999538</v>
      </c>
      <c r="M22" s="83">
        <f t="shared" ca="1" si="5"/>
        <v>55895.343465975522</v>
      </c>
      <c r="N22" s="83">
        <f t="shared" ca="1" si="6"/>
        <v>73824.03853996766</v>
      </c>
      <c r="O22" s="83">
        <f t="shared" ca="1" si="7"/>
        <v>49145.717085178476</v>
      </c>
      <c r="U22" s="1"/>
      <c r="V22" s="1"/>
      <c r="W22" s="1"/>
      <c r="X22" s="1"/>
      <c r="AC22" s="1">
        <v>3378.5</v>
      </c>
      <c r="AD22" s="1">
        <v>21832.1499999999</v>
      </c>
      <c r="AG22">
        <v>3378.5</v>
      </c>
      <c r="AH22">
        <v>179074.39000007999</v>
      </c>
    </row>
    <row r="23" spans="1:34">
      <c r="A23" s="1" t="s">
        <v>213</v>
      </c>
      <c r="B23" s="83">
        <v>2016</v>
      </c>
      <c r="C23" s="1">
        <v>3613.55</v>
      </c>
      <c r="D23" s="78">
        <f t="shared" ca="1" si="0"/>
        <v>13090963.220986903</v>
      </c>
      <c r="E23" s="187">
        <f t="shared" ca="1" si="1"/>
        <v>102529.20500004524</v>
      </c>
      <c r="F23" s="187">
        <f t="shared" ca="1" si="8"/>
        <v>103759.98350002628</v>
      </c>
      <c r="G23" s="1">
        <v>2.77</v>
      </c>
      <c r="H23" s="86">
        <f t="shared" si="2"/>
        <v>0.23083333333333333</v>
      </c>
      <c r="I23" s="65">
        <f t="shared" ca="1" si="9"/>
        <v>23951.262857922735</v>
      </c>
      <c r="J23" s="78">
        <f t="shared" ca="1" si="10"/>
        <v>-484569.4265935421</v>
      </c>
      <c r="K23" s="79">
        <f t="shared" ca="1" si="3"/>
        <v>-38765.554127483367</v>
      </c>
      <c r="L23" s="83">
        <f t="shared" ca="1" si="4"/>
        <v>95459.18482002418</v>
      </c>
      <c r="M23" s="83">
        <f t="shared" ca="1" si="5"/>
        <v>64331.189770016295</v>
      </c>
      <c r="N23" s="83">
        <f t="shared" ca="1" si="6"/>
        <v>79895.187295020238</v>
      </c>
      <c r="O23" s="83">
        <f t="shared" ca="1" si="7"/>
        <v>49597.272113012565</v>
      </c>
      <c r="U23" s="1"/>
      <c r="V23" s="1"/>
      <c r="W23" s="1"/>
      <c r="X23" s="1"/>
      <c r="AC23" s="1">
        <v>3379</v>
      </c>
      <c r="AD23" s="1">
        <v>21922.100000001199</v>
      </c>
      <c r="AG23">
        <v>3379</v>
      </c>
      <c r="AH23">
        <v>190012.95000014201</v>
      </c>
    </row>
    <row r="24" spans="1:34">
      <c r="A24" s="1" t="s">
        <v>214</v>
      </c>
      <c r="B24" s="83">
        <v>2016</v>
      </c>
      <c r="C24" s="1">
        <v>3610.93</v>
      </c>
      <c r="D24" s="78">
        <f t="shared" ca="1" si="0"/>
        <v>12824147.817624032</v>
      </c>
      <c r="E24" s="187">
        <f t="shared" ca="1" si="1"/>
        <v>101148.20299995807</v>
      </c>
      <c r="F24" s="187">
        <f t="shared" ca="1" si="8"/>
        <v>101838.70400000166</v>
      </c>
      <c r="G24" s="1">
        <v>1.1299999999999999</v>
      </c>
      <c r="H24" s="86">
        <f t="shared" si="2"/>
        <v>9.4166666666666662E-2</v>
      </c>
      <c r="I24" s="65">
        <f t="shared" ca="1" si="9"/>
        <v>9589.8112933334887</v>
      </c>
      <c r="J24" s="78">
        <f t="shared" ca="1" si="10"/>
        <v>-266815.40336287022</v>
      </c>
      <c r="K24" s="79">
        <f t="shared" ca="1" si="3"/>
        <v>-21345.232269029617</v>
      </c>
      <c r="L24" s="83">
        <f t="shared" ca="1" si="4"/>
        <v>101838.70400000166</v>
      </c>
      <c r="M24" s="83">
        <f t="shared" ca="1" si="5"/>
        <v>48882.577920000796</v>
      </c>
      <c r="N24" s="83">
        <f t="shared" ca="1" si="6"/>
        <v>70268.705760001132</v>
      </c>
      <c r="O24" s="83">
        <f t="shared" ca="1" si="7"/>
        <v>42263.062160000685</v>
      </c>
      <c r="U24" s="1"/>
      <c r="V24" s="1"/>
      <c r="W24" s="1"/>
      <c r="X24" s="1"/>
      <c r="AC24" s="1">
        <v>3379.5</v>
      </c>
      <c r="AD24" s="1">
        <v>22012.050000002499</v>
      </c>
      <c r="AG24">
        <v>3379.5</v>
      </c>
      <c r="AH24">
        <v>200996.49000016099</v>
      </c>
    </row>
    <row r="25" spans="1:34">
      <c r="A25" s="1" t="s">
        <v>215</v>
      </c>
      <c r="B25" s="83">
        <v>2016</v>
      </c>
      <c r="C25" s="1">
        <v>3609.48</v>
      </c>
      <c r="D25" s="78">
        <f t="shared" ca="1" si="0"/>
        <v>12678031.636364102</v>
      </c>
      <c r="E25" s="187">
        <f t="shared" ca="1" si="1"/>
        <v>100383.90800004639</v>
      </c>
      <c r="F25" s="187">
        <f t="shared" ca="1" si="8"/>
        <v>100766.05550000223</v>
      </c>
      <c r="G25" s="1">
        <v>0.38</v>
      </c>
      <c r="H25" s="86">
        <f t="shared" si="2"/>
        <v>3.1666666666666669E-2</v>
      </c>
      <c r="I25" s="65">
        <f t="shared" ca="1" si="9"/>
        <v>3190.9250908334043</v>
      </c>
      <c r="J25" s="78">
        <f t="shared" ca="1" si="10"/>
        <v>-146116.18125993013</v>
      </c>
      <c r="K25" s="79">
        <f t="shared" ca="1" si="3"/>
        <v>-11689.294500794411</v>
      </c>
      <c r="L25" s="83">
        <f t="shared" ca="1" si="4"/>
        <v>68520.917740001518</v>
      </c>
      <c r="M25" s="83">
        <f t="shared" ca="1" si="5"/>
        <v>24183.853320000533</v>
      </c>
      <c r="N25" s="83">
        <f t="shared" ca="1" si="6"/>
        <v>52398.348860001162</v>
      </c>
      <c r="O25" s="83">
        <f t="shared" ca="1" si="7"/>
        <v>37787.270812500836</v>
      </c>
      <c r="U25" s="1"/>
      <c r="V25" s="1"/>
      <c r="W25" s="1"/>
      <c r="X25" s="1"/>
      <c r="AC25" s="1">
        <v>3380</v>
      </c>
      <c r="AD25" s="1">
        <v>22102.0000000037</v>
      </c>
      <c r="AG25">
        <v>3380</v>
      </c>
      <c r="AH25">
        <v>212024.999999989</v>
      </c>
    </row>
    <row r="26" spans="1:34">
      <c r="A26" s="1" t="s">
        <v>216</v>
      </c>
      <c r="B26" s="83">
        <v>2016</v>
      </c>
      <c r="C26" s="1">
        <v>3605.81</v>
      </c>
      <c r="D26" s="78">
        <f t="shared" ca="1" si="0"/>
        <v>12313185.414186418</v>
      </c>
      <c r="E26" s="187">
        <f t="shared" ca="1" si="1"/>
        <v>98449.4510000234</v>
      </c>
      <c r="F26" s="187">
        <f t="shared" ca="1" si="8"/>
        <v>99416.679500034894</v>
      </c>
      <c r="G26" s="1">
        <v>1.01</v>
      </c>
      <c r="H26" s="86">
        <f t="shared" si="2"/>
        <v>8.4166666666666667E-2</v>
      </c>
      <c r="I26" s="65">
        <f t="shared" ca="1" si="9"/>
        <v>8367.57052458627</v>
      </c>
      <c r="J26" s="78">
        <f t="shared" ca="1" si="10"/>
        <v>-364846.22217768431</v>
      </c>
      <c r="K26" s="79">
        <f t="shared" ca="1" si="3"/>
        <v>-29187.697774214746</v>
      </c>
      <c r="L26" s="83">
        <f t="shared" ca="1" si="4"/>
        <v>58655.840905020581</v>
      </c>
      <c r="M26" s="83">
        <f t="shared" ca="1" si="5"/>
        <v>25848.336670009074</v>
      </c>
      <c r="N26" s="83">
        <f t="shared" ca="1" si="6"/>
        <v>40760.838595014306</v>
      </c>
      <c r="O26" s="83">
        <f t="shared" ca="1" si="7"/>
        <v>31018.004004010887</v>
      </c>
      <c r="U26" s="1"/>
      <c r="V26" s="1"/>
      <c r="W26" s="1"/>
      <c r="X26" s="1"/>
      <c r="AC26" s="1">
        <v>3380.5</v>
      </c>
      <c r="AD26" s="1">
        <v>22200.9999999994</v>
      </c>
      <c r="AG26">
        <v>3380.5</v>
      </c>
      <c r="AH26">
        <v>223100.749999814</v>
      </c>
    </row>
    <row r="27" spans="1:34">
      <c r="A27" s="1" t="s">
        <v>217</v>
      </c>
      <c r="B27" s="83">
        <v>2016</v>
      </c>
      <c r="C27" s="1">
        <v>3600.49</v>
      </c>
      <c r="D27" s="78">
        <f t="shared" ca="1" si="0"/>
        <v>11796879.202232599</v>
      </c>
      <c r="E27" s="187">
        <f t="shared" ca="1" si="1"/>
        <v>95645.279000096023</v>
      </c>
      <c r="F27" s="187">
        <f t="shared" ca="1" si="8"/>
        <v>97047.365000059712</v>
      </c>
      <c r="G27" s="1">
        <v>1.2</v>
      </c>
      <c r="H27" s="86">
        <f t="shared" si="2"/>
        <v>9.9999999999999992E-2</v>
      </c>
      <c r="I27" s="65">
        <f t="shared" ca="1" si="9"/>
        <v>9704.7365000059708</v>
      </c>
      <c r="J27" s="78">
        <f t="shared" ca="1" si="10"/>
        <v>-516306.2119538188</v>
      </c>
      <c r="K27" s="79">
        <f t="shared" ca="1" si="3"/>
        <v>-41304.496956305506</v>
      </c>
      <c r="L27" s="83">
        <f t="shared" ca="1" si="4"/>
        <v>50464.629800031049</v>
      </c>
      <c r="M27" s="83">
        <f t="shared" ca="1" si="5"/>
        <v>24261.841250014928</v>
      </c>
      <c r="N27" s="83">
        <f t="shared" ca="1" si="6"/>
        <v>34937.051400021497</v>
      </c>
      <c r="O27" s="83">
        <f t="shared" ca="1" si="7"/>
        <v>25329.362265015585</v>
      </c>
      <c r="U27" s="1"/>
      <c r="V27" s="1"/>
      <c r="W27" s="1"/>
      <c r="X27" s="1"/>
      <c r="AC27" s="1">
        <v>3381</v>
      </c>
      <c r="AD27" s="1">
        <v>22299.999999995001</v>
      </c>
      <c r="AG27">
        <v>3381</v>
      </c>
      <c r="AH27">
        <v>234225.99999967101</v>
      </c>
    </row>
    <row r="28" spans="1:34">
      <c r="A28" s="1" t="s">
        <v>210</v>
      </c>
      <c r="B28" s="83">
        <v>2017</v>
      </c>
      <c r="C28" s="1">
        <v>3595.86</v>
      </c>
      <c r="D28" s="78">
        <f t="shared" ca="1" si="0"/>
        <v>11359349.99002713</v>
      </c>
      <c r="E28" s="187">
        <f t="shared" ca="1" si="1"/>
        <v>93374.959999964805</v>
      </c>
      <c r="F28" s="187">
        <f t="shared" ca="1" si="8"/>
        <v>94510.119500030414</v>
      </c>
      <c r="G28" s="1">
        <v>2.2400000000000002</v>
      </c>
      <c r="H28" s="86">
        <f t="shared" si="2"/>
        <v>0.18666666666666668</v>
      </c>
      <c r="I28" s="65">
        <f t="shared" ca="1" si="9"/>
        <v>17641.88897333901</v>
      </c>
      <c r="J28" s="78">
        <f t="shared" ca="1" si="10"/>
        <v>-437529.21220546961</v>
      </c>
      <c r="K28" s="79">
        <f t="shared" ca="1" si="3"/>
        <v>-35002.336976437568</v>
      </c>
      <c r="L28" s="83">
        <f t="shared" ca="1" si="4"/>
        <v>34968.744215011255</v>
      </c>
      <c r="M28" s="83">
        <f t="shared" ca="1" si="5"/>
        <v>15121.619120004867</v>
      </c>
      <c r="N28" s="83">
        <f t="shared" ca="1" si="6"/>
        <v>22682.428680007299</v>
      </c>
      <c r="O28" s="83">
        <f t="shared" ca="1" si="7"/>
        <v>18713.003661006023</v>
      </c>
      <c r="U28" s="1"/>
      <c r="V28" s="1"/>
      <c r="W28" s="1"/>
      <c r="X28" s="1"/>
      <c r="AC28" s="1">
        <v>3381.5</v>
      </c>
      <c r="AD28" s="1">
        <v>22398.999999990701</v>
      </c>
      <c r="AG28">
        <v>3381.5</v>
      </c>
      <c r="AH28">
        <v>245400.75000037299</v>
      </c>
    </row>
    <row r="29" spans="1:34">
      <c r="A29" s="1" t="s">
        <v>211</v>
      </c>
      <c r="B29" s="83">
        <v>2017</v>
      </c>
      <c r="C29" s="1">
        <v>3594.33</v>
      </c>
      <c r="D29" s="78">
        <f t="shared" ca="1" si="0"/>
        <v>11217056.524982691</v>
      </c>
      <c r="E29" s="187">
        <f t="shared" ca="1" si="1"/>
        <v>92631.379999956582</v>
      </c>
      <c r="F29" s="187">
        <f t="shared" ca="1" si="8"/>
        <v>93003.169999960694</v>
      </c>
      <c r="G29" s="1">
        <v>1.33</v>
      </c>
      <c r="H29" s="86">
        <f t="shared" si="2"/>
        <v>0.11083333333333334</v>
      </c>
      <c r="I29" s="65">
        <f t="shared" ca="1" si="9"/>
        <v>10307.85134166231</v>
      </c>
      <c r="J29" s="78">
        <f t="shared" ca="1" si="10"/>
        <v>-142293.46504443884</v>
      </c>
      <c r="K29" s="79">
        <f t="shared" ca="1" si="3"/>
        <v>-11383.477203555107</v>
      </c>
      <c r="L29" s="83">
        <f t="shared" ca="1" si="4"/>
        <v>25110.85589998939</v>
      </c>
      <c r="M29" s="83">
        <f t="shared" ca="1" si="5"/>
        <v>6510.2218999972492</v>
      </c>
      <c r="N29" s="83">
        <f t="shared" ca="1" si="6"/>
        <v>17670.602299992534</v>
      </c>
      <c r="O29" s="83">
        <f t="shared" ca="1" si="7"/>
        <v>17298.58961999269</v>
      </c>
      <c r="U29" s="1"/>
      <c r="V29" s="1"/>
      <c r="W29" s="1"/>
      <c r="X29" s="1"/>
      <c r="AC29" s="1">
        <v>3382</v>
      </c>
      <c r="AD29" s="1">
        <v>22498.000000011001</v>
      </c>
      <c r="AG29">
        <v>3382</v>
      </c>
      <c r="AH29">
        <v>256625.00000029799</v>
      </c>
    </row>
    <row r="30" spans="1:34">
      <c r="A30" s="1" t="s">
        <v>50</v>
      </c>
      <c r="B30" s="83">
        <v>2017</v>
      </c>
      <c r="C30" s="1">
        <v>3595.91</v>
      </c>
      <c r="D30" s="78">
        <f t="shared" ca="1" si="0"/>
        <v>11364016.065031052</v>
      </c>
      <c r="E30" s="187">
        <f t="shared" ca="1" si="1"/>
        <v>93399.259999948787</v>
      </c>
      <c r="F30" s="187">
        <f t="shared" ca="1" si="8"/>
        <v>93015.319999952684</v>
      </c>
      <c r="G30" s="1">
        <v>0.13</v>
      </c>
      <c r="H30" s="86">
        <f t="shared" si="2"/>
        <v>1.0833333333333334E-2</v>
      </c>
      <c r="I30" s="65">
        <f t="shared" ca="1" si="9"/>
        <v>1007.6659666661541</v>
      </c>
      <c r="J30" s="78">
        <f t="shared" ca="1" si="10"/>
        <v>146959.54004836082</v>
      </c>
      <c r="K30" s="79">
        <f t="shared" ca="1" si="3"/>
        <v>11756.763203868866</v>
      </c>
      <c r="L30" s="83">
        <f t="shared" ca="1" si="4"/>
        <v>38136.2811999806</v>
      </c>
      <c r="M30" s="83">
        <f t="shared" ca="1" si="5"/>
        <v>21393.523599989119</v>
      </c>
      <c r="N30" s="83">
        <f t="shared" ca="1" si="6"/>
        <v>26974.442799986278</v>
      </c>
      <c r="O30" s="83">
        <f t="shared" ca="1" si="7"/>
        <v>21672.569559988977</v>
      </c>
      <c r="U30" s="1"/>
      <c r="V30" s="1"/>
      <c r="W30" s="1"/>
      <c r="X30" s="1"/>
      <c r="AC30" s="1">
        <v>3382.5</v>
      </c>
      <c r="AD30" s="1">
        <v>22597.000000006701</v>
      </c>
      <c r="AG30">
        <v>3382.5</v>
      </c>
      <c r="AH30">
        <v>267898.750000256</v>
      </c>
    </row>
    <row r="31" spans="1:34">
      <c r="A31" s="1" t="s">
        <v>212</v>
      </c>
      <c r="B31" s="83">
        <v>2017</v>
      </c>
      <c r="C31" s="1">
        <v>3604.14</v>
      </c>
      <c r="D31" s="78">
        <f t="shared" ca="1" si="0"/>
        <v>12149507.605213225</v>
      </c>
      <c r="E31" s="187">
        <f t="shared" ca="1" si="1"/>
        <v>97569.193999947282</v>
      </c>
      <c r="F31" s="187">
        <f t="shared" ca="1" si="8"/>
        <v>95484.226999948034</v>
      </c>
      <c r="G31" s="1">
        <v>0.36</v>
      </c>
      <c r="H31" s="86">
        <f t="shared" si="2"/>
        <v>0.03</v>
      </c>
      <c r="I31" s="65">
        <f t="shared" ca="1" si="9"/>
        <v>2864.526809998441</v>
      </c>
      <c r="J31" s="78">
        <f t="shared" ca="1" si="10"/>
        <v>785491.54018217325</v>
      </c>
      <c r="K31" s="79">
        <f t="shared" ca="1" si="3"/>
        <v>62839.323214573858</v>
      </c>
      <c r="L31" s="83">
        <f t="shared" ca="1" si="4"/>
        <v>49651.798039972979</v>
      </c>
      <c r="M31" s="83">
        <f t="shared" ca="1" si="5"/>
        <v>31509.794909982851</v>
      </c>
      <c r="N31" s="83">
        <f t="shared" ca="1" si="6"/>
        <v>36284.006259980255</v>
      </c>
      <c r="O31" s="83">
        <f t="shared" ca="1" si="7"/>
        <v>25303.320154986232</v>
      </c>
      <c r="U31" s="1"/>
      <c r="V31" s="1"/>
      <c r="W31" s="1"/>
      <c r="X31" s="1"/>
      <c r="AC31" s="1">
        <v>3383</v>
      </c>
      <c r="AD31" s="1">
        <v>22696.000000002299</v>
      </c>
      <c r="AG31">
        <v>3383</v>
      </c>
      <c r="AH31">
        <v>279222.00000024802</v>
      </c>
    </row>
    <row r="32" spans="1:34">
      <c r="A32" s="1" t="s">
        <v>52</v>
      </c>
      <c r="B32" s="83">
        <v>2017</v>
      </c>
      <c r="C32" s="1">
        <v>3619.09</v>
      </c>
      <c r="D32" s="78">
        <f t="shared" ca="1" si="0"/>
        <v>13667067.581217289</v>
      </c>
      <c r="E32" s="187">
        <f t="shared" ca="1" si="1"/>
        <v>105449.33899995429</v>
      </c>
      <c r="F32" s="187">
        <f t="shared" ca="1" si="8"/>
        <v>101509.26649995078</v>
      </c>
      <c r="G32" s="1">
        <v>0.69</v>
      </c>
      <c r="H32" s="86">
        <f t="shared" si="2"/>
        <v>5.7499999999999996E-2</v>
      </c>
      <c r="I32" s="65">
        <f t="shared" ca="1" si="9"/>
        <v>5836.7828237471695</v>
      </c>
      <c r="J32" s="78">
        <f t="shared" ca="1" si="10"/>
        <v>1517559.9760040641</v>
      </c>
      <c r="K32" s="79">
        <f t="shared" ca="1" si="3"/>
        <v>121404.79808032513</v>
      </c>
      <c r="L32" s="83">
        <f t="shared" ca="1" si="4"/>
        <v>65981.023224968012</v>
      </c>
      <c r="M32" s="83">
        <f t="shared" ca="1" si="5"/>
        <v>38573.521269981298</v>
      </c>
      <c r="N32" s="83">
        <f t="shared" ca="1" si="6"/>
        <v>50754.633249975392</v>
      </c>
      <c r="O32" s="83">
        <f t="shared" ca="1" si="7"/>
        <v>36441.826673482326</v>
      </c>
      <c r="U32" s="1"/>
      <c r="V32" s="1"/>
      <c r="W32" s="1"/>
      <c r="X32" s="1"/>
      <c r="AC32" s="1">
        <v>3383.5</v>
      </c>
      <c r="AD32" s="1">
        <v>22794.999999997999</v>
      </c>
      <c r="AG32">
        <v>3383.5</v>
      </c>
      <c r="AH32">
        <v>290594.75000027398</v>
      </c>
    </row>
    <row r="33" spans="1:34">
      <c r="A33" s="1" t="s">
        <v>53</v>
      </c>
      <c r="B33" s="83">
        <v>2017</v>
      </c>
      <c r="C33" s="1">
        <v>3634.89</v>
      </c>
      <c r="D33" s="78">
        <f t="shared" ca="1" si="0"/>
        <v>15407737.290177763</v>
      </c>
      <c r="E33" s="187">
        <f t="shared" ca="1" si="1"/>
        <v>114956.06140005891</v>
      </c>
      <c r="F33" s="187">
        <f t="shared" ca="1" si="8"/>
        <v>110202.7002000066</v>
      </c>
      <c r="G33" s="1">
        <v>0</v>
      </c>
      <c r="H33" s="86">
        <f t="shared" si="2"/>
        <v>0</v>
      </c>
      <c r="I33" s="65">
        <f t="shared" ca="1" si="9"/>
        <v>0</v>
      </c>
      <c r="J33" s="78">
        <f t="shared" ca="1" si="10"/>
        <v>1740669.7089604735</v>
      </c>
      <c r="K33" s="79">
        <f t="shared" ca="1" si="3"/>
        <v>139253.57671683788</v>
      </c>
      <c r="L33" s="83">
        <f t="shared" ca="1" si="4"/>
        <v>91468.241166005479</v>
      </c>
      <c r="M33" s="83">
        <f t="shared" ca="1" si="5"/>
        <v>58407.431106003503</v>
      </c>
      <c r="N33" s="83">
        <f t="shared" ca="1" si="6"/>
        <v>69427.701126004162</v>
      </c>
      <c r="O33" s="83">
        <f t="shared" ca="1" si="7"/>
        <v>45293.309782202712</v>
      </c>
      <c r="U33" s="1"/>
      <c r="V33" s="1"/>
      <c r="W33" s="1"/>
      <c r="X33" s="1"/>
      <c r="AC33" s="1">
        <v>3384</v>
      </c>
      <c r="AD33" s="1">
        <v>22893.999999993601</v>
      </c>
      <c r="AG33">
        <v>3384</v>
      </c>
      <c r="AH33">
        <v>302017.00000033301</v>
      </c>
    </row>
    <row r="34" spans="1:34">
      <c r="A34" s="1" t="s">
        <v>54</v>
      </c>
      <c r="B34" s="83">
        <v>2017</v>
      </c>
      <c r="C34" s="1">
        <v>3634.69</v>
      </c>
      <c r="D34" s="78">
        <f t="shared" ca="1" si="0"/>
        <v>15384763.054175794</v>
      </c>
      <c r="E34" s="187">
        <f t="shared" ca="1" si="1"/>
        <v>114834.80939999246</v>
      </c>
      <c r="F34" s="187">
        <f t="shared" ca="1" si="8"/>
        <v>114895.43540002569</v>
      </c>
      <c r="G34" s="1">
        <v>1.1100000000000001</v>
      </c>
      <c r="H34" s="86">
        <f t="shared" si="2"/>
        <v>9.2500000000000013E-2</v>
      </c>
      <c r="I34" s="65">
        <f t="shared" ca="1" si="9"/>
        <v>10627.827774502377</v>
      </c>
      <c r="J34" s="78">
        <f t="shared" ca="1" si="10"/>
        <v>-22974.236001968384</v>
      </c>
      <c r="K34" s="79">
        <f t="shared" ca="1" si="3"/>
        <v>-1837.9388801574707</v>
      </c>
      <c r="L34" s="83">
        <f t="shared" ca="1" si="4"/>
        <v>114895.43540002569</v>
      </c>
      <c r="M34" s="83">
        <f t="shared" ca="1" si="5"/>
        <v>60894.580762013618</v>
      </c>
      <c r="N34" s="83">
        <f t="shared" ca="1" si="6"/>
        <v>80426.804780017977</v>
      </c>
      <c r="O34" s="83">
        <f t="shared" ca="1" si="7"/>
        <v>53541.272896411974</v>
      </c>
      <c r="U34" s="1"/>
      <c r="V34" s="1"/>
      <c r="W34" s="1"/>
      <c r="X34" s="1"/>
      <c r="AC34" s="1">
        <v>3384.5</v>
      </c>
      <c r="AD34" s="1">
        <v>22992.999999989301</v>
      </c>
      <c r="AG34">
        <v>3384.5</v>
      </c>
      <c r="AH34">
        <v>313488.74999961501</v>
      </c>
    </row>
    <row r="35" spans="1:34">
      <c r="A35" s="1" t="s">
        <v>213</v>
      </c>
      <c r="B35" s="83">
        <v>2017</v>
      </c>
      <c r="C35" s="1">
        <v>3630.88</v>
      </c>
      <c r="D35" s="78">
        <f t="shared" ca="1" si="0"/>
        <v>14951638.578397393</v>
      </c>
      <c r="E35" s="187">
        <f t="shared" ca="1" si="1"/>
        <v>112524.99879994709</v>
      </c>
      <c r="F35" s="187">
        <f t="shared" ca="1" si="8"/>
        <v>113679.90409996978</v>
      </c>
      <c r="G35" s="1">
        <v>1.31</v>
      </c>
      <c r="H35" s="86">
        <f t="shared" si="2"/>
        <v>0.10916666666666668</v>
      </c>
      <c r="I35" s="65">
        <f t="shared" ca="1" si="9"/>
        <v>12410.056197580036</v>
      </c>
      <c r="J35" s="78">
        <f t="shared" ca="1" si="10"/>
        <v>-433124.4757784009</v>
      </c>
      <c r="K35" s="79">
        <f t="shared" ca="1" si="3"/>
        <v>-34649.958062272075</v>
      </c>
      <c r="L35" s="83">
        <f t="shared" ca="1" si="4"/>
        <v>104585.5117719722</v>
      </c>
      <c r="M35" s="83">
        <f t="shared" ca="1" si="5"/>
        <v>70481.54054198126</v>
      </c>
      <c r="N35" s="83">
        <f t="shared" ca="1" si="6"/>
        <v>87533.526156976732</v>
      </c>
      <c r="O35" s="83">
        <f t="shared" ca="1" si="7"/>
        <v>54338.99415978555</v>
      </c>
      <c r="U35" s="1"/>
      <c r="V35" s="1"/>
      <c r="W35" s="1"/>
      <c r="X35" s="1"/>
      <c r="AC35" s="1">
        <v>3385</v>
      </c>
      <c r="AD35" s="1">
        <v>23092.000000009699</v>
      </c>
      <c r="AG35">
        <v>3385</v>
      </c>
      <c r="AH35">
        <v>325009.99999974098</v>
      </c>
    </row>
    <row r="36" spans="1:34">
      <c r="A36" s="1" t="s">
        <v>214</v>
      </c>
      <c r="B36" s="83">
        <v>2017</v>
      </c>
      <c r="C36" s="1">
        <v>3628.31</v>
      </c>
      <c r="D36" s="78">
        <f t="shared" ref="D36:D66" ca="1" si="11">FORECAST(C36,OFFSET($AH$5:$AH$690,MATCH(C36,$AG$5:$AG$690,1)-1,0,2), OFFSET($AG$5:$AG$690,MATCH(C36,$AG$5:$AG$690,1)-1,0,2))</f>
        <v>14664455.47360009</v>
      </c>
      <c r="E36" s="187">
        <f t="shared" ref="E36:E66" ca="1" si="12">FORECAST(C36,OFFSET($AD$5:$AD$690,MATCH(C36,$AC$5:$AC$690,1)-1,0,2), OFFSET($AC$5:$AC$690,MATCH(C36,$AC$5:$AC$690,1)-1,0,2))</f>
        <v>110966.93440002459</v>
      </c>
      <c r="F36" s="187">
        <f t="shared" ca="1" si="8"/>
        <v>111745.96659998584</v>
      </c>
      <c r="G36" s="1">
        <v>1.45</v>
      </c>
      <c r="H36" s="86">
        <f t="shared" si="2"/>
        <v>0.12083333333333333</v>
      </c>
      <c r="I36" s="65">
        <f t="shared" ca="1" si="9"/>
        <v>13502.637630831623</v>
      </c>
      <c r="J36" s="78">
        <f t="shared" ca="1" si="10"/>
        <v>-287183.10479730368</v>
      </c>
      <c r="K36" s="79">
        <f t="shared" ref="K36:K53" ca="1" si="13">0.08*J36</f>
        <v>-22974.648383784293</v>
      </c>
      <c r="L36" s="83">
        <f t="shared" ref="L36:L61" ca="1" si="14">VLOOKUP(A36,$S$4:$T$15,2,FALSE)*F36</f>
        <v>111745.96659998584</v>
      </c>
      <c r="M36" s="83">
        <f t="shared" ref="M36:M61" ca="1" si="15">VLOOKUP(A36,$U$4:$V$15,2,FALSE)*F36</f>
        <v>53638.063967993199</v>
      </c>
      <c r="N36" s="83">
        <f t="shared" ref="N36:N53" ca="1" si="16">VLOOKUP(A36,$W$4:$X$15,2,FALSE)*F36</f>
        <v>77104.716953990224</v>
      </c>
      <c r="O36" s="83">
        <f t="shared" ref="O36:O53" ca="1" si="17">VLOOKUP(A36,$Y$4:$Z$15,2,FALSE)*F36</f>
        <v>46374.576138994118</v>
      </c>
      <c r="U36" s="1"/>
      <c r="V36" s="1"/>
      <c r="W36" s="1"/>
      <c r="X36" s="1"/>
      <c r="AC36" s="1">
        <v>3385.5</v>
      </c>
      <c r="AD36" s="1">
        <v>23191.000000005301</v>
      </c>
      <c r="AG36">
        <v>3385.5</v>
      </c>
      <c r="AH36">
        <v>336580.7499999</v>
      </c>
    </row>
    <row r="37" spans="1:34">
      <c r="A37" s="1" t="s">
        <v>215</v>
      </c>
      <c r="B37" s="83">
        <v>2017</v>
      </c>
      <c r="C37" s="1">
        <v>3627.09</v>
      </c>
      <c r="D37" s="78">
        <f t="shared" ca="1" si="11"/>
        <v>14529520.308773577</v>
      </c>
      <c r="E37" s="187">
        <f t="shared" ca="1" si="12"/>
        <v>110227.31160001806</v>
      </c>
      <c r="F37" s="187">
        <f t="shared" ref="F37:F53" ca="1" si="18">(E36+E37)/2</f>
        <v>110597.12300002133</v>
      </c>
      <c r="G37" s="1">
        <v>0.02</v>
      </c>
      <c r="H37" s="86">
        <f t="shared" si="2"/>
        <v>1.6666666666666668E-3</v>
      </c>
      <c r="I37" s="65">
        <f t="shared" ca="1" si="9"/>
        <v>184.3285383333689</v>
      </c>
      <c r="J37" s="78">
        <f t="shared" ref="J37:J53" ca="1" si="19">D37-D36</f>
        <v>-134935.16482651234</v>
      </c>
      <c r="K37" s="79">
        <f t="shared" ca="1" si="13"/>
        <v>-10794.813186120988</v>
      </c>
      <c r="L37" s="83">
        <f t="shared" ca="1" si="14"/>
        <v>75206.043640014512</v>
      </c>
      <c r="M37" s="83">
        <f t="shared" ca="1" si="15"/>
        <v>26543.309520005118</v>
      </c>
      <c r="N37" s="83">
        <f t="shared" ca="1" si="16"/>
        <v>57510.50396001109</v>
      </c>
      <c r="O37" s="83">
        <f t="shared" ca="1" si="17"/>
        <v>41473.921125007997</v>
      </c>
      <c r="U37" s="1"/>
      <c r="V37" s="1"/>
      <c r="W37" s="1"/>
      <c r="X37" s="1"/>
      <c r="AC37" s="1">
        <v>3386</v>
      </c>
      <c r="AD37" s="1">
        <v>23290.000000001</v>
      </c>
      <c r="AG37">
        <v>3386</v>
      </c>
      <c r="AH37">
        <v>348201.00000009401</v>
      </c>
    </row>
    <row r="38" spans="1:34">
      <c r="A38" s="1" t="s">
        <v>216</v>
      </c>
      <c r="B38" s="83">
        <v>2017</v>
      </c>
      <c r="C38" s="1">
        <v>3625.29</v>
      </c>
      <c r="D38" s="78">
        <f t="shared" ca="1" si="11"/>
        <v>14332100.54776907</v>
      </c>
      <c r="E38" s="187">
        <f t="shared" ca="1" si="12"/>
        <v>109136.05960008176</v>
      </c>
      <c r="F38" s="187">
        <f t="shared" ca="1" si="18"/>
        <v>109681.68560004991</v>
      </c>
      <c r="G38" s="1">
        <v>0.02</v>
      </c>
      <c r="H38" s="86">
        <f t="shared" si="2"/>
        <v>1.6666666666666668E-3</v>
      </c>
      <c r="I38" s="65">
        <f t="shared" ca="1" si="9"/>
        <v>182.80280933341652</v>
      </c>
      <c r="J38" s="78">
        <f t="shared" ca="1" si="19"/>
        <v>-197419.76100450754</v>
      </c>
      <c r="K38" s="79">
        <f t="shared" ca="1" si="13"/>
        <v>-15793.580880360603</v>
      </c>
      <c r="L38" s="83">
        <f t="shared" ca="1" si="14"/>
        <v>64712.194504029445</v>
      </c>
      <c r="M38" s="83">
        <f t="shared" ca="1" si="15"/>
        <v>28517.238256012977</v>
      </c>
      <c r="N38" s="83">
        <f t="shared" ca="1" si="16"/>
        <v>44969.491096020458</v>
      </c>
      <c r="O38" s="83">
        <f t="shared" ca="1" si="17"/>
        <v>34220.685907215571</v>
      </c>
      <c r="U38" s="1"/>
      <c r="V38" s="1"/>
      <c r="W38" s="1"/>
      <c r="X38" s="1"/>
      <c r="AC38" s="1">
        <v>3386.5</v>
      </c>
      <c r="AD38" s="1">
        <v>23388.999999996598</v>
      </c>
      <c r="AG38">
        <v>3386.5</v>
      </c>
      <c r="AH38">
        <v>359870.75000032102</v>
      </c>
    </row>
    <row r="39" spans="1:34">
      <c r="A39" s="1" t="s">
        <v>217</v>
      </c>
      <c r="B39" s="83">
        <v>2017</v>
      </c>
      <c r="C39" s="1">
        <v>3622.85</v>
      </c>
      <c r="D39" s="78">
        <f t="shared" ca="1" si="11"/>
        <v>14067610.693020463</v>
      </c>
      <c r="E39" s="187">
        <f t="shared" ca="1" si="12"/>
        <v>107656.81100003561</v>
      </c>
      <c r="F39" s="187">
        <f t="shared" ca="1" si="18"/>
        <v>108396.43530005869</v>
      </c>
      <c r="G39" s="1">
        <v>0.06</v>
      </c>
      <c r="H39" s="86">
        <f t="shared" si="2"/>
        <v>5.0000000000000001E-3</v>
      </c>
      <c r="I39" s="65">
        <f t="shared" ca="1" si="9"/>
        <v>541.98217650029346</v>
      </c>
      <c r="J39" s="78">
        <f t="shared" ca="1" si="19"/>
        <v>-264489.85474860668</v>
      </c>
      <c r="K39" s="79">
        <f t="shared" ca="1" si="13"/>
        <v>-21159.188379888536</v>
      </c>
      <c r="L39" s="83">
        <f t="shared" ca="1" si="14"/>
        <v>56366.14635603052</v>
      </c>
      <c r="M39" s="83">
        <f t="shared" ca="1" si="15"/>
        <v>27099.108825014671</v>
      </c>
      <c r="N39" s="83">
        <f t="shared" ca="1" si="16"/>
        <v>39022.716708021122</v>
      </c>
      <c r="O39" s="83">
        <f t="shared" ca="1" si="17"/>
        <v>28291.469613315319</v>
      </c>
      <c r="U39" s="1"/>
      <c r="V39" s="1"/>
      <c r="W39" s="1"/>
      <c r="X39" s="1"/>
      <c r="AC39" s="1">
        <v>3387</v>
      </c>
      <c r="AD39" s="1">
        <v>23487.999999992298</v>
      </c>
      <c r="AG39">
        <v>3387</v>
      </c>
      <c r="AH39">
        <v>371589.99999977002</v>
      </c>
    </row>
    <row r="40" spans="1:34">
      <c r="A40" s="1" t="s">
        <v>210</v>
      </c>
      <c r="B40" s="83">
        <v>2018</v>
      </c>
      <c r="C40" s="1">
        <v>3619.14</v>
      </c>
      <c r="D40" s="78">
        <f t="shared" ca="1" si="11"/>
        <v>13672344.265211999</v>
      </c>
      <c r="E40" s="187">
        <f t="shared" ca="1" si="12"/>
        <v>105475.69399995101</v>
      </c>
      <c r="F40" s="187">
        <f t="shared" ca="1" si="18"/>
        <v>106566.25249999331</v>
      </c>
      <c r="G40" s="1">
        <v>0.39</v>
      </c>
      <c r="H40" s="86">
        <f t="shared" si="2"/>
        <v>3.2500000000000001E-2</v>
      </c>
      <c r="I40" s="65">
        <f t="shared" ca="1" si="9"/>
        <v>3463.4032062497827</v>
      </c>
      <c r="J40" s="78">
        <f t="shared" ca="1" si="19"/>
        <v>-395266.42780846357</v>
      </c>
      <c r="K40" s="79">
        <f t="shared" ca="1" si="13"/>
        <v>-31621.314224677088</v>
      </c>
      <c r="L40" s="83">
        <f t="shared" ca="1" si="14"/>
        <v>39429.513424997524</v>
      </c>
      <c r="M40" s="83">
        <f t="shared" ca="1" si="15"/>
        <v>17050.60039999893</v>
      </c>
      <c r="N40" s="83">
        <f t="shared" ca="1" si="16"/>
        <v>25575.900599998393</v>
      </c>
      <c r="O40" s="83">
        <f t="shared" ca="1" si="17"/>
        <v>21100.117994998676</v>
      </c>
      <c r="U40" s="1"/>
      <c r="V40" s="1"/>
      <c r="W40" s="1"/>
      <c r="X40" s="1"/>
      <c r="AC40" s="1">
        <v>3387.5</v>
      </c>
      <c r="AD40" s="1">
        <v>23586.9999999879</v>
      </c>
      <c r="AG40">
        <v>3387.5</v>
      </c>
      <c r="AH40">
        <v>383358.75000006403</v>
      </c>
    </row>
    <row r="41" spans="1:34">
      <c r="A41" s="1" t="s">
        <v>211</v>
      </c>
      <c r="B41" s="83">
        <v>2018</v>
      </c>
      <c r="C41" s="1">
        <v>3616.02</v>
      </c>
      <c r="D41" s="78">
        <f t="shared" ca="1" si="11"/>
        <v>13345814.847575128</v>
      </c>
      <c r="E41" s="187">
        <f t="shared" ca="1" si="12"/>
        <v>103831.14199990453</v>
      </c>
      <c r="F41" s="187">
        <f t="shared" ca="1" si="18"/>
        <v>104653.41799992777</v>
      </c>
      <c r="G41" s="1">
        <v>0.52</v>
      </c>
      <c r="H41" s="86">
        <f t="shared" si="2"/>
        <v>4.3333333333333335E-2</v>
      </c>
      <c r="I41" s="65">
        <f t="shared" ca="1" si="9"/>
        <v>4534.9814466635371</v>
      </c>
      <c r="J41" s="78">
        <f t="shared" ca="1" si="19"/>
        <v>-326529.41763687134</v>
      </c>
      <c r="K41" s="79">
        <f t="shared" ca="1" si="13"/>
        <v>-26122.353410949709</v>
      </c>
      <c r="L41" s="83">
        <f t="shared" ca="1" si="14"/>
        <v>28256.422859980499</v>
      </c>
      <c r="M41" s="83">
        <f t="shared" ca="1" si="15"/>
        <v>7325.7392599949444</v>
      </c>
      <c r="N41" s="83">
        <f t="shared" ca="1" si="16"/>
        <v>19884.149419986275</v>
      </c>
      <c r="O41" s="83">
        <f t="shared" ca="1" si="17"/>
        <v>19465.535747986563</v>
      </c>
      <c r="U41" s="1"/>
      <c r="V41" s="1"/>
      <c r="W41" s="1"/>
      <c r="X41" s="1"/>
      <c r="AC41" s="1">
        <v>3388</v>
      </c>
      <c r="AD41" s="1">
        <v>23686.000000008298</v>
      </c>
      <c r="AG41">
        <v>3388</v>
      </c>
      <c r="AH41">
        <v>395177.00000039203</v>
      </c>
    </row>
    <row r="42" spans="1:34">
      <c r="A42" s="1" t="s">
        <v>50</v>
      </c>
      <c r="B42" s="83">
        <v>2018</v>
      </c>
      <c r="C42" s="1">
        <v>3612.23</v>
      </c>
      <c r="D42" s="78">
        <f t="shared" ca="1" si="11"/>
        <v>12956094.315407574</v>
      </c>
      <c r="E42" s="187">
        <f t="shared" ca="1" si="12"/>
        <v>101833.43299999251</v>
      </c>
      <c r="F42" s="187">
        <f t="shared" ca="1" si="18"/>
        <v>102832.28749994852</v>
      </c>
      <c r="G42" s="1">
        <v>0.47</v>
      </c>
      <c r="H42" s="86">
        <f t="shared" si="2"/>
        <v>3.9166666666666662E-2</v>
      </c>
      <c r="I42" s="65">
        <f t="shared" ca="1" si="9"/>
        <v>4027.5979270813168</v>
      </c>
      <c r="J42" s="78">
        <f t="shared" ca="1" si="19"/>
        <v>-389720.5321675539</v>
      </c>
      <c r="K42" s="79">
        <f t="shared" ca="1" si="13"/>
        <v>-31177.642573404311</v>
      </c>
      <c r="L42" s="83">
        <f t="shared" ca="1" si="14"/>
        <v>42161.237874978891</v>
      </c>
      <c r="M42" s="83">
        <f t="shared" ca="1" si="15"/>
        <v>23651.42612498816</v>
      </c>
      <c r="N42" s="83">
        <f t="shared" ca="1" si="16"/>
        <v>29821.363374985071</v>
      </c>
      <c r="O42" s="83">
        <f t="shared" ca="1" si="17"/>
        <v>23959.922987488007</v>
      </c>
      <c r="U42" s="1"/>
      <c r="V42" s="1"/>
      <c r="W42" s="1"/>
      <c r="X42" s="1"/>
      <c r="AC42" s="1">
        <v>3388.5</v>
      </c>
      <c r="AD42" s="1">
        <v>23785.0000000039</v>
      </c>
      <c r="AG42">
        <v>3388.5</v>
      </c>
      <c r="AH42">
        <v>407044.74999994203</v>
      </c>
    </row>
    <row r="43" spans="1:34">
      <c r="A43" s="1" t="s">
        <v>212</v>
      </c>
      <c r="B43" s="83">
        <v>2018</v>
      </c>
      <c r="C43" s="1">
        <v>3609.39</v>
      </c>
      <c r="D43" s="78">
        <f t="shared" ca="1" si="11"/>
        <v>12669007.995176077</v>
      </c>
      <c r="E43" s="187">
        <f t="shared" ca="1" si="12"/>
        <v>100336.46900005196</v>
      </c>
      <c r="F43" s="187">
        <f t="shared" ca="1" si="18"/>
        <v>101084.95100002224</v>
      </c>
      <c r="G43" s="1">
        <v>0.37</v>
      </c>
      <c r="H43" s="86">
        <f t="shared" si="2"/>
        <v>3.0833333333333334E-2</v>
      </c>
      <c r="I43" s="65">
        <f t="shared" ca="1" si="9"/>
        <v>3116.7859891673525</v>
      </c>
      <c r="J43" s="78">
        <f t="shared" ca="1" si="19"/>
        <v>-287086.32023149729</v>
      </c>
      <c r="K43" s="79">
        <f t="shared" ca="1" si="13"/>
        <v>-22966.905618519784</v>
      </c>
      <c r="L43" s="83">
        <f t="shared" ca="1" si="14"/>
        <v>52564.174520011562</v>
      </c>
      <c r="M43" s="83">
        <f t="shared" ca="1" si="15"/>
        <v>33358.033830007342</v>
      </c>
      <c r="N43" s="83">
        <f t="shared" ca="1" si="16"/>
        <v>38412.281380008448</v>
      </c>
      <c r="O43" s="83">
        <f t="shared" ca="1" si="17"/>
        <v>26787.512015005894</v>
      </c>
      <c r="U43" s="1"/>
      <c r="V43" s="1"/>
      <c r="W43" s="1"/>
      <c r="X43" s="1"/>
      <c r="AC43" s="1">
        <v>3389</v>
      </c>
      <c r="AD43" s="1">
        <v>23883.9999999996</v>
      </c>
      <c r="AG43">
        <v>3389</v>
      </c>
      <c r="AH43">
        <v>418962.00000033702</v>
      </c>
    </row>
    <row r="44" spans="1:34">
      <c r="A44" s="1" t="s">
        <v>52</v>
      </c>
      <c r="B44" s="83">
        <v>2018</v>
      </c>
      <c r="C44" s="1">
        <v>3611.54</v>
      </c>
      <c r="D44" s="78">
        <f t="shared" ca="1" si="11"/>
        <v>12885943.206776798</v>
      </c>
      <c r="E44" s="187">
        <f t="shared" ca="1" si="12"/>
        <v>101469.73399992054</v>
      </c>
      <c r="F44" s="187">
        <f t="shared" ca="1" si="18"/>
        <v>100903.10149998625</v>
      </c>
      <c r="G44" s="1">
        <v>0.59</v>
      </c>
      <c r="H44" s="86">
        <f t="shared" si="2"/>
        <v>4.9166666666666664E-2</v>
      </c>
      <c r="I44" s="65">
        <f t="shared" ca="1" si="9"/>
        <v>4961.0691570826575</v>
      </c>
      <c r="J44" s="78">
        <f t="shared" ca="1" si="19"/>
        <v>216935.21160072088</v>
      </c>
      <c r="K44" s="79">
        <f t="shared" ca="1" si="13"/>
        <v>17354.816928057669</v>
      </c>
      <c r="L44" s="83">
        <f t="shared" ca="1" si="14"/>
        <v>65587.015974991067</v>
      </c>
      <c r="M44" s="83">
        <f t="shared" ca="1" si="15"/>
        <v>38343.17856999478</v>
      </c>
      <c r="N44" s="83">
        <f t="shared" ca="1" si="16"/>
        <v>50451.550749993126</v>
      </c>
      <c r="O44" s="83">
        <f t="shared" ca="1" si="17"/>
        <v>36224.213438495062</v>
      </c>
      <c r="U44" s="1"/>
      <c r="V44" s="1"/>
      <c r="W44" s="1"/>
      <c r="X44" s="1"/>
      <c r="AC44" s="1">
        <v>3389.5</v>
      </c>
      <c r="AD44" s="1">
        <v>23982.999999995202</v>
      </c>
      <c r="AG44">
        <v>3389.5</v>
      </c>
      <c r="AH44">
        <v>430928.74999995402</v>
      </c>
    </row>
    <row r="45" spans="1:34">
      <c r="A45" s="1" t="s">
        <v>53</v>
      </c>
      <c r="B45" s="83">
        <v>2018</v>
      </c>
      <c r="C45" s="1">
        <v>3609.98</v>
      </c>
      <c r="D45" s="78">
        <f t="shared" ca="1" si="11"/>
        <v>12728289.475574136</v>
      </c>
      <c r="E45" s="187">
        <f t="shared" ca="1" si="12"/>
        <v>100647.4580000164</v>
      </c>
      <c r="F45" s="187">
        <f t="shared" ca="1" si="18"/>
        <v>101058.59599996847</v>
      </c>
      <c r="G45" s="1">
        <v>0.05</v>
      </c>
      <c r="H45" s="86">
        <f t="shared" si="2"/>
        <v>4.1666666666666666E-3</v>
      </c>
      <c r="I45" s="65">
        <f t="shared" ca="1" si="9"/>
        <v>421.07748333320194</v>
      </c>
      <c r="J45" s="78">
        <f t="shared" ca="1" si="19"/>
        <v>-157653.73120266199</v>
      </c>
      <c r="K45" s="79">
        <f t="shared" ca="1" si="13"/>
        <v>-12612.298496212959</v>
      </c>
      <c r="L45" s="83">
        <f t="shared" ca="1" si="14"/>
        <v>83878.634679973824</v>
      </c>
      <c r="M45" s="83">
        <f t="shared" ca="1" si="15"/>
        <v>53561.055879983294</v>
      </c>
      <c r="N45" s="83">
        <f t="shared" ca="1" si="16"/>
        <v>63666.91547998014</v>
      </c>
      <c r="O45" s="83">
        <f t="shared" ca="1" si="17"/>
        <v>41535.08295598704</v>
      </c>
      <c r="U45" s="1"/>
      <c r="V45" s="1"/>
      <c r="W45" s="1"/>
      <c r="X45" s="1"/>
      <c r="AC45" s="1">
        <v>3390</v>
      </c>
      <c r="AD45" s="1">
        <v>24081.999999990901</v>
      </c>
      <c r="AG45">
        <v>3390</v>
      </c>
      <c r="AH45">
        <v>442944.999999605</v>
      </c>
    </row>
    <row r="46" spans="1:34">
      <c r="A46" s="1" t="s">
        <v>54</v>
      </c>
      <c r="B46" s="83">
        <v>2018</v>
      </c>
      <c r="C46" s="1">
        <v>3603.8</v>
      </c>
      <c r="D46" s="78">
        <f t="shared" ca="1" si="11"/>
        <v>12116367.075996161</v>
      </c>
      <c r="E46" s="187">
        <f t="shared" ca="1" si="12"/>
        <v>97389.979999899399</v>
      </c>
      <c r="F46" s="187">
        <f t="shared" ca="1" si="18"/>
        <v>99018.718999957899</v>
      </c>
      <c r="G46" s="1">
        <v>0.92</v>
      </c>
      <c r="H46" s="86">
        <f t="shared" si="2"/>
        <v>7.6666666666666675E-2</v>
      </c>
      <c r="I46" s="65">
        <f t="shared" ca="1" si="9"/>
        <v>7591.4351233301068</v>
      </c>
      <c r="J46" s="78">
        <f t="shared" ca="1" si="19"/>
        <v>-611922.39957797527</v>
      </c>
      <c r="K46" s="79">
        <f t="shared" ca="1" si="13"/>
        <v>-48953.791966238023</v>
      </c>
      <c r="L46" s="83">
        <f t="shared" ca="1" si="14"/>
        <v>99018.718999957899</v>
      </c>
      <c r="M46" s="83">
        <f t="shared" ca="1" si="15"/>
        <v>52479.921069977689</v>
      </c>
      <c r="N46" s="83">
        <f t="shared" ca="1" si="16"/>
        <v>69313.10329997052</v>
      </c>
      <c r="O46" s="83">
        <f t="shared" ca="1" si="17"/>
        <v>46142.723053980386</v>
      </c>
      <c r="U46" s="1"/>
      <c r="V46" s="1"/>
      <c r="W46" s="1"/>
      <c r="X46" s="1"/>
      <c r="AC46" s="1">
        <v>3390.5</v>
      </c>
      <c r="AD46" s="1">
        <v>24181.000000011201</v>
      </c>
      <c r="AG46">
        <v>3390.5</v>
      </c>
      <c r="AH46">
        <v>455010.75000010099</v>
      </c>
    </row>
    <row r="47" spans="1:34">
      <c r="A47" s="1" t="s">
        <v>213</v>
      </c>
      <c r="B47" s="83">
        <v>2018</v>
      </c>
      <c r="C47" s="1">
        <v>3597.12</v>
      </c>
      <c r="D47" s="78">
        <f t="shared" ca="1" si="11"/>
        <v>11477387.06001544</v>
      </c>
      <c r="E47" s="187">
        <f t="shared" ca="1" si="12"/>
        <v>93987.32000005804</v>
      </c>
      <c r="F47" s="187">
        <f t="shared" ca="1" si="18"/>
        <v>95688.649999978719</v>
      </c>
      <c r="G47" s="1">
        <v>0.79</v>
      </c>
      <c r="H47" s="86">
        <f t="shared" si="2"/>
        <v>6.5833333333333341E-2</v>
      </c>
      <c r="I47" s="65">
        <f t="shared" ca="1" si="9"/>
        <v>6299.5027916652662</v>
      </c>
      <c r="J47" s="78">
        <f t="shared" ca="1" si="19"/>
        <v>-638980.01598072052</v>
      </c>
      <c r="K47" s="79">
        <f t="shared" ca="1" si="13"/>
        <v>-51118.401278457641</v>
      </c>
      <c r="L47" s="83">
        <f t="shared" ca="1" si="14"/>
        <v>88033.557999980432</v>
      </c>
      <c r="M47" s="83">
        <f t="shared" ca="1" si="15"/>
        <v>59326.962999986805</v>
      </c>
      <c r="N47" s="83">
        <f t="shared" ca="1" si="16"/>
        <v>73680.260499983619</v>
      </c>
      <c r="O47" s="83">
        <f t="shared" ca="1" si="17"/>
        <v>45739.174699989824</v>
      </c>
      <c r="U47" s="1"/>
      <c r="V47" s="1"/>
      <c r="W47" s="1"/>
      <c r="X47" s="1"/>
      <c r="AC47" s="1">
        <v>3391</v>
      </c>
      <c r="AD47" s="1">
        <v>24280.000000006901</v>
      </c>
      <c r="AG47">
        <v>3391</v>
      </c>
      <c r="AH47">
        <v>467125.99999981897</v>
      </c>
    </row>
    <row r="48" spans="1:34">
      <c r="A48" s="1" t="s">
        <v>214</v>
      </c>
      <c r="B48" s="83">
        <v>2018</v>
      </c>
      <c r="C48" s="1">
        <v>3592.28</v>
      </c>
      <c r="D48" s="78">
        <f t="shared" ca="1" si="11"/>
        <v>11028184.740015566</v>
      </c>
      <c r="E48" s="187">
        <f t="shared" ca="1" si="12"/>
        <v>91635.08000000543</v>
      </c>
      <c r="F48" s="187">
        <f t="shared" ca="1" si="18"/>
        <v>92811.200000031735</v>
      </c>
      <c r="G48" s="1">
        <v>0.74</v>
      </c>
      <c r="H48" s="86">
        <f t="shared" si="2"/>
        <v>6.1666666666666668E-2</v>
      </c>
      <c r="I48" s="65">
        <f t="shared" ca="1" si="9"/>
        <v>5723.3573333352906</v>
      </c>
      <c r="J48" s="78">
        <f t="shared" ca="1" si="19"/>
        <v>-449202.31999987364</v>
      </c>
      <c r="K48" s="79">
        <f t="shared" ca="1" si="13"/>
        <v>-35936.185599989891</v>
      </c>
      <c r="L48" s="83">
        <f t="shared" ca="1" si="14"/>
        <v>92811.200000031735</v>
      </c>
      <c r="M48" s="83">
        <f t="shared" ca="1" si="15"/>
        <v>44549.376000015232</v>
      </c>
      <c r="N48" s="83">
        <f t="shared" ca="1" si="16"/>
        <v>64039.728000021889</v>
      </c>
      <c r="O48" s="83">
        <f t="shared" ca="1" si="17"/>
        <v>38516.648000013171</v>
      </c>
      <c r="U48" s="1"/>
      <c r="V48" s="1"/>
      <c r="W48" s="1"/>
      <c r="X48" s="1"/>
      <c r="AC48" s="1">
        <v>3391.5</v>
      </c>
      <c r="AD48" s="1">
        <v>24379.000000002499</v>
      </c>
      <c r="AG48">
        <v>3391.5</v>
      </c>
      <c r="AH48">
        <v>479290.75000038103</v>
      </c>
    </row>
    <row r="49" spans="1:34">
      <c r="A49" s="1" t="s">
        <v>215</v>
      </c>
      <c r="B49" s="83">
        <v>2018</v>
      </c>
      <c r="C49" s="1">
        <v>3590.46</v>
      </c>
      <c r="D49" s="78">
        <f t="shared" ca="1" si="11"/>
        <v>10862203.310024738</v>
      </c>
      <c r="E49" s="187">
        <f t="shared" ca="1" si="12"/>
        <v>90750.559999951394</v>
      </c>
      <c r="F49" s="187">
        <f t="shared" ca="1" si="18"/>
        <v>91192.819999978412</v>
      </c>
      <c r="G49" s="1">
        <v>4.2699999999999996</v>
      </c>
      <c r="H49" s="86">
        <f t="shared" si="2"/>
        <v>0.35583333333333328</v>
      </c>
      <c r="I49" s="65">
        <f t="shared" ca="1" si="9"/>
        <v>32449.445116658979</v>
      </c>
      <c r="J49" s="78">
        <f t="shared" ca="1" si="19"/>
        <v>-165981.42999082804</v>
      </c>
      <c r="K49" s="79">
        <f t="shared" ca="1" si="13"/>
        <v>-13278.514399266243</v>
      </c>
      <c r="L49" s="83">
        <f t="shared" ca="1" si="14"/>
        <v>62011.117599985322</v>
      </c>
      <c r="M49" s="83">
        <f t="shared" ca="1" si="15"/>
        <v>21886.276799994819</v>
      </c>
      <c r="N49" s="83">
        <f t="shared" ca="1" si="16"/>
        <v>47420.266399988774</v>
      </c>
      <c r="O49" s="83">
        <f t="shared" ca="1" si="17"/>
        <v>34197.307499991904</v>
      </c>
      <c r="U49" s="1"/>
      <c r="V49" s="1"/>
      <c r="W49" s="1"/>
      <c r="X49" s="1"/>
      <c r="AC49" s="1">
        <v>3392</v>
      </c>
      <c r="AD49" s="1">
        <v>24477.999999998199</v>
      </c>
      <c r="AG49">
        <v>3392</v>
      </c>
      <c r="AH49">
        <v>491505.000000167</v>
      </c>
    </row>
    <row r="50" spans="1:34">
      <c r="A50" s="1" t="s">
        <v>216</v>
      </c>
      <c r="B50" s="83">
        <v>2018</v>
      </c>
      <c r="C50" s="1">
        <v>3586.5</v>
      </c>
      <c r="D50" s="78">
        <f t="shared" ca="1" si="11"/>
        <v>10506637.250020087</v>
      </c>
      <c r="E50" s="187">
        <f t="shared" ca="1" si="12"/>
        <v>88825.999999974621</v>
      </c>
      <c r="F50" s="187">
        <f t="shared" ca="1" si="18"/>
        <v>89788.279999963008</v>
      </c>
      <c r="G50" s="177">
        <v>0.14000000000000001</v>
      </c>
      <c r="H50" s="86">
        <f t="shared" si="2"/>
        <v>1.1666666666666667E-2</v>
      </c>
      <c r="I50" s="65">
        <f t="shared" ca="1" si="9"/>
        <v>1047.5299333329019</v>
      </c>
      <c r="J50" s="78">
        <f t="shared" ca="1" si="19"/>
        <v>-355566.06000465155</v>
      </c>
      <c r="K50" s="79">
        <f t="shared" ca="1" si="13"/>
        <v>-28445.284800372123</v>
      </c>
      <c r="L50" s="83">
        <f t="shared" ca="1" si="14"/>
        <v>52975.085199978173</v>
      </c>
      <c r="M50" s="83">
        <f t="shared" ca="1" si="15"/>
        <v>23344.952799990384</v>
      </c>
      <c r="N50" s="83">
        <f t="shared" ca="1" si="16"/>
        <v>36813.194799984834</v>
      </c>
      <c r="O50" s="83">
        <f t="shared" ca="1" si="17"/>
        <v>28013.943359988458</v>
      </c>
      <c r="U50" s="1"/>
      <c r="V50" s="1"/>
      <c r="W50" s="1"/>
      <c r="X50" s="1"/>
      <c r="AC50" s="1">
        <v>3392.5</v>
      </c>
      <c r="AD50" s="1">
        <v>24576.999999993801</v>
      </c>
      <c r="AG50">
        <v>3392.5</v>
      </c>
      <c r="AH50">
        <v>503768.74999998597</v>
      </c>
    </row>
    <row r="51" spans="1:34">
      <c r="A51" s="1" t="s">
        <v>217</v>
      </c>
      <c r="B51" s="83">
        <v>2018</v>
      </c>
      <c r="C51" s="1">
        <v>3581.85</v>
      </c>
      <c r="D51" s="78">
        <f t="shared" ca="1" si="11"/>
        <v>10098863.375011086</v>
      </c>
      <c r="E51" s="187">
        <f t="shared" ca="1" si="12"/>
        <v>86566.099999970058</v>
      </c>
      <c r="F51" s="187">
        <f t="shared" ca="1" si="18"/>
        <v>87696.04999997234</v>
      </c>
      <c r="G51" s="1">
        <v>0.31</v>
      </c>
      <c r="H51" s="86">
        <f t="shared" si="2"/>
        <v>2.5833333333333333E-2</v>
      </c>
      <c r="I51" s="65">
        <f t="shared" ca="1" si="9"/>
        <v>2265.4812916659521</v>
      </c>
      <c r="J51" s="78">
        <f t="shared" ca="1" si="19"/>
        <v>-407773.8750090003</v>
      </c>
      <c r="K51" s="79">
        <f t="shared" ca="1" si="13"/>
        <v>-32621.910000720025</v>
      </c>
      <c r="L51" s="83">
        <f t="shared" ca="1" si="14"/>
        <v>45601.945999985619</v>
      </c>
      <c r="M51" s="83">
        <f t="shared" ca="1" si="15"/>
        <v>21924.012499993085</v>
      </c>
      <c r="N51" s="83">
        <f t="shared" ca="1" si="16"/>
        <v>31570.577999990041</v>
      </c>
      <c r="O51" s="83">
        <f t="shared" ca="1" si="17"/>
        <v>22888.669049992783</v>
      </c>
      <c r="U51" s="1"/>
      <c r="V51" s="1"/>
      <c r="W51" s="1"/>
      <c r="X51" s="1"/>
      <c r="AC51" s="1">
        <v>3393</v>
      </c>
      <c r="AD51" s="1">
        <v>24675.999999989501</v>
      </c>
      <c r="AG51">
        <v>3393</v>
      </c>
      <c r="AH51">
        <v>516081.99999983801</v>
      </c>
    </row>
    <row r="52" spans="1:34">
      <c r="A52" s="1" t="s">
        <v>210</v>
      </c>
      <c r="B52" s="83">
        <v>2019</v>
      </c>
      <c r="C52" s="1">
        <v>3576.34</v>
      </c>
      <c r="D52" s="78">
        <f t="shared" ca="1" si="11"/>
        <v>9629250.699223578</v>
      </c>
      <c r="E52" s="187">
        <f t="shared" ca="1" si="12"/>
        <v>83894.461999986786</v>
      </c>
      <c r="F52" s="187">
        <f t="shared" ca="1" si="18"/>
        <v>85230.280999978422</v>
      </c>
      <c r="G52" s="178">
        <v>0.375</v>
      </c>
      <c r="H52" s="86">
        <f t="shared" si="2"/>
        <v>3.125E-2</v>
      </c>
      <c r="I52" s="65">
        <f t="shared" ca="1" si="9"/>
        <v>2663.4462812493257</v>
      </c>
      <c r="J52" s="78">
        <f t="shared" ca="1" si="19"/>
        <v>-469612.67578750849</v>
      </c>
      <c r="K52" s="79">
        <f t="shared" ca="1" si="13"/>
        <v>-37569.014063000679</v>
      </c>
      <c r="L52" s="83">
        <f t="shared" ca="1" si="14"/>
        <v>31535.203969992017</v>
      </c>
      <c r="M52" s="83">
        <f t="shared" ca="1" si="15"/>
        <v>13636.844959996548</v>
      </c>
      <c r="N52" s="83">
        <f t="shared" ca="1" si="16"/>
        <v>20455.267439994819</v>
      </c>
      <c r="O52" s="83">
        <f t="shared" ca="1" si="17"/>
        <v>16875.595637995728</v>
      </c>
      <c r="U52" s="1"/>
      <c r="V52" s="1"/>
      <c r="W52" s="1"/>
      <c r="X52" s="1"/>
      <c r="AC52" s="1">
        <v>3393.5</v>
      </c>
      <c r="AD52" s="1">
        <v>24775.000000009801</v>
      </c>
      <c r="AG52">
        <v>3393.5</v>
      </c>
      <c r="AH52">
        <v>528444.74999972398</v>
      </c>
    </row>
    <row r="53" spans="1:34">
      <c r="A53" s="1" t="s">
        <v>211</v>
      </c>
      <c r="B53" s="83">
        <v>2019</v>
      </c>
      <c r="C53" s="1">
        <v>3571.89</v>
      </c>
      <c r="D53" s="78">
        <f t="shared" ca="1" si="11"/>
        <v>9260712.7328162789</v>
      </c>
      <c r="E53" s="187">
        <f t="shared" ca="1" si="12"/>
        <v>81739.327000033576</v>
      </c>
      <c r="F53" s="187">
        <f t="shared" ca="1" si="18"/>
        <v>82816.894500010181</v>
      </c>
      <c r="G53" s="176">
        <v>2.91</v>
      </c>
      <c r="H53" s="86">
        <f t="shared" si="2"/>
        <v>0.24250000000000002</v>
      </c>
      <c r="I53" s="65">
        <f t="shared" ca="1" si="9"/>
        <v>20083.096916252471</v>
      </c>
      <c r="J53" s="78">
        <f t="shared" ca="1" si="19"/>
        <v>-368537.96640729904</v>
      </c>
      <c r="K53" s="79">
        <f t="shared" ca="1" si="13"/>
        <v>-29483.037312583925</v>
      </c>
      <c r="L53" s="83">
        <f t="shared" ca="1" si="14"/>
        <v>22360.561515002752</v>
      </c>
      <c r="M53" s="83">
        <f t="shared" ca="1" si="15"/>
        <v>5797.1826150007137</v>
      </c>
      <c r="N53" s="83">
        <f t="shared" ca="1" si="16"/>
        <v>15735.209955001934</v>
      </c>
      <c r="O53" s="83">
        <f t="shared" ca="1" si="17"/>
        <v>15403.942377001893</v>
      </c>
      <c r="U53" s="1"/>
      <c r="V53" s="1"/>
      <c r="W53" s="1"/>
      <c r="X53" s="1"/>
      <c r="AC53" s="1">
        <v>3394</v>
      </c>
      <c r="AD53" s="1">
        <v>24874.000000054901</v>
      </c>
      <c r="AG53">
        <v>3394</v>
      </c>
      <c r="AH53">
        <v>540856.999999644</v>
      </c>
    </row>
    <row r="54" spans="1:34">
      <c r="A54" s="1" t="s">
        <v>50</v>
      </c>
      <c r="B54" s="83">
        <v>2019</v>
      </c>
      <c r="C54" s="1">
        <v>3569.28</v>
      </c>
      <c r="D54" s="78">
        <f t="shared" ca="1" si="11"/>
        <v>9049027.1684231758</v>
      </c>
      <c r="E54" s="187">
        <f t="shared" ca="1" si="12"/>
        <v>80475.303999982309</v>
      </c>
      <c r="F54" s="187">
        <f t="shared" ref="F54:F66" ca="1" si="20">(E53+E54)/2</f>
        <v>81107.315500007942</v>
      </c>
      <c r="G54" s="176">
        <v>2.4</v>
      </c>
      <c r="H54" s="86">
        <f t="shared" si="2"/>
        <v>0.19999999999999998</v>
      </c>
      <c r="I54" s="65">
        <f t="shared" ca="1" si="9"/>
        <v>16221.463100001587</v>
      </c>
      <c r="J54" s="78">
        <f t="shared" ref="J54:J66" ca="1" si="21">D54-D53</f>
        <v>-211685.56439310312</v>
      </c>
      <c r="K54" s="79">
        <f t="shared" ref="K54:K66" ca="1" si="22">0.08*J54</f>
        <v>-16934.845151448251</v>
      </c>
      <c r="L54" s="83">
        <f t="shared" ca="1" si="14"/>
        <v>33253.999355003252</v>
      </c>
      <c r="M54" s="83">
        <f t="shared" ca="1" si="15"/>
        <v>18654.682565001829</v>
      </c>
      <c r="N54" s="83">
        <f t="shared" ref="N54:N66" ca="1" si="23">VLOOKUP(A54,$W$4:$X$15,2,FALSE)*F54</f>
        <v>23521.121495002302</v>
      </c>
      <c r="O54" s="83">
        <f t="shared" ref="O54:O66" ca="1" si="24">VLOOKUP(A54,$Y$4:$Z$15,2,FALSE)*F54</f>
        <v>18898.004511501851</v>
      </c>
      <c r="U54" s="1"/>
      <c r="V54" s="1"/>
      <c r="W54" s="1"/>
      <c r="X54" s="1"/>
      <c r="AC54" s="1">
        <v>3394.5</v>
      </c>
      <c r="AD54" s="1">
        <v>24973.000000100001</v>
      </c>
      <c r="AG54">
        <v>3394.5</v>
      </c>
      <c r="AH54">
        <v>553318.74999959697</v>
      </c>
    </row>
    <row r="55" spans="1:34">
      <c r="A55" s="1" t="s">
        <v>212</v>
      </c>
      <c r="B55" s="83">
        <v>2019</v>
      </c>
      <c r="C55" s="1">
        <v>3571.12</v>
      </c>
      <c r="D55" s="78">
        <f t="shared" ca="1" si="11"/>
        <v>9197917.6756276488</v>
      </c>
      <c r="E55" s="187">
        <f t="shared" ca="1" si="12"/>
        <v>81366.415999913123</v>
      </c>
      <c r="F55" s="187">
        <f t="shared" ca="1" si="20"/>
        <v>80920.859999947716</v>
      </c>
      <c r="G55" s="176">
        <v>0.57999999999999996</v>
      </c>
      <c r="H55" s="86">
        <f t="shared" si="2"/>
        <v>4.8333333333333332E-2</v>
      </c>
      <c r="I55" s="65">
        <f t="shared" ca="1" si="9"/>
        <v>3911.1748999974729</v>
      </c>
      <c r="J55" s="78">
        <f t="shared" ca="1" si="21"/>
        <v>148890.50720447302</v>
      </c>
      <c r="K55" s="79">
        <f t="shared" ca="1" si="22"/>
        <v>11911.240576357841</v>
      </c>
      <c r="L55" s="83">
        <f t="shared" ca="1" si="14"/>
        <v>42078.847199972814</v>
      </c>
      <c r="M55" s="83">
        <f t="shared" ca="1" si="15"/>
        <v>26703.883799982748</v>
      </c>
      <c r="N55" s="83">
        <f t="shared" ca="1" si="23"/>
        <v>30749.92679998013</v>
      </c>
      <c r="O55" s="83">
        <f t="shared" ca="1" si="24"/>
        <v>21444.027899986144</v>
      </c>
      <c r="U55" s="1"/>
      <c r="V55" s="1"/>
      <c r="W55" s="1"/>
      <c r="X55" s="1"/>
      <c r="AC55" s="1">
        <v>3395</v>
      </c>
      <c r="AD55" s="1">
        <v>25071.999999897998</v>
      </c>
      <c r="AG55">
        <v>3395</v>
      </c>
      <c r="AH55">
        <v>565830.00000039395</v>
      </c>
    </row>
    <row r="56" spans="1:34">
      <c r="A56" s="1" t="s">
        <v>52</v>
      </c>
      <c r="B56" s="83">
        <v>2019</v>
      </c>
      <c r="C56" s="1">
        <v>3584.65</v>
      </c>
      <c r="D56" s="78">
        <f t="shared" ca="1" si="11"/>
        <v>10343153.574986041</v>
      </c>
      <c r="E56" s="187">
        <f t="shared" ca="1" si="12"/>
        <v>87926.900000068359</v>
      </c>
      <c r="F56" s="187">
        <f t="shared" ca="1" si="20"/>
        <v>84646.657999990741</v>
      </c>
      <c r="G56" s="176">
        <v>2.63</v>
      </c>
      <c r="H56" s="86">
        <f t="shared" si="2"/>
        <v>0.21916666666666665</v>
      </c>
      <c r="I56" s="65">
        <f t="shared" ca="1" si="9"/>
        <v>18551.725878331301</v>
      </c>
      <c r="J56" s="78">
        <f t="shared" ca="1" si="21"/>
        <v>1145235.8993583918</v>
      </c>
      <c r="K56" s="79">
        <f t="shared" ca="1" si="22"/>
        <v>91618.871948671338</v>
      </c>
      <c r="L56" s="83">
        <f t="shared" ca="1" si="14"/>
        <v>55020.327699993984</v>
      </c>
      <c r="M56" s="83">
        <f t="shared" ca="1" si="15"/>
        <v>32165.730039996481</v>
      </c>
      <c r="N56" s="83">
        <f t="shared" ca="1" si="23"/>
        <v>42323.32899999537</v>
      </c>
      <c r="O56" s="83">
        <f t="shared" ca="1" si="24"/>
        <v>30388.150221996675</v>
      </c>
      <c r="U56" s="1"/>
      <c r="V56" s="1"/>
      <c r="W56" s="1"/>
      <c r="X56" s="1"/>
      <c r="AC56" s="1">
        <v>3395.5</v>
      </c>
      <c r="AD56" s="1">
        <v>25170.999999943</v>
      </c>
      <c r="AG56">
        <v>3395.5</v>
      </c>
      <c r="AH56">
        <v>578390.74999960396</v>
      </c>
    </row>
    <row r="57" spans="1:34">
      <c r="A57" s="1" t="s">
        <v>53</v>
      </c>
      <c r="B57" s="83">
        <v>2019</v>
      </c>
      <c r="C57" s="1">
        <v>3611.82</v>
      </c>
      <c r="D57" s="78">
        <f t="shared" ca="1" si="11"/>
        <v>12914385.724394798</v>
      </c>
      <c r="E57" s="187">
        <f t="shared" ca="1" si="12"/>
        <v>101617.32199990377</v>
      </c>
      <c r="F57" s="187">
        <f t="shared" ca="1" si="20"/>
        <v>94772.110999986064</v>
      </c>
      <c r="G57" s="176">
        <v>0.05</v>
      </c>
      <c r="H57" s="86">
        <f t="shared" si="2"/>
        <v>4.1666666666666666E-3</v>
      </c>
      <c r="I57" s="65">
        <f t="shared" ca="1" si="9"/>
        <v>394.88379583327526</v>
      </c>
      <c r="J57" s="78">
        <f t="shared" ca="1" si="21"/>
        <v>2571232.1494087577</v>
      </c>
      <c r="K57" s="79">
        <f t="shared" ca="1" si="22"/>
        <v>205698.57195270061</v>
      </c>
      <c r="L57" s="83">
        <f t="shared" ca="1" si="14"/>
        <v>78660.852129988431</v>
      </c>
      <c r="M57" s="83">
        <f t="shared" ca="1" si="15"/>
        <v>50229.218829992613</v>
      </c>
      <c r="N57" s="83">
        <f t="shared" ca="1" si="23"/>
        <v>59706.429929991224</v>
      </c>
      <c r="O57" s="83">
        <f t="shared" ca="1" si="24"/>
        <v>38951.337620994273</v>
      </c>
      <c r="U57" s="1"/>
      <c r="V57" s="1"/>
      <c r="W57" s="1"/>
      <c r="X57" s="1"/>
      <c r="AC57" s="1">
        <v>3396</v>
      </c>
      <c r="AD57" s="1">
        <v>25269.9999999881</v>
      </c>
      <c r="AG57">
        <v>3396</v>
      </c>
      <c r="AH57">
        <v>591000.99999965797</v>
      </c>
    </row>
    <row r="58" spans="1:34">
      <c r="A58" s="1" t="s">
        <v>54</v>
      </c>
      <c r="B58" s="83">
        <v>2019</v>
      </c>
      <c r="C58" s="1">
        <v>3621.6</v>
      </c>
      <c r="D58" s="78">
        <f t="shared" ca="1" si="11"/>
        <v>13933509.524024785</v>
      </c>
      <c r="E58" s="187">
        <f t="shared" ca="1" si="12"/>
        <v>106898.99599997234</v>
      </c>
      <c r="F58" s="187">
        <f t="shared" ca="1" si="20"/>
        <v>104258.15899993805</v>
      </c>
      <c r="G58" s="176">
        <v>0.28000000000000003</v>
      </c>
      <c r="H58" s="86">
        <f t="shared" si="2"/>
        <v>2.3333333333333334E-2</v>
      </c>
      <c r="I58" s="65">
        <f t="shared" ca="1" si="9"/>
        <v>2432.6903766652213</v>
      </c>
      <c r="J58" s="78">
        <f t="shared" ca="1" si="21"/>
        <v>1019123.7996299863</v>
      </c>
      <c r="K58" s="79">
        <f t="shared" ca="1" si="22"/>
        <v>81529.903970398911</v>
      </c>
      <c r="L58" s="83">
        <f t="shared" ca="1" si="14"/>
        <v>104258.15899993805</v>
      </c>
      <c r="M58" s="83">
        <f t="shared" ca="1" si="15"/>
        <v>55256.824269967168</v>
      </c>
      <c r="N58" s="83">
        <f t="shared" ca="1" si="23"/>
        <v>72980.711299956631</v>
      </c>
      <c r="O58" s="83">
        <f t="shared" ca="1" si="24"/>
        <v>48584.302093971135</v>
      </c>
      <c r="U58" s="1"/>
      <c r="V58" s="1"/>
      <c r="W58" s="1"/>
      <c r="X58" s="1"/>
      <c r="AC58" s="1">
        <v>3396.5</v>
      </c>
      <c r="AD58" s="1">
        <v>25369.0000000332</v>
      </c>
      <c r="AG58">
        <v>3396.5</v>
      </c>
      <c r="AH58">
        <v>603660.74999974505</v>
      </c>
    </row>
    <row r="59" spans="1:34">
      <c r="A59" s="1" t="s">
        <v>213</v>
      </c>
      <c r="B59" s="83">
        <v>2019</v>
      </c>
      <c r="C59" s="1">
        <v>3618.55</v>
      </c>
      <c r="D59" s="78">
        <f t="shared" ca="1" si="11"/>
        <v>13610197.995974302</v>
      </c>
      <c r="E59" s="187">
        <f t="shared" ca="1" si="12"/>
        <v>105164.70499998727</v>
      </c>
      <c r="F59" s="187">
        <f t="shared" ca="1" si="20"/>
        <v>106031.8504999798</v>
      </c>
      <c r="G59" s="176">
        <v>0.13</v>
      </c>
      <c r="H59" s="86">
        <f t="shared" si="2"/>
        <v>1.0833333333333334E-2</v>
      </c>
      <c r="I59" s="65">
        <f t="shared" ca="1" si="9"/>
        <v>1148.6783804164479</v>
      </c>
      <c r="J59" s="78">
        <f t="shared" ca="1" si="21"/>
        <v>-323311.52805048227</v>
      </c>
      <c r="K59" s="79">
        <f t="shared" ca="1" si="22"/>
        <v>-25864.922244038582</v>
      </c>
      <c r="L59" s="83">
        <f t="shared" ca="1" si="14"/>
        <v>97549.302459981423</v>
      </c>
      <c r="M59" s="83">
        <f t="shared" ca="1" si="15"/>
        <v>65739.747309987477</v>
      </c>
      <c r="N59" s="83">
        <f t="shared" ca="1" si="23"/>
        <v>81644.52488498445</v>
      </c>
      <c r="O59" s="83">
        <f t="shared" ca="1" si="24"/>
        <v>50683.22453899034</v>
      </c>
      <c r="U59" s="1"/>
      <c r="V59" s="1"/>
      <c r="W59" s="1"/>
      <c r="X59" s="1"/>
      <c r="AC59" s="1">
        <v>3397</v>
      </c>
      <c r="AD59" s="1">
        <v>25468.000000078198</v>
      </c>
      <c r="AG59">
        <v>3397</v>
      </c>
      <c r="AH59">
        <v>616369.99999986601</v>
      </c>
    </row>
    <row r="60" spans="1:34">
      <c r="A60" s="1" t="s">
        <v>214</v>
      </c>
      <c r="B60" s="83">
        <v>2019</v>
      </c>
      <c r="C60" s="1">
        <v>3615.36</v>
      </c>
      <c r="D60" s="78">
        <f t="shared" ca="1" si="11"/>
        <v>13277411.850787044</v>
      </c>
      <c r="E60" s="187">
        <f t="shared" ca="1" si="12"/>
        <v>103483.25599993486</v>
      </c>
      <c r="F60" s="187">
        <f t="shared" ca="1" si="20"/>
        <v>104323.98049996106</v>
      </c>
      <c r="G60" s="176">
        <v>0.03</v>
      </c>
      <c r="H60" s="86">
        <f t="shared" si="2"/>
        <v>2.5000000000000001E-3</v>
      </c>
      <c r="I60" s="65">
        <f t="shared" ca="1" si="9"/>
        <v>260.80995124990267</v>
      </c>
      <c r="J60" s="78">
        <f t="shared" ca="1" si="21"/>
        <v>-332786.14518725872</v>
      </c>
      <c r="K60" s="79">
        <f t="shared" ca="1" si="22"/>
        <v>-26622.891614980697</v>
      </c>
      <c r="L60" s="83">
        <f t="shared" ca="1" si="14"/>
        <v>104323.98049996106</v>
      </c>
      <c r="M60" s="83">
        <f t="shared" ca="1" si="15"/>
        <v>50075.510639981308</v>
      </c>
      <c r="N60" s="83">
        <f t="shared" ca="1" si="23"/>
        <v>71983.546544973127</v>
      </c>
      <c r="O60" s="83">
        <f t="shared" ca="1" si="24"/>
        <v>43294.451907483839</v>
      </c>
      <c r="U60" s="1"/>
      <c r="V60" s="1"/>
      <c r="W60" s="1"/>
      <c r="X60" s="1"/>
      <c r="AC60" s="1">
        <v>3397.5</v>
      </c>
      <c r="AD60" s="1">
        <v>25567.000000123298</v>
      </c>
      <c r="AG60">
        <v>3397.5</v>
      </c>
      <c r="AH60">
        <v>629128.75000002002</v>
      </c>
    </row>
    <row r="61" spans="1:34">
      <c r="A61" s="1" t="s">
        <v>215</v>
      </c>
      <c r="B61" s="83">
        <v>2019</v>
      </c>
      <c r="C61" s="1">
        <v>3612.99</v>
      </c>
      <c r="D61" s="78">
        <f t="shared" ca="1" si="11"/>
        <v>13033624.874810278</v>
      </c>
      <c r="E61" s="187">
        <f t="shared" ca="1" si="12"/>
        <v>102234.02900007949</v>
      </c>
      <c r="F61" s="187">
        <f t="shared" ca="1" si="20"/>
        <v>102858.64250000718</v>
      </c>
      <c r="G61" s="176">
        <v>0.1</v>
      </c>
      <c r="H61" s="86">
        <f t="shared" si="2"/>
        <v>8.3333333333333332E-3</v>
      </c>
      <c r="I61" s="65">
        <f t="shared" ca="1" si="9"/>
        <v>857.1553541667264</v>
      </c>
      <c r="J61" s="78">
        <f t="shared" ca="1" si="21"/>
        <v>-243786.97597676516</v>
      </c>
      <c r="K61" s="79">
        <f t="shared" ca="1" si="22"/>
        <v>-19502.958078141211</v>
      </c>
      <c r="L61" s="83">
        <f t="shared" ca="1" si="14"/>
        <v>69943.876900004878</v>
      </c>
      <c r="M61" s="83">
        <f t="shared" ca="1" si="15"/>
        <v>24686.07420000172</v>
      </c>
      <c r="N61" s="83">
        <f t="shared" ca="1" si="23"/>
        <v>53486.494100003736</v>
      </c>
      <c r="O61" s="83">
        <f t="shared" ca="1" si="24"/>
        <v>38571.990937502691</v>
      </c>
      <c r="U61" s="1"/>
      <c r="V61" s="1"/>
      <c r="W61" s="1"/>
      <c r="X61" s="1"/>
      <c r="AC61" s="1">
        <v>3398</v>
      </c>
      <c r="AD61" s="1">
        <v>25665.9999999213</v>
      </c>
      <c r="AG61">
        <v>3398</v>
      </c>
      <c r="AH61">
        <v>641937.00000020803</v>
      </c>
    </row>
    <row r="62" spans="1:34">
      <c r="A62" s="1" t="s">
        <v>216</v>
      </c>
      <c r="B62" s="83">
        <v>2019</v>
      </c>
      <c r="C62" s="1">
        <v>3611.23</v>
      </c>
      <c r="D62" s="78">
        <f t="shared" ca="1" si="11"/>
        <v>12854524.43239975</v>
      </c>
      <c r="E62" s="187">
        <f t="shared" ca="1" si="12"/>
        <v>101306.33299993956</v>
      </c>
      <c r="F62" s="187">
        <f t="shared" ca="1" si="20"/>
        <v>101770.18100000953</v>
      </c>
      <c r="G62" s="176">
        <v>1.19</v>
      </c>
      <c r="H62" s="86">
        <f t="shared" si="2"/>
        <v>9.9166666666666667E-2</v>
      </c>
      <c r="I62" s="65">
        <f t="shared" ca="1" si="9"/>
        <v>10092.209615834277</v>
      </c>
      <c r="J62" s="78">
        <f t="shared" ca="1" si="21"/>
        <v>-179100.44241052866</v>
      </c>
      <c r="K62" s="79">
        <f t="shared" ca="1" si="22"/>
        <v>-14328.035392842294</v>
      </c>
      <c r="L62" s="83">
        <f t="shared" ref="L62:L66" ca="1" si="25">VLOOKUP(A62,$S$4:$T$15,2,FALSE)*F62</f>
        <v>60044.406790005618</v>
      </c>
      <c r="M62" s="83">
        <f t="shared" ref="M62:M66" ca="1" si="26">VLOOKUP(A62,$U$4:$V$15,2,FALSE)*F62</f>
        <v>26460.247060002479</v>
      </c>
      <c r="N62" s="83">
        <f t="shared" ca="1" si="23"/>
        <v>41725.774210003903</v>
      </c>
      <c r="O62" s="83">
        <f t="shared" ca="1" si="24"/>
        <v>31752.296472002974</v>
      </c>
      <c r="U62" s="1"/>
      <c r="V62" s="1"/>
      <c r="W62" s="1"/>
      <c r="X62" s="1"/>
      <c r="AC62" s="1">
        <v>3398.5</v>
      </c>
      <c r="AD62" s="1">
        <v>25764.9999999664</v>
      </c>
      <c r="AG62">
        <v>3398.5</v>
      </c>
      <c r="AH62">
        <v>654794.74999961897</v>
      </c>
    </row>
    <row r="63" spans="1:34">
      <c r="A63" s="1" t="s">
        <v>217</v>
      </c>
      <c r="B63" s="83">
        <v>2019</v>
      </c>
      <c r="C63" s="1">
        <v>3608.74</v>
      </c>
      <c r="D63" s="78">
        <f t="shared" ca="1" si="11"/>
        <v>12603905.778804898</v>
      </c>
      <c r="E63" s="187">
        <f t="shared" ca="1" si="12"/>
        <v>99993.854000091786</v>
      </c>
      <c r="F63" s="187">
        <f t="shared" ca="1" si="20"/>
        <v>100650.09350001568</v>
      </c>
      <c r="G63" s="176">
        <v>1.52</v>
      </c>
      <c r="H63" s="86">
        <f t="shared" si="2"/>
        <v>0.12666666666666668</v>
      </c>
      <c r="I63" s="65">
        <f t="shared" ca="1" si="9"/>
        <v>12749.01184333532</v>
      </c>
      <c r="J63" s="78">
        <f t="shared" ca="1" si="21"/>
        <v>-250618.65359485149</v>
      </c>
      <c r="K63" s="79">
        <f t="shared" ca="1" si="22"/>
        <v>-20049.49228758812</v>
      </c>
      <c r="L63" s="83">
        <f t="shared" ca="1" si="25"/>
        <v>52338.04862000815</v>
      </c>
      <c r="M63" s="83">
        <f t="shared" ca="1" si="26"/>
        <v>25162.523375003919</v>
      </c>
      <c r="N63" s="83">
        <f t="shared" ca="1" si="23"/>
        <v>36234.03366000564</v>
      </c>
      <c r="O63" s="83">
        <f t="shared" ca="1" si="24"/>
        <v>26269.674403504094</v>
      </c>
      <c r="U63" s="1"/>
      <c r="V63" s="1"/>
      <c r="W63" s="1"/>
      <c r="X63" s="1"/>
      <c r="AC63" s="1">
        <v>3399</v>
      </c>
      <c r="AD63" s="1">
        <v>25864.000000011401</v>
      </c>
      <c r="AG63">
        <v>3399</v>
      </c>
      <c r="AH63">
        <v>667701.99999987497</v>
      </c>
    </row>
    <row r="64" spans="1:34">
      <c r="A64" s="1" t="s">
        <v>210</v>
      </c>
      <c r="B64" s="83">
        <v>2020</v>
      </c>
      <c r="C64" s="1">
        <v>3605.48</v>
      </c>
      <c r="D64" s="78">
        <f t="shared" ca="1" si="11"/>
        <v>12280712.804402769</v>
      </c>
      <c r="E64" s="187">
        <f t="shared" ca="1" si="12"/>
        <v>98275.508000043686</v>
      </c>
      <c r="F64" s="187">
        <f t="shared" ca="1" si="20"/>
        <v>99134.681000067736</v>
      </c>
      <c r="G64" s="178">
        <v>0.1</v>
      </c>
      <c r="H64" s="86">
        <f t="shared" si="2"/>
        <v>8.3333333333333332E-3</v>
      </c>
      <c r="I64" s="65">
        <f t="shared" ca="1" si="9"/>
        <v>826.12234166723113</v>
      </c>
      <c r="J64" s="78">
        <f t="shared" ca="1" si="21"/>
        <v>-323192.97440212965</v>
      </c>
      <c r="K64" s="79">
        <f t="shared" ca="1" si="22"/>
        <v>-25855.437952170374</v>
      </c>
      <c r="L64" s="83">
        <f t="shared" ca="1" si="25"/>
        <v>36679.831970025065</v>
      </c>
      <c r="M64" s="83">
        <f t="shared" ca="1" si="26"/>
        <v>15861.548960010838</v>
      </c>
      <c r="N64" s="83">
        <f t="shared" ca="1" si="23"/>
        <v>23792.323440016255</v>
      </c>
      <c r="O64" s="83">
        <f t="shared" ca="1" si="24"/>
        <v>19628.666838013414</v>
      </c>
      <c r="U64" s="1"/>
      <c r="V64" s="1"/>
      <c r="W64" s="1"/>
      <c r="X64" s="1"/>
      <c r="AC64" s="1">
        <v>3399.5</v>
      </c>
      <c r="AD64" s="1">
        <v>25963.000000056501</v>
      </c>
      <c r="AG64">
        <v>3399.5</v>
      </c>
      <c r="AH64">
        <v>680658.75000016298</v>
      </c>
    </row>
    <row r="65" spans="1:34">
      <c r="A65" s="1" t="s">
        <v>211</v>
      </c>
      <c r="B65" s="83">
        <v>2020</v>
      </c>
      <c r="C65" s="1">
        <v>3602.72</v>
      </c>
      <c r="D65" s="78">
        <f t="shared" ca="1" si="11"/>
        <v>12011493.72442317</v>
      </c>
      <c r="E65" s="187">
        <f t="shared" ca="1" si="12"/>
        <v>96820.7119999649</v>
      </c>
      <c r="F65" s="187">
        <f t="shared" ca="1" si="20"/>
        <v>97548.110000004293</v>
      </c>
      <c r="G65" s="178">
        <v>0.2</v>
      </c>
      <c r="H65" s="86">
        <f t="shared" si="2"/>
        <v>1.6666666666666666E-2</v>
      </c>
      <c r="I65" s="65">
        <f t="shared" ca="1" si="9"/>
        <v>1625.8018333334048</v>
      </c>
      <c r="J65" s="78">
        <f t="shared" ca="1" si="21"/>
        <v>-269219.07997959852</v>
      </c>
      <c r="K65" s="79">
        <f t="shared" ca="1" si="22"/>
        <v>-21537.526398367881</v>
      </c>
      <c r="L65" s="83">
        <f t="shared" ca="1" si="25"/>
        <v>26337.989700001162</v>
      </c>
      <c r="M65" s="83">
        <f t="shared" ca="1" si="26"/>
        <v>6828.3677000003008</v>
      </c>
      <c r="N65" s="83">
        <f t="shared" ca="1" si="23"/>
        <v>18534.140900000817</v>
      </c>
      <c r="O65" s="83">
        <f t="shared" ca="1" si="24"/>
        <v>18143.9484600008</v>
      </c>
      <c r="U65" s="1"/>
      <c r="V65" s="1"/>
      <c r="W65" s="1"/>
      <c r="X65" s="1"/>
      <c r="AC65" s="1">
        <v>3400</v>
      </c>
      <c r="AD65" s="1">
        <v>26062.000000101601</v>
      </c>
      <c r="AG65">
        <v>3400</v>
      </c>
      <c r="AH65">
        <v>693664.99999967497</v>
      </c>
    </row>
    <row r="66" spans="1:34">
      <c r="A66" s="1" t="s">
        <v>50</v>
      </c>
      <c r="B66" s="83">
        <v>2020</v>
      </c>
      <c r="C66" s="1">
        <v>3600.71</v>
      </c>
      <c r="D66" s="78">
        <f t="shared" ca="1" si="11"/>
        <v>11817948.677220285</v>
      </c>
      <c r="E66" s="187">
        <f t="shared" ca="1" si="12"/>
        <v>95761.241000087699</v>
      </c>
      <c r="F66" s="187">
        <f t="shared" ca="1" si="20"/>
        <v>96290.9765000263</v>
      </c>
      <c r="G66" s="178">
        <v>0.75</v>
      </c>
      <c r="H66" s="86">
        <f t="shared" si="2"/>
        <v>6.25E-2</v>
      </c>
      <c r="I66" s="65">
        <f t="shared" ca="1" si="9"/>
        <v>6018.1860312516437</v>
      </c>
      <c r="J66" s="78">
        <f t="shared" ca="1" si="21"/>
        <v>-193545.04720288515</v>
      </c>
      <c r="K66" s="79">
        <f t="shared" ca="1" si="22"/>
        <v>-15483.603776230811</v>
      </c>
      <c r="L66" s="83">
        <f t="shared" ca="1" si="25"/>
        <v>39479.300365010778</v>
      </c>
      <c r="M66" s="83">
        <f t="shared" ca="1" si="26"/>
        <v>22146.92459500605</v>
      </c>
      <c r="N66" s="83">
        <f t="shared" ca="1" si="23"/>
        <v>27924.383185007624</v>
      </c>
      <c r="O66" s="83">
        <f t="shared" ca="1" si="24"/>
        <v>22435.797524506128</v>
      </c>
      <c r="U66" s="1"/>
      <c r="V66" s="1"/>
      <c r="W66" s="1"/>
      <c r="X66" s="1"/>
      <c r="AC66" s="1">
        <v>3400.5</v>
      </c>
      <c r="AD66" s="1">
        <v>26161.570000106902</v>
      </c>
      <c r="AG66">
        <v>3400.5</v>
      </c>
      <c r="AH66">
        <v>706720.88999965996</v>
      </c>
    </row>
    <row r="67" spans="1:34">
      <c r="D67" s="78"/>
      <c r="I67" s="65">
        <f ca="1">SUM(I13:I60)/1000000</f>
        <v>0.36141029900240129</v>
      </c>
      <c r="J67" s="179">
        <f ca="1">SUM(J13:J60)/1000000</f>
        <v>0.94454023700952527</v>
      </c>
      <c r="K67" s="180">
        <f t="shared" ref="K67:O67" ca="1" si="27">SUM(K13:K60)/1000000</f>
        <v>7.5563218960761971E-2</v>
      </c>
      <c r="L67" s="146">
        <f ca="1">SUM(L13:L60)/1000000</f>
        <v>3.1017175937386061</v>
      </c>
      <c r="M67" s="146">
        <f t="shared" ca="1" si="27"/>
        <v>1.6336038965657613</v>
      </c>
      <c r="N67" s="146">
        <f t="shared" ca="1" si="27"/>
        <v>2.2721035576017017</v>
      </c>
      <c r="O67" s="146">
        <f t="shared" ca="1" si="27"/>
        <v>1.5778106388710953</v>
      </c>
      <c r="U67" s="1"/>
      <c r="V67" s="1"/>
      <c r="W67" s="1"/>
      <c r="X67" s="1"/>
      <c r="AC67" s="1">
        <v>3401</v>
      </c>
      <c r="AD67" s="1">
        <v>26261.1499999728</v>
      </c>
      <c r="AG67">
        <v>3401</v>
      </c>
      <c r="AH67">
        <v>719826.56999989494</v>
      </c>
    </row>
    <row r="68" spans="1:34">
      <c r="D68" s="65"/>
      <c r="J68" s="179"/>
      <c r="N68" s="89"/>
      <c r="U68" s="1"/>
      <c r="V68" s="1"/>
      <c r="W68" s="1"/>
      <c r="X68" s="1"/>
      <c r="AC68" s="1">
        <v>3401.5</v>
      </c>
      <c r="AD68" s="1">
        <v>26360.719999978199</v>
      </c>
      <c r="AG68">
        <v>3401.5</v>
      </c>
      <c r="AH68">
        <v>732982.04000038095</v>
      </c>
    </row>
    <row r="69" spans="1:34">
      <c r="D69" s="86"/>
      <c r="U69" s="1"/>
      <c r="V69" s="1"/>
      <c r="W69" s="1"/>
      <c r="X69" s="1"/>
      <c r="AC69" s="1">
        <v>3402</v>
      </c>
      <c r="AD69" s="1">
        <v>26460.3000000912</v>
      </c>
      <c r="AG69">
        <v>3402</v>
      </c>
      <c r="AH69">
        <v>746187.30000030505</v>
      </c>
    </row>
    <row r="70" spans="1:34">
      <c r="B70" s="83" t="s">
        <v>408</v>
      </c>
      <c r="C70" s="44" t="s">
        <v>409</v>
      </c>
      <c r="G70" s="52" t="s">
        <v>410</v>
      </c>
      <c r="U70" s="1"/>
      <c r="V70" s="1"/>
      <c r="W70" s="1"/>
      <c r="X70" s="1"/>
      <c r="AC70" s="1">
        <v>3402.5</v>
      </c>
      <c r="AD70" s="1">
        <v>26559.870000096598</v>
      </c>
      <c r="AG70">
        <v>3402.5</v>
      </c>
      <c r="AH70">
        <v>759442.34000033303</v>
      </c>
    </row>
    <row r="71" spans="1:34">
      <c r="G71" s="52" t="s">
        <v>411</v>
      </c>
      <c r="U71" s="1"/>
      <c r="V71" s="1"/>
      <c r="W71" s="1"/>
      <c r="X71" s="1"/>
      <c r="AC71" s="1">
        <v>3403</v>
      </c>
      <c r="AD71" s="1">
        <v>26659.4499999625</v>
      </c>
      <c r="AG71">
        <v>3403</v>
      </c>
      <c r="AH71">
        <v>772747.16999980004</v>
      </c>
    </row>
    <row r="72" spans="1:34">
      <c r="U72" s="1"/>
      <c r="V72" s="1"/>
      <c r="W72" s="1"/>
      <c r="X72" s="1"/>
      <c r="AC72" s="1">
        <v>3403.5</v>
      </c>
      <c r="AD72" s="1">
        <v>26759.019999967801</v>
      </c>
      <c r="AG72">
        <v>3403.5</v>
      </c>
      <c r="AH72">
        <v>786101.79000032798</v>
      </c>
    </row>
    <row r="73" spans="1:34">
      <c r="U73" s="1"/>
      <c r="V73" s="1"/>
      <c r="W73" s="1"/>
      <c r="X73" s="1"/>
      <c r="AC73" s="1">
        <v>3404</v>
      </c>
      <c r="AD73" s="1">
        <v>26858.6000000809</v>
      </c>
      <c r="AG73">
        <v>3404</v>
      </c>
      <c r="AH73">
        <v>799506.20000029495</v>
      </c>
    </row>
    <row r="74" spans="1:34">
      <c r="B74" s="83" t="s">
        <v>412</v>
      </c>
      <c r="U74" s="1"/>
      <c r="V74" s="1"/>
      <c r="W74" s="1"/>
      <c r="X74" s="1"/>
      <c r="AC74" s="1">
        <v>3404.5</v>
      </c>
      <c r="AD74" s="1">
        <v>26958.1700000862</v>
      </c>
      <c r="AG74">
        <v>3404.5</v>
      </c>
      <c r="AH74">
        <v>812960.38999955496</v>
      </c>
    </row>
    <row r="75" spans="1:34">
      <c r="B75" s="83">
        <v>2016</v>
      </c>
      <c r="I75" s="83">
        <f ca="1">SUM(I13:I24)</f>
        <v>123469.07946491819</v>
      </c>
      <c r="J75" s="83"/>
      <c r="K75" s="83">
        <f ca="1">SUM(K13:K24)</f>
        <v>39302.096307721135</v>
      </c>
      <c r="L75" s="83">
        <f ca="1">SUM(L13:L24)</f>
        <v>769878.10431088053</v>
      </c>
      <c r="M75" s="83">
        <f ca="1">SUM(M13:M24)</f>
        <v>405558.75028192473</v>
      </c>
      <c r="N75" s="83">
        <f ca="1">SUM(N13:N24)</f>
        <v>563896.3853209099</v>
      </c>
      <c r="O75" s="83">
        <f ca="1">SUM(O13:O24)</f>
        <v>391618.57488333888</v>
      </c>
      <c r="U75" s="1"/>
      <c r="V75" s="1"/>
      <c r="W75" s="1"/>
      <c r="X75" s="1"/>
      <c r="AC75" s="1">
        <v>3405</v>
      </c>
      <c r="AD75" s="1">
        <v>27057.749999952099</v>
      </c>
      <c r="AG75">
        <v>3405</v>
      </c>
      <c r="AH75">
        <v>826464.37000392901</v>
      </c>
    </row>
    <row r="76" spans="1:34">
      <c r="B76" s="83">
        <v>2017</v>
      </c>
      <c r="I76" s="83">
        <f ca="1">SUM(I25:I36)</f>
        <v>95462.469633752757</v>
      </c>
      <c r="J76" s="83"/>
      <c r="K76" s="83">
        <f ca="1">SUM(K25:K36)</f>
        <v>147224.61247808454</v>
      </c>
      <c r="L76" s="83">
        <f ca="1">SUM(L25:L36)</f>
        <v>814185.2459629646</v>
      </c>
      <c r="M76" s="83">
        <f ca="1">SUM(M25:M36)</f>
        <v>430824.32841797144</v>
      </c>
      <c r="N76" s="83">
        <f ca="1">SUM(N25:N36)</f>
        <v>596955.10116196773</v>
      </c>
      <c r="O76" s="83">
        <f ca="1">SUM(O25:O36)</f>
        <v>413112.09972837794</v>
      </c>
      <c r="U76" s="1"/>
      <c r="V76" s="1"/>
      <c r="W76" s="1"/>
      <c r="X76" s="1"/>
      <c r="AC76" s="1">
        <v>3405.5</v>
      </c>
      <c r="AD76" s="1">
        <v>27157.319999957501</v>
      </c>
      <c r="AG76">
        <v>3405.5</v>
      </c>
      <c r="AH76">
        <v>840018.13999963505</v>
      </c>
    </row>
    <row r="77" spans="1:34">
      <c r="B77" s="83">
        <v>2018</v>
      </c>
      <c r="I77" s="83">
        <f ca="1">SUM(I37:I48)</f>
        <v>41048.323982075592</v>
      </c>
      <c r="J77" s="83"/>
      <c r="K77" s="83">
        <f ca="1">SUM(K37:K48)</f>
        <v>-290901.65868676186</v>
      </c>
      <c r="L77" s="83">
        <f ca="1">SUM(L37:L48)</f>
        <v>788024.86083497794</v>
      </c>
      <c r="M77" s="83">
        <f ca="1">SUM(M37:M48)</f>
        <v>411805.95073598</v>
      </c>
      <c r="N77" s="83">
        <f ca="1">SUM(N37:N48)</f>
        <v>576347.96456898004</v>
      </c>
      <c r="O77" s="83">
        <f ca="1">SUM(O37:O48)</f>
        <v>403457.00753948349</v>
      </c>
      <c r="U77" s="1"/>
      <c r="V77" s="1"/>
      <c r="W77" s="1"/>
      <c r="X77" s="1"/>
      <c r="AC77" s="1">
        <v>3406</v>
      </c>
      <c r="AD77" s="1">
        <v>27256.900000070498</v>
      </c>
      <c r="AG77">
        <v>3406</v>
      </c>
      <c r="AH77">
        <v>853621.70000288705</v>
      </c>
    </row>
    <row r="78" spans="1:34">
      <c r="B78" s="83">
        <v>2019</v>
      </c>
      <c r="I78" s="83">
        <f ca="1">SUM(I49:I60)</f>
        <v>101430.42592165482</v>
      </c>
      <c r="J78" s="83"/>
      <c r="K78" s="83">
        <f ca="1">SUM(K49:K60)</f>
        <v>179938.16886171821</v>
      </c>
      <c r="L78" s="83">
        <f ca="1">SUM(L49:L60)</f>
        <v>729629.38262978289</v>
      </c>
      <c r="M78" s="83">
        <f ca="1">SUM(M49:M60)</f>
        <v>385414.86712988518</v>
      </c>
      <c r="N78" s="83">
        <f ca="1">SUM(N49:N60)</f>
        <v>534904.10654984368</v>
      </c>
      <c r="O78" s="83">
        <f ca="1">SUM(O49:O60)</f>
        <v>369622.95671989507</v>
      </c>
      <c r="U78" s="1"/>
      <c r="V78" s="1"/>
      <c r="W78" s="1"/>
      <c r="X78" s="1"/>
      <c r="AC78" s="1">
        <v>3406.5</v>
      </c>
      <c r="AD78" s="1">
        <v>27356.470000075798</v>
      </c>
      <c r="AG78">
        <v>3406.5</v>
      </c>
      <c r="AH78">
        <v>867275.04000137898</v>
      </c>
    </row>
    <row r="79" spans="1:34">
      <c r="B79" s="83" t="s">
        <v>413</v>
      </c>
      <c r="D79" s="65">
        <f ca="1">D60-D12</f>
        <v>944540.2370095253</v>
      </c>
      <c r="I79" s="83"/>
      <c r="J79" s="83"/>
      <c r="K79" s="83"/>
      <c r="L79" s="83"/>
      <c r="M79" s="83"/>
      <c r="N79" s="83"/>
      <c r="O79" s="83"/>
      <c r="U79" s="1"/>
      <c r="V79" s="1"/>
      <c r="W79" s="1"/>
      <c r="X79" s="1"/>
      <c r="AC79" s="1">
        <v>3407</v>
      </c>
      <c r="AD79" s="1">
        <v>27456.049999941799</v>
      </c>
      <c r="AG79">
        <v>3407</v>
      </c>
      <c r="AH79">
        <v>880978.169999309</v>
      </c>
    </row>
    <row r="80" spans="1:34">
      <c r="B80" s="83" t="s">
        <v>414</v>
      </c>
      <c r="D80" s="86">
        <f ca="1">D79/4/1000000</f>
        <v>0.23613505925238132</v>
      </c>
      <c r="I80" s="86">
        <f ca="1">AVERAGE(I75:I78)/1000000</f>
        <v>9.0352574750600337E-2</v>
      </c>
      <c r="K80" s="86">
        <f ca="1">AVERAGE(K75:K78)/1000000</f>
        <v>1.8890804740190507E-2</v>
      </c>
      <c r="L80" s="86">
        <f ca="1">AVERAGE(L75:L78)/1000000</f>
        <v>0.77542939843465153</v>
      </c>
      <c r="M80" s="86">
        <f ca="1">AVERAGE(M75:M78)/1000000</f>
        <v>0.40840097414144028</v>
      </c>
      <c r="N80" s="86">
        <f ca="1">AVERAGE(N75:N78)/1000000</f>
        <v>0.56802588940042542</v>
      </c>
      <c r="O80" s="86">
        <f ca="1">AVERAGE(O75:O78)/1000000</f>
        <v>0.39445265971777382</v>
      </c>
      <c r="U80" s="1"/>
      <c r="V80" s="1"/>
      <c r="W80" s="1"/>
      <c r="X80" s="1"/>
      <c r="AC80" s="1">
        <v>3407.5</v>
      </c>
      <c r="AD80" s="1">
        <v>27555.619999947099</v>
      </c>
      <c r="AG80">
        <v>3407.5</v>
      </c>
      <c r="AH80">
        <v>894731.08999667899</v>
      </c>
    </row>
    <row r="81" spans="4:34">
      <c r="D81" s="78"/>
      <c r="E81" s="175"/>
      <c r="F81" s="175"/>
      <c r="G81" s="175"/>
      <c r="H81" s="175"/>
      <c r="I81" s="175"/>
      <c r="J81" s="78"/>
      <c r="K81" s="79"/>
      <c r="L81" s="83"/>
      <c r="M81" s="83"/>
      <c r="N81" s="83"/>
      <c r="O81" s="83"/>
      <c r="U81" s="1"/>
      <c r="V81" s="1"/>
      <c r="W81" s="1"/>
      <c r="X81" s="1"/>
      <c r="AC81" s="1">
        <v>3408</v>
      </c>
      <c r="AD81" s="1">
        <v>27655.2000000601</v>
      </c>
      <c r="AG81">
        <v>3408</v>
      </c>
      <c r="AH81">
        <v>908533.80000159598</v>
      </c>
    </row>
    <row r="82" spans="4:34">
      <c r="D82" s="78"/>
      <c r="E82" s="175"/>
      <c r="F82" s="175"/>
      <c r="G82" s="175"/>
      <c r="H82" s="175"/>
      <c r="I82" s="175"/>
      <c r="J82" s="78"/>
      <c r="K82" s="79"/>
      <c r="L82" s="83"/>
      <c r="M82" s="83"/>
      <c r="N82" s="83"/>
      <c r="O82" s="83"/>
      <c r="U82" s="1"/>
      <c r="V82" s="1"/>
      <c r="W82" s="1"/>
      <c r="X82" s="1"/>
      <c r="AC82" s="1">
        <v>3408.5</v>
      </c>
      <c r="AD82" s="1">
        <v>27754.770000065499</v>
      </c>
      <c r="AG82">
        <v>3408.5</v>
      </c>
      <c r="AH82">
        <v>922386.29000175104</v>
      </c>
    </row>
    <row r="83" spans="4:34">
      <c r="D83" s="78"/>
      <c r="E83" s="175"/>
      <c r="F83" s="175"/>
      <c r="G83" s="175"/>
      <c r="H83" s="175"/>
      <c r="I83" s="175"/>
      <c r="J83" s="78"/>
      <c r="K83" s="79"/>
      <c r="L83" s="83"/>
      <c r="M83" s="83"/>
      <c r="N83" s="83"/>
      <c r="O83" s="83"/>
      <c r="U83" s="1"/>
      <c r="V83" s="1"/>
      <c r="W83" s="1"/>
      <c r="X83" s="1"/>
      <c r="AC83" s="1">
        <v>3409</v>
      </c>
      <c r="AD83" s="1">
        <v>27854.349999931401</v>
      </c>
      <c r="AG83">
        <v>3409</v>
      </c>
      <c r="AH83">
        <v>936288.57000134501</v>
      </c>
    </row>
    <row r="84" spans="4:34">
      <c r="D84" s="78"/>
      <c r="E84" s="175"/>
      <c r="F84" s="175"/>
      <c r="G84" s="175"/>
      <c r="H84" s="175"/>
      <c r="I84" s="175"/>
      <c r="J84" s="78"/>
      <c r="K84" s="79"/>
      <c r="L84" s="83"/>
      <c r="M84" s="83"/>
      <c r="N84" s="83"/>
      <c r="O84" s="83"/>
      <c r="U84" s="1"/>
      <c r="V84" s="1"/>
      <c r="W84" s="1"/>
      <c r="X84" s="1"/>
      <c r="AC84" s="1">
        <v>3409.5</v>
      </c>
      <c r="AD84" s="1">
        <v>27953.919999936701</v>
      </c>
      <c r="AG84">
        <v>3409.5</v>
      </c>
      <c r="AH84">
        <v>950240.64000037895</v>
      </c>
    </row>
    <row r="85" spans="4:34">
      <c r="D85" s="78"/>
      <c r="E85" s="175"/>
      <c r="F85" s="175"/>
      <c r="G85" s="175"/>
      <c r="H85" s="175"/>
      <c r="I85" s="175"/>
      <c r="J85" s="78"/>
      <c r="K85" s="79"/>
      <c r="L85" s="83"/>
      <c r="M85" s="83"/>
      <c r="N85" s="83"/>
      <c r="O85" s="83"/>
      <c r="U85" s="1"/>
      <c r="V85" s="1"/>
      <c r="W85" s="1"/>
      <c r="X85" s="1"/>
      <c r="AC85" s="1">
        <v>3410</v>
      </c>
      <c r="AD85" s="1">
        <v>28053.5000000498</v>
      </c>
      <c r="AG85">
        <v>3410</v>
      </c>
      <c r="AH85">
        <v>964242.49999885203</v>
      </c>
    </row>
    <row r="86" spans="4:34">
      <c r="D86" s="78"/>
      <c r="E86" s="175"/>
      <c r="F86" s="175"/>
      <c r="G86" s="175"/>
      <c r="H86" s="175"/>
      <c r="I86" s="175"/>
      <c r="J86" s="78"/>
      <c r="K86" s="79"/>
      <c r="L86" s="83"/>
      <c r="M86" s="83"/>
      <c r="N86" s="83"/>
      <c r="O86" s="83"/>
      <c r="U86" s="1"/>
      <c r="V86" s="1"/>
      <c r="W86" s="1"/>
      <c r="X86" s="1"/>
      <c r="AC86" s="1">
        <v>3410.5</v>
      </c>
      <c r="AD86" s="1">
        <v>28153.070000055101</v>
      </c>
      <c r="AG86">
        <v>3410.5</v>
      </c>
      <c r="AH86">
        <v>978294.14000067196</v>
      </c>
    </row>
    <row r="87" spans="4:34">
      <c r="D87" s="78"/>
      <c r="E87" s="175"/>
      <c r="F87" s="175"/>
      <c r="G87" s="175"/>
      <c r="H87" s="175"/>
      <c r="I87" s="175"/>
      <c r="J87" s="78"/>
      <c r="K87" s="79"/>
      <c r="L87" s="83"/>
      <c r="M87" s="83"/>
      <c r="N87" s="83"/>
      <c r="O87" s="83"/>
      <c r="U87" s="1"/>
      <c r="V87" s="1"/>
      <c r="W87" s="1"/>
      <c r="X87" s="1"/>
      <c r="AC87" s="1">
        <v>3411</v>
      </c>
      <c r="AD87" s="1">
        <v>28252.649999920999</v>
      </c>
      <c r="AG87">
        <v>3411</v>
      </c>
      <c r="AH87">
        <v>992395.57000193</v>
      </c>
    </row>
    <row r="88" spans="4:34">
      <c r="D88" s="78"/>
      <c r="E88" s="175"/>
      <c r="F88" s="175"/>
      <c r="G88" s="175"/>
      <c r="H88" s="175"/>
      <c r="I88" s="175"/>
      <c r="J88" s="78"/>
      <c r="K88" s="79"/>
      <c r="L88" s="83"/>
      <c r="M88" s="83"/>
      <c r="N88" s="83"/>
      <c r="O88" s="83"/>
      <c r="U88" s="1"/>
      <c r="V88" s="1"/>
      <c r="W88" s="1"/>
      <c r="X88" s="1"/>
      <c r="AC88" s="1">
        <v>3411.5</v>
      </c>
      <c r="AD88" s="1">
        <v>28352.219999926401</v>
      </c>
      <c r="AG88">
        <v>3411.5</v>
      </c>
      <c r="AH88">
        <v>1006546.79000263</v>
      </c>
    </row>
    <row r="89" spans="4:34">
      <c r="D89" s="78"/>
      <c r="E89" s="175"/>
      <c r="F89" s="175"/>
      <c r="G89" s="175"/>
      <c r="H89" s="175"/>
      <c r="I89" s="175"/>
      <c r="J89" s="78"/>
      <c r="K89" s="79"/>
      <c r="L89" s="83"/>
      <c r="M89" s="83"/>
      <c r="N89" s="83"/>
      <c r="O89" s="83"/>
      <c r="U89" s="1"/>
      <c r="V89" s="1"/>
      <c r="W89" s="1"/>
      <c r="X89" s="1"/>
      <c r="AC89" s="1">
        <v>3412</v>
      </c>
      <c r="AD89" s="1">
        <v>28451.800000039399</v>
      </c>
      <c r="AG89">
        <v>3412</v>
      </c>
      <c r="AH89">
        <v>1020747.80000277</v>
      </c>
    </row>
    <row r="90" spans="4:34">
      <c r="D90" s="78"/>
      <c r="E90" s="175"/>
      <c r="F90" s="175"/>
      <c r="G90" s="175"/>
      <c r="H90" s="175"/>
      <c r="I90" s="175"/>
      <c r="J90" s="78"/>
      <c r="K90" s="79"/>
      <c r="L90" s="83"/>
      <c r="M90" s="83"/>
      <c r="N90" s="83"/>
      <c r="O90" s="83"/>
      <c r="U90" s="1"/>
      <c r="V90" s="1"/>
      <c r="W90" s="1"/>
      <c r="X90" s="1"/>
      <c r="AC90" s="1">
        <v>3412.5</v>
      </c>
      <c r="AD90" s="1">
        <v>28551.370000044801</v>
      </c>
      <c r="AG90">
        <v>3412.5</v>
      </c>
      <c r="AH90">
        <v>1034998.58999814</v>
      </c>
    </row>
    <row r="91" spans="4:34">
      <c r="D91" s="78"/>
      <c r="E91" s="175"/>
      <c r="F91" s="175"/>
      <c r="G91" s="175"/>
      <c r="H91" s="175"/>
      <c r="I91" s="175"/>
      <c r="J91" s="78"/>
      <c r="K91" s="79"/>
      <c r="L91" s="83"/>
      <c r="M91" s="83"/>
      <c r="N91" s="83"/>
      <c r="O91" s="83"/>
      <c r="U91" s="1"/>
      <c r="V91" s="1"/>
      <c r="W91" s="1"/>
      <c r="X91" s="1"/>
      <c r="AC91" s="1">
        <v>3413</v>
      </c>
      <c r="AD91" s="1">
        <v>28650.949999910699</v>
      </c>
      <c r="AG91">
        <v>3413</v>
      </c>
      <c r="AH91">
        <v>1049299.17000106</v>
      </c>
    </row>
    <row r="92" spans="4:34">
      <c r="D92" s="78"/>
      <c r="E92" s="175"/>
      <c r="F92" s="175"/>
      <c r="G92" s="175"/>
      <c r="H92" s="175"/>
      <c r="I92" s="175"/>
      <c r="J92" s="78"/>
      <c r="K92" s="79"/>
      <c r="L92" s="83"/>
      <c r="M92" s="83"/>
      <c r="N92" s="83"/>
      <c r="O92" s="83"/>
      <c r="U92" s="1"/>
      <c r="V92" s="1"/>
      <c r="W92" s="1"/>
      <c r="X92" s="1"/>
      <c r="AC92" s="1">
        <v>3413.5</v>
      </c>
      <c r="AD92" s="1">
        <v>28750.519999916</v>
      </c>
      <c r="AG92">
        <v>3413.5</v>
      </c>
      <c r="AH92">
        <v>1063649.5400034201</v>
      </c>
    </row>
    <row r="93" spans="4:34">
      <c r="D93" s="78"/>
      <c r="E93" s="175"/>
      <c r="F93" s="175"/>
      <c r="G93" s="175"/>
      <c r="H93" s="175"/>
      <c r="I93" s="175"/>
      <c r="J93" s="78"/>
      <c r="K93" s="79"/>
      <c r="L93" s="83"/>
      <c r="M93" s="83"/>
      <c r="N93" s="83"/>
      <c r="O93" s="83"/>
      <c r="U93" s="1"/>
      <c r="V93" s="1"/>
      <c r="W93" s="1"/>
      <c r="X93" s="1"/>
      <c r="AC93" s="1">
        <v>3414</v>
      </c>
      <c r="AD93" s="1">
        <v>28850.100000029099</v>
      </c>
      <c r="AG93">
        <v>3414</v>
      </c>
      <c r="AH93">
        <v>1078049.6999971201</v>
      </c>
    </row>
    <row r="94" spans="4:34">
      <c r="D94" s="78"/>
      <c r="E94" s="175"/>
      <c r="F94" s="175"/>
      <c r="G94" s="175"/>
      <c r="H94" s="175"/>
      <c r="I94" s="175"/>
      <c r="J94" s="78"/>
      <c r="K94" s="79"/>
      <c r="L94" s="83"/>
      <c r="M94" s="83"/>
      <c r="N94" s="83"/>
      <c r="O94" s="83"/>
      <c r="U94" s="1"/>
      <c r="V94" s="1"/>
      <c r="W94" s="1"/>
      <c r="X94" s="1"/>
      <c r="AC94" s="1">
        <v>3414.5</v>
      </c>
      <c r="AD94" s="1">
        <v>28949.670000034399</v>
      </c>
      <c r="AG94">
        <v>3414.5</v>
      </c>
      <c r="AH94">
        <v>1092499.64000227</v>
      </c>
    </row>
    <row r="95" spans="4:34">
      <c r="D95" s="78"/>
      <c r="E95" s="175"/>
      <c r="F95" s="175"/>
      <c r="G95" s="175"/>
      <c r="H95" s="175"/>
      <c r="I95" s="175"/>
      <c r="J95" s="78"/>
      <c r="K95" s="79"/>
      <c r="L95" s="83"/>
      <c r="M95" s="83"/>
      <c r="N95" s="83"/>
      <c r="O95" s="83"/>
      <c r="U95" s="1"/>
      <c r="V95" s="1"/>
      <c r="W95" s="1"/>
      <c r="X95" s="1"/>
      <c r="AC95" s="1">
        <v>3415</v>
      </c>
      <c r="AD95" s="1">
        <v>29049.249999900301</v>
      </c>
      <c r="AG95">
        <v>3415</v>
      </c>
      <c r="AH95">
        <v>1106999.36999874</v>
      </c>
    </row>
    <row r="96" spans="4:34">
      <c r="D96" s="78"/>
      <c r="E96" s="175"/>
      <c r="F96" s="175"/>
      <c r="G96" s="175"/>
      <c r="H96" s="175"/>
      <c r="I96" s="175"/>
      <c r="J96" s="78"/>
      <c r="K96" s="79"/>
      <c r="L96" s="83"/>
      <c r="M96" s="83"/>
      <c r="N96" s="83"/>
      <c r="O96" s="83"/>
      <c r="U96" s="1"/>
      <c r="V96" s="1"/>
      <c r="W96" s="1"/>
      <c r="X96" s="1"/>
      <c r="AC96" s="1">
        <v>3415.5</v>
      </c>
      <c r="AD96" s="1">
        <v>29148.8199999057</v>
      </c>
      <c r="AG96">
        <v>3415.5</v>
      </c>
      <c r="AH96">
        <v>1121548.8900027699</v>
      </c>
    </row>
    <row r="97" spans="4:34">
      <c r="D97" s="78"/>
      <c r="E97" s="175"/>
      <c r="F97" s="175"/>
      <c r="G97" s="175"/>
      <c r="H97" s="175"/>
      <c r="I97" s="175"/>
      <c r="J97" s="78"/>
      <c r="K97" s="79"/>
      <c r="L97" s="83"/>
      <c r="M97" s="83"/>
      <c r="N97" s="83"/>
      <c r="O97" s="83"/>
      <c r="U97" s="1"/>
      <c r="V97" s="1"/>
      <c r="W97" s="1"/>
      <c r="X97" s="1"/>
      <c r="AC97" s="1">
        <v>3416</v>
      </c>
      <c r="AD97" s="1">
        <v>29248.400000018701</v>
      </c>
      <c r="AG97">
        <v>3416</v>
      </c>
      <c r="AH97">
        <v>1136148.1999981301</v>
      </c>
    </row>
    <row r="98" spans="4:34">
      <c r="D98" s="78"/>
      <c r="E98" s="175"/>
      <c r="F98" s="175"/>
      <c r="G98" s="175"/>
      <c r="H98" s="175"/>
      <c r="I98" s="175"/>
      <c r="J98" s="78"/>
      <c r="K98" s="79"/>
      <c r="L98" s="83"/>
      <c r="M98" s="83"/>
      <c r="N98" s="83"/>
      <c r="O98" s="83"/>
      <c r="U98" s="1"/>
      <c r="V98" s="1"/>
      <c r="W98" s="1"/>
      <c r="X98" s="1"/>
      <c r="AC98" s="1">
        <v>3416.5</v>
      </c>
      <c r="AD98" s="1">
        <v>29347.970000024001</v>
      </c>
      <c r="AG98">
        <v>3416.5</v>
      </c>
      <c r="AH98">
        <v>1150797.28999683</v>
      </c>
    </row>
    <row r="99" spans="4:34">
      <c r="D99" s="78"/>
      <c r="E99" s="175"/>
      <c r="F99" s="175"/>
      <c r="G99" s="175"/>
      <c r="H99" s="175"/>
      <c r="I99" s="175"/>
      <c r="J99" s="78"/>
      <c r="K99" s="79"/>
      <c r="L99" s="83"/>
      <c r="M99" s="83"/>
      <c r="N99" s="83"/>
      <c r="O99" s="83"/>
      <c r="U99" s="1"/>
      <c r="V99" s="1"/>
      <c r="W99" s="1"/>
      <c r="X99" s="1"/>
      <c r="AC99" s="1">
        <v>3417</v>
      </c>
      <c r="AD99" s="1">
        <v>29447.549999890001</v>
      </c>
      <c r="AG99">
        <v>3417</v>
      </c>
      <c r="AH99">
        <v>1165496.17000308</v>
      </c>
    </row>
    <row r="100" spans="4:34">
      <c r="D100" s="78"/>
      <c r="E100" s="175"/>
      <c r="F100" s="175"/>
      <c r="G100" s="175"/>
      <c r="H100" s="175"/>
      <c r="I100" s="175"/>
      <c r="J100" s="78"/>
      <c r="K100" s="79"/>
      <c r="L100" s="83"/>
      <c r="M100" s="83"/>
      <c r="N100" s="83"/>
      <c r="O100" s="83"/>
      <c r="U100" s="1"/>
      <c r="V100" s="1"/>
      <c r="W100" s="1"/>
      <c r="X100" s="1"/>
      <c r="AC100" s="1">
        <v>3417.5</v>
      </c>
      <c r="AD100" s="1">
        <v>29547.119999895302</v>
      </c>
      <c r="AG100">
        <v>3417.5</v>
      </c>
      <c r="AH100">
        <v>1180244.8400006699</v>
      </c>
    </row>
    <row r="101" spans="4:34">
      <c r="D101" s="78"/>
      <c r="E101" s="175"/>
      <c r="F101" s="175"/>
      <c r="G101" s="175"/>
      <c r="H101" s="175"/>
      <c r="I101" s="175"/>
      <c r="J101" s="78"/>
      <c r="K101" s="79"/>
      <c r="L101" s="83"/>
      <c r="M101" s="83"/>
      <c r="N101" s="83"/>
      <c r="O101" s="83"/>
      <c r="U101" s="1"/>
      <c r="V101" s="1"/>
      <c r="W101" s="1"/>
      <c r="X101" s="1"/>
      <c r="AC101" s="1">
        <v>3418</v>
      </c>
      <c r="AD101" s="1">
        <v>29646.700000008299</v>
      </c>
      <c r="AG101">
        <v>3418</v>
      </c>
      <c r="AH101">
        <v>1195043.2999976899</v>
      </c>
    </row>
    <row r="102" spans="4:34">
      <c r="D102" s="78"/>
      <c r="E102" s="175"/>
      <c r="F102" s="175"/>
      <c r="G102" s="175"/>
      <c r="H102" s="175"/>
      <c r="I102" s="175"/>
      <c r="J102" s="78"/>
      <c r="K102" s="79"/>
      <c r="L102" s="83"/>
      <c r="M102" s="83"/>
      <c r="N102" s="83"/>
      <c r="O102" s="83"/>
      <c r="U102" s="1"/>
      <c r="V102" s="1"/>
      <c r="W102" s="1"/>
      <c r="X102" s="1"/>
      <c r="AC102" s="1">
        <v>3418.5</v>
      </c>
      <c r="AD102" s="1">
        <v>29746.270000013701</v>
      </c>
      <c r="AG102">
        <v>3418.5</v>
      </c>
      <c r="AH102">
        <v>1209891.5399980501</v>
      </c>
    </row>
    <row r="103" spans="4:34">
      <c r="D103" s="78"/>
      <c r="E103" s="175"/>
      <c r="F103" s="175"/>
      <c r="G103" s="175"/>
      <c r="H103" s="175"/>
      <c r="I103" s="175"/>
      <c r="J103" s="78"/>
      <c r="K103" s="79"/>
      <c r="L103" s="83"/>
      <c r="M103" s="83"/>
      <c r="N103" s="83"/>
      <c r="O103" s="83"/>
      <c r="U103" s="1"/>
      <c r="V103" s="1"/>
      <c r="W103" s="1"/>
      <c r="X103" s="1"/>
      <c r="AC103" s="1">
        <v>3419</v>
      </c>
      <c r="AD103" s="1">
        <v>29845.8499998796</v>
      </c>
      <c r="AG103">
        <v>3419</v>
      </c>
      <c r="AH103">
        <v>1224789.5699978599</v>
      </c>
    </row>
    <row r="104" spans="4:34">
      <c r="D104" s="78"/>
      <c r="E104" s="175"/>
      <c r="F104" s="175"/>
      <c r="G104" s="175"/>
      <c r="H104" s="175"/>
      <c r="I104" s="175"/>
      <c r="J104" s="78"/>
      <c r="K104" s="79"/>
      <c r="L104" s="83"/>
      <c r="M104" s="83"/>
      <c r="N104" s="83"/>
      <c r="O104" s="83"/>
      <c r="U104" s="1"/>
      <c r="V104" s="1"/>
      <c r="W104" s="1"/>
      <c r="X104" s="1"/>
      <c r="AC104" s="1">
        <v>3419.5</v>
      </c>
      <c r="AD104" s="1">
        <v>29945.419999885002</v>
      </c>
      <c r="AG104">
        <v>3419.5</v>
      </c>
      <c r="AH104">
        <v>1239737.38999711</v>
      </c>
    </row>
    <row r="105" spans="4:34">
      <c r="D105" s="78"/>
      <c r="E105" s="175"/>
      <c r="F105" s="175"/>
      <c r="G105" s="175"/>
      <c r="H105" s="175"/>
      <c r="I105" s="175"/>
      <c r="J105" s="78"/>
      <c r="K105" s="79"/>
      <c r="L105" s="83"/>
      <c r="M105" s="83"/>
      <c r="N105" s="83"/>
      <c r="O105" s="83"/>
      <c r="U105" s="1"/>
      <c r="V105" s="1"/>
      <c r="W105" s="1"/>
      <c r="X105" s="1"/>
      <c r="AC105" s="1">
        <v>3420</v>
      </c>
      <c r="AD105" s="1">
        <v>30044.999999997999</v>
      </c>
      <c r="AG105">
        <v>3420</v>
      </c>
      <c r="AH105">
        <v>1254735.0000038999</v>
      </c>
    </row>
    <row r="106" spans="4:34">
      <c r="D106" s="78"/>
      <c r="E106" s="175"/>
      <c r="F106" s="175"/>
      <c r="G106" s="175"/>
      <c r="H106" s="175"/>
      <c r="I106" s="175"/>
      <c r="J106" s="78"/>
      <c r="K106" s="79"/>
      <c r="L106" s="83"/>
      <c r="M106" s="83"/>
      <c r="N106" s="83"/>
      <c r="O106" s="83"/>
      <c r="U106" s="1"/>
      <c r="V106" s="1"/>
      <c r="W106" s="1"/>
      <c r="X106" s="1"/>
      <c r="AC106" s="1">
        <v>3420.5</v>
      </c>
      <c r="AD106" s="1">
        <v>30161.350000060698</v>
      </c>
      <c r="AG106">
        <v>3420.5</v>
      </c>
      <c r="AH106">
        <v>1269786.59000292</v>
      </c>
    </row>
    <row r="107" spans="4:34">
      <c r="D107" s="78"/>
      <c r="E107" s="175"/>
      <c r="F107" s="175"/>
      <c r="G107" s="175"/>
      <c r="H107" s="175"/>
      <c r="I107" s="175"/>
      <c r="J107" s="78"/>
      <c r="K107" s="79"/>
      <c r="L107" s="83"/>
      <c r="M107" s="83"/>
      <c r="N107" s="83"/>
      <c r="O107" s="83"/>
      <c r="U107" s="1"/>
      <c r="V107" s="1"/>
      <c r="W107" s="1"/>
      <c r="X107" s="1"/>
      <c r="AC107" s="1">
        <v>3421</v>
      </c>
      <c r="AD107" s="1">
        <v>30277.700000123401</v>
      </c>
      <c r="AG107">
        <v>3421</v>
      </c>
      <c r="AH107">
        <v>1284896.3500031601</v>
      </c>
    </row>
    <row r="108" spans="4:34">
      <c r="D108" s="78"/>
      <c r="E108" s="175"/>
      <c r="F108" s="175"/>
      <c r="G108" s="175"/>
      <c r="H108" s="175"/>
      <c r="I108" s="175"/>
      <c r="J108" s="78"/>
      <c r="K108" s="79"/>
      <c r="L108" s="83"/>
      <c r="M108" s="83"/>
      <c r="N108" s="83"/>
      <c r="O108" s="83"/>
      <c r="U108" s="1"/>
      <c r="V108" s="1"/>
      <c r="W108" s="1"/>
      <c r="X108" s="1"/>
      <c r="AC108" s="1">
        <v>3421.5</v>
      </c>
      <c r="AD108" s="1">
        <v>30394.049999939001</v>
      </c>
      <c r="AG108">
        <v>3421.5</v>
      </c>
      <c r="AH108">
        <v>1300064.2900007199</v>
      </c>
    </row>
    <row r="109" spans="4:34">
      <c r="D109" s="78"/>
      <c r="E109" s="175"/>
      <c r="F109" s="175"/>
      <c r="G109" s="175"/>
      <c r="H109" s="175"/>
      <c r="I109" s="175"/>
      <c r="J109" s="78"/>
      <c r="K109" s="79"/>
      <c r="L109" s="83"/>
      <c r="M109" s="83"/>
      <c r="N109" s="83"/>
      <c r="O109" s="83"/>
      <c r="U109" s="1"/>
      <c r="V109" s="1"/>
      <c r="W109" s="1"/>
      <c r="X109" s="1"/>
      <c r="AC109" s="1">
        <v>3422</v>
      </c>
      <c r="AD109" s="1">
        <v>30510.4000000017</v>
      </c>
      <c r="AG109">
        <v>3422</v>
      </c>
      <c r="AH109">
        <v>1315290.3999995</v>
      </c>
    </row>
    <row r="110" spans="4:34">
      <c r="D110" s="78"/>
      <c r="E110" s="175"/>
      <c r="F110" s="175"/>
      <c r="G110" s="175"/>
      <c r="H110" s="175"/>
      <c r="I110" s="175"/>
      <c r="J110" s="78"/>
      <c r="K110" s="79"/>
      <c r="L110" s="83"/>
      <c r="M110" s="83"/>
      <c r="N110" s="83"/>
      <c r="O110" s="83"/>
      <c r="U110" s="1"/>
      <c r="V110" s="1"/>
      <c r="W110" s="1"/>
      <c r="X110" s="1"/>
      <c r="AC110" s="1">
        <v>3422.5</v>
      </c>
      <c r="AD110" s="1">
        <v>30626.7500000644</v>
      </c>
      <c r="AG110">
        <v>3422.5</v>
      </c>
      <c r="AH110">
        <v>1330574.6900037101</v>
      </c>
    </row>
    <row r="111" spans="4:34">
      <c r="D111" s="78"/>
      <c r="E111" s="175"/>
      <c r="F111" s="175"/>
      <c r="G111" s="175"/>
      <c r="H111" s="175"/>
      <c r="I111" s="175"/>
      <c r="J111" s="78"/>
      <c r="K111" s="79"/>
      <c r="L111" s="83"/>
      <c r="M111" s="83"/>
      <c r="N111" s="83"/>
      <c r="O111" s="83"/>
      <c r="U111" s="1"/>
      <c r="V111" s="1"/>
      <c r="W111" s="1"/>
      <c r="X111" s="1"/>
      <c r="AC111" s="1">
        <v>3423</v>
      </c>
      <c r="AD111" s="1">
        <v>30743.09999988</v>
      </c>
      <c r="AG111">
        <v>3423</v>
      </c>
      <c r="AH111">
        <v>1345917.15000104</v>
      </c>
    </row>
    <row r="112" spans="4:34">
      <c r="D112" s="78"/>
      <c r="E112" s="175"/>
      <c r="F112" s="175"/>
      <c r="G112" s="175"/>
      <c r="H112" s="175"/>
      <c r="I112" s="175"/>
      <c r="J112" s="78"/>
      <c r="K112" s="79"/>
      <c r="L112" s="83"/>
      <c r="M112" s="83"/>
      <c r="N112" s="83"/>
      <c r="O112" s="83"/>
      <c r="U112" s="1"/>
      <c r="V112" s="1"/>
      <c r="W112" s="1"/>
      <c r="X112" s="1"/>
      <c r="AC112" s="1">
        <v>3423.5</v>
      </c>
      <c r="AD112" s="1">
        <v>30859.449999942699</v>
      </c>
      <c r="AG112">
        <v>3423.5</v>
      </c>
      <c r="AH112">
        <v>1361317.7900037901</v>
      </c>
    </row>
    <row r="113" spans="4:34">
      <c r="D113" s="78"/>
      <c r="E113" s="175"/>
      <c r="F113" s="175"/>
      <c r="G113" s="175"/>
      <c r="H113" s="175"/>
      <c r="I113" s="175"/>
      <c r="J113" s="78"/>
      <c r="K113" s="79"/>
      <c r="L113" s="83"/>
      <c r="M113" s="83"/>
      <c r="N113" s="83"/>
      <c r="O113" s="83"/>
      <c r="U113" s="1"/>
      <c r="V113" s="1"/>
      <c r="W113" s="1"/>
      <c r="X113" s="1"/>
      <c r="AC113" s="1">
        <v>3424</v>
      </c>
      <c r="AD113" s="1">
        <v>30975.800000005402</v>
      </c>
      <c r="AG113">
        <v>3424</v>
      </c>
      <c r="AH113">
        <v>1376776.5999996499</v>
      </c>
    </row>
    <row r="114" spans="4:34">
      <c r="D114" s="78"/>
      <c r="E114" s="175"/>
      <c r="F114" s="175"/>
      <c r="G114" s="175"/>
      <c r="H114" s="175"/>
      <c r="I114" s="175"/>
      <c r="J114" s="78"/>
      <c r="K114" s="79"/>
      <c r="L114" s="83"/>
      <c r="M114" s="83"/>
      <c r="N114" s="83"/>
      <c r="O114" s="83"/>
      <c r="U114" s="1"/>
      <c r="V114" s="1"/>
      <c r="W114" s="1"/>
      <c r="X114" s="1"/>
      <c r="AC114" s="1">
        <v>3424.5</v>
      </c>
      <c r="AD114" s="1">
        <v>31092.150000068101</v>
      </c>
      <c r="AG114">
        <v>3424.5</v>
      </c>
      <c r="AH114">
        <v>1392293.59000094</v>
      </c>
    </row>
    <row r="115" spans="4:34">
      <c r="D115" s="78"/>
      <c r="E115" s="175"/>
      <c r="F115" s="175"/>
      <c r="G115" s="175"/>
      <c r="H115" s="175"/>
      <c r="I115" s="175"/>
      <c r="J115" s="78"/>
      <c r="K115" s="79"/>
      <c r="L115" s="83"/>
      <c r="M115" s="83"/>
      <c r="N115" s="83"/>
      <c r="O115" s="83"/>
      <c r="U115" s="1"/>
      <c r="V115" s="1"/>
      <c r="W115" s="1"/>
      <c r="X115" s="1"/>
      <c r="AC115" s="1">
        <v>3425</v>
      </c>
      <c r="AD115" s="1">
        <v>31208.499999883701</v>
      </c>
      <c r="AG115">
        <v>3425</v>
      </c>
      <c r="AH115">
        <v>1407868.7500034601</v>
      </c>
    </row>
    <row r="116" spans="4:34">
      <c r="D116" s="78"/>
      <c r="E116" s="175"/>
      <c r="F116" s="175"/>
      <c r="G116" s="175"/>
      <c r="H116" s="175"/>
      <c r="I116" s="175"/>
      <c r="J116" s="78"/>
      <c r="K116" s="79"/>
      <c r="L116" s="83"/>
      <c r="M116" s="83"/>
      <c r="N116" s="83"/>
      <c r="O116" s="83"/>
      <c r="U116" s="1"/>
      <c r="V116" s="1"/>
      <c r="W116" s="1"/>
      <c r="X116" s="1"/>
      <c r="AC116" s="1">
        <v>3425.5</v>
      </c>
      <c r="AD116" s="1">
        <v>31324.8499999464</v>
      </c>
      <c r="AG116">
        <v>3425.5</v>
      </c>
      <c r="AH116">
        <v>1423502.09000329</v>
      </c>
    </row>
    <row r="117" spans="4:34">
      <c r="D117" s="78"/>
      <c r="E117" s="175"/>
      <c r="F117" s="175"/>
      <c r="G117" s="175"/>
      <c r="H117" s="175"/>
      <c r="I117" s="175"/>
      <c r="J117" s="78"/>
      <c r="K117" s="79"/>
      <c r="L117" s="83"/>
      <c r="M117" s="83"/>
      <c r="N117" s="83"/>
      <c r="O117" s="83"/>
      <c r="U117" s="1"/>
      <c r="V117" s="1"/>
      <c r="W117" s="1"/>
      <c r="X117" s="1"/>
      <c r="AC117" s="1">
        <v>3426</v>
      </c>
      <c r="AD117" s="1">
        <v>31441.200000009099</v>
      </c>
      <c r="AG117">
        <v>3426</v>
      </c>
      <c r="AH117">
        <v>1439193.5999962499</v>
      </c>
    </row>
    <row r="118" spans="4:34">
      <c r="D118" s="78"/>
      <c r="E118" s="175"/>
      <c r="F118" s="175"/>
      <c r="G118" s="175"/>
      <c r="H118" s="175"/>
      <c r="I118" s="175"/>
      <c r="J118" s="78"/>
      <c r="K118" s="79"/>
      <c r="L118" s="83"/>
      <c r="M118" s="83"/>
      <c r="N118" s="83"/>
      <c r="O118" s="83"/>
      <c r="U118" s="1"/>
      <c r="V118" s="1"/>
      <c r="W118" s="1"/>
      <c r="X118" s="1"/>
      <c r="AC118" s="1">
        <v>3426.5</v>
      </c>
      <c r="AD118" s="1">
        <v>31557.550000071798</v>
      </c>
      <c r="AG118">
        <v>3426.5</v>
      </c>
      <c r="AH118">
        <v>1454943.29000273</v>
      </c>
    </row>
    <row r="119" spans="4:34">
      <c r="D119" s="78"/>
      <c r="E119" s="175"/>
      <c r="F119" s="175"/>
      <c r="G119" s="175"/>
      <c r="H119" s="175"/>
      <c r="I119" s="175"/>
      <c r="J119" s="78"/>
      <c r="K119" s="79"/>
      <c r="L119" s="83"/>
      <c r="M119" s="83"/>
      <c r="N119" s="83"/>
      <c r="O119" s="83"/>
      <c r="U119" s="1"/>
      <c r="V119" s="1"/>
      <c r="W119" s="1"/>
      <c r="X119" s="1"/>
      <c r="AC119" s="1">
        <v>3427</v>
      </c>
      <c r="AD119" s="1">
        <v>31673.899999887399</v>
      </c>
      <c r="AG119">
        <v>3427</v>
      </c>
      <c r="AH119">
        <v>1470751.1500023301</v>
      </c>
    </row>
    <row r="120" spans="4:34">
      <c r="D120" s="78"/>
      <c r="E120" s="175"/>
      <c r="F120" s="175"/>
      <c r="G120" s="175"/>
      <c r="H120" s="175"/>
      <c r="I120" s="175"/>
      <c r="J120" s="78"/>
      <c r="K120" s="79"/>
      <c r="L120" s="83"/>
      <c r="M120" s="83"/>
      <c r="N120" s="83"/>
      <c r="O120" s="83"/>
      <c r="U120" s="1"/>
      <c r="V120" s="1"/>
      <c r="W120" s="1"/>
      <c r="X120" s="1"/>
      <c r="AC120" s="1">
        <v>3427.5</v>
      </c>
      <c r="AD120" s="1">
        <v>31790.249999950101</v>
      </c>
      <c r="AG120">
        <v>3427.5</v>
      </c>
      <c r="AH120">
        <v>1486617.18999924</v>
      </c>
    </row>
    <row r="121" spans="4:34">
      <c r="D121" s="78"/>
      <c r="E121" s="175"/>
      <c r="F121" s="175"/>
      <c r="G121" s="175"/>
      <c r="H121" s="175"/>
      <c r="I121" s="175"/>
      <c r="J121" s="78"/>
      <c r="K121" s="79"/>
      <c r="L121" s="83"/>
      <c r="M121" s="83"/>
      <c r="N121" s="83"/>
      <c r="O121" s="83"/>
      <c r="U121" s="1"/>
      <c r="V121" s="1"/>
      <c r="W121" s="1"/>
      <c r="X121" s="1"/>
      <c r="AC121" s="1">
        <v>3428</v>
      </c>
      <c r="AD121" s="1">
        <v>31906.600000012801</v>
      </c>
      <c r="AG121">
        <v>3428</v>
      </c>
      <c r="AH121">
        <v>1502541.3999973901</v>
      </c>
    </row>
    <row r="122" spans="4:34">
      <c r="D122" s="78"/>
      <c r="E122" s="175"/>
      <c r="F122" s="175"/>
      <c r="G122" s="175"/>
      <c r="H122" s="175"/>
      <c r="I122" s="175"/>
      <c r="J122" s="78"/>
      <c r="K122" s="79"/>
      <c r="L122" s="83"/>
      <c r="M122" s="83"/>
      <c r="N122" s="83"/>
      <c r="O122" s="83"/>
      <c r="U122" s="1"/>
      <c r="V122" s="1"/>
      <c r="W122" s="1"/>
      <c r="X122" s="1"/>
      <c r="AC122" s="1">
        <v>3428.5</v>
      </c>
      <c r="AD122" s="1">
        <v>32022.9500000755</v>
      </c>
      <c r="AG122">
        <v>3428.5</v>
      </c>
      <c r="AH122">
        <v>1518523.79000095</v>
      </c>
    </row>
    <row r="123" spans="4:34">
      <c r="D123" s="78"/>
      <c r="E123" s="175"/>
      <c r="F123" s="175"/>
      <c r="G123" s="175"/>
      <c r="H123" s="175"/>
      <c r="I123" s="175"/>
      <c r="J123" s="78"/>
      <c r="K123" s="79"/>
      <c r="L123" s="83"/>
      <c r="M123" s="83"/>
      <c r="N123" s="83"/>
      <c r="O123" s="83"/>
      <c r="U123" s="1"/>
      <c r="V123" s="1"/>
      <c r="W123" s="1"/>
      <c r="X123" s="1"/>
      <c r="AC123" s="1">
        <v>3429</v>
      </c>
      <c r="AD123" s="1">
        <v>32139.2999998911</v>
      </c>
      <c r="AG123">
        <v>3429</v>
      </c>
      <c r="AH123">
        <v>1534564.3499976399</v>
      </c>
    </row>
    <row r="124" spans="4:34">
      <c r="D124" s="78"/>
      <c r="E124" s="175"/>
      <c r="F124" s="175"/>
      <c r="G124" s="175"/>
      <c r="H124" s="175"/>
      <c r="I124" s="175"/>
      <c r="J124" s="78"/>
      <c r="K124" s="79"/>
      <c r="L124" s="83"/>
      <c r="M124" s="83"/>
      <c r="N124" s="83"/>
      <c r="O124" s="83"/>
      <c r="U124" s="1"/>
      <c r="V124" s="1"/>
      <c r="W124" s="1"/>
      <c r="X124" s="1"/>
      <c r="AC124" s="1">
        <v>3429.5</v>
      </c>
      <c r="AD124" s="1">
        <v>32255.649999953901</v>
      </c>
      <c r="AG124">
        <v>3429.5</v>
      </c>
      <c r="AH124">
        <v>1550663.08999974</v>
      </c>
    </row>
    <row r="125" spans="4:34">
      <c r="D125" s="78"/>
      <c r="E125" s="175"/>
      <c r="F125" s="175"/>
      <c r="G125" s="175"/>
      <c r="H125" s="175"/>
      <c r="I125" s="175"/>
      <c r="J125" s="78"/>
      <c r="K125" s="79"/>
      <c r="L125" s="83"/>
      <c r="M125" s="83"/>
      <c r="N125" s="83"/>
      <c r="O125" s="83"/>
      <c r="U125" s="1"/>
      <c r="V125" s="1"/>
      <c r="W125" s="1"/>
      <c r="X125" s="1"/>
      <c r="AC125" s="1">
        <v>3430</v>
      </c>
      <c r="AD125" s="1">
        <v>32372.0000000166</v>
      </c>
      <c r="AG125">
        <v>3430</v>
      </c>
      <c r="AH125">
        <v>1566820.0000030799</v>
      </c>
    </row>
    <row r="126" spans="4:34">
      <c r="D126" s="78"/>
      <c r="E126" s="175"/>
      <c r="F126" s="175"/>
      <c r="G126" s="175"/>
      <c r="H126" s="175"/>
      <c r="I126" s="175"/>
      <c r="J126" s="78"/>
      <c r="K126" s="79"/>
      <c r="L126" s="83"/>
      <c r="M126" s="83"/>
      <c r="N126" s="83"/>
      <c r="O126" s="83"/>
      <c r="U126" s="1"/>
      <c r="V126" s="1"/>
      <c r="W126" s="1"/>
      <c r="X126" s="1"/>
      <c r="AC126" s="1">
        <v>3430.5</v>
      </c>
      <c r="AD126" s="1">
        <v>32488.350000079299</v>
      </c>
      <c r="AG126">
        <v>3430.5</v>
      </c>
      <c r="AH126">
        <v>1583035.09000373</v>
      </c>
    </row>
    <row r="127" spans="4:34">
      <c r="D127" s="78"/>
      <c r="E127" s="175"/>
      <c r="F127" s="175"/>
      <c r="G127" s="175"/>
      <c r="H127" s="175"/>
      <c r="I127" s="175"/>
      <c r="J127" s="78"/>
      <c r="K127" s="79"/>
      <c r="L127" s="83"/>
      <c r="M127" s="83"/>
      <c r="N127" s="83"/>
      <c r="O127" s="83"/>
      <c r="U127" s="1"/>
      <c r="V127" s="1"/>
      <c r="W127" s="1"/>
      <c r="X127" s="1"/>
      <c r="AC127" s="1">
        <v>3431</v>
      </c>
      <c r="AD127" s="1">
        <v>32604.6999998949</v>
      </c>
      <c r="AG127">
        <v>3431</v>
      </c>
      <c r="AH127">
        <v>1599308.3499974899</v>
      </c>
    </row>
    <row r="128" spans="4:34">
      <c r="D128" s="78"/>
      <c r="E128" s="175"/>
      <c r="F128" s="175"/>
      <c r="G128" s="175"/>
      <c r="H128" s="175"/>
      <c r="I128" s="175"/>
      <c r="J128" s="78"/>
      <c r="K128" s="79"/>
      <c r="L128" s="83"/>
      <c r="M128" s="83"/>
      <c r="N128" s="83"/>
      <c r="O128" s="83"/>
      <c r="U128" s="1"/>
      <c r="V128" s="1"/>
      <c r="W128" s="1"/>
      <c r="X128" s="1"/>
      <c r="AC128" s="1">
        <v>3431.5</v>
      </c>
      <c r="AD128" s="1">
        <v>32721.049999957599</v>
      </c>
      <c r="AG128">
        <v>3431.5</v>
      </c>
      <c r="AH128">
        <v>1615639.7899966801</v>
      </c>
    </row>
    <row r="129" spans="4:34">
      <c r="D129" s="78"/>
      <c r="E129" s="175"/>
      <c r="F129" s="175"/>
      <c r="G129" s="175"/>
      <c r="H129" s="175"/>
      <c r="I129" s="175"/>
      <c r="J129" s="78"/>
      <c r="K129" s="79"/>
      <c r="L129" s="83"/>
      <c r="M129" s="83"/>
      <c r="N129" s="83"/>
      <c r="O129" s="83"/>
      <c r="U129" s="1"/>
      <c r="V129" s="1"/>
      <c r="W129" s="1"/>
      <c r="X129" s="1"/>
      <c r="AC129" s="1">
        <v>3432</v>
      </c>
      <c r="AD129" s="1">
        <v>32837.400000020301</v>
      </c>
      <c r="AG129">
        <v>3432</v>
      </c>
      <c r="AH129">
        <v>1632029.3999971</v>
      </c>
    </row>
    <row r="130" spans="4:34">
      <c r="D130" s="78"/>
      <c r="E130" s="175"/>
      <c r="F130" s="175"/>
      <c r="G130" s="175"/>
      <c r="H130" s="175"/>
      <c r="I130" s="175"/>
      <c r="J130" s="78"/>
      <c r="K130" s="79"/>
      <c r="L130" s="83"/>
      <c r="M130" s="83"/>
      <c r="N130" s="83"/>
      <c r="O130" s="83"/>
      <c r="U130" s="1"/>
      <c r="V130" s="1"/>
      <c r="W130" s="1"/>
      <c r="X130" s="1"/>
      <c r="AC130" s="1">
        <v>3432.5</v>
      </c>
      <c r="AD130" s="1">
        <v>32953.750000082997</v>
      </c>
      <c r="AG130">
        <v>3432.5</v>
      </c>
      <c r="AH130">
        <v>1648477.1900029399</v>
      </c>
    </row>
    <row r="131" spans="4:34">
      <c r="D131" s="78"/>
      <c r="E131" s="175"/>
      <c r="F131" s="175"/>
      <c r="G131" s="175"/>
      <c r="H131" s="175"/>
      <c r="I131" s="175"/>
      <c r="J131" s="78"/>
      <c r="K131" s="79"/>
      <c r="L131" s="83"/>
      <c r="M131" s="83"/>
      <c r="N131" s="83"/>
      <c r="O131" s="83"/>
      <c r="U131" s="1"/>
      <c r="V131" s="1"/>
      <c r="W131" s="1"/>
      <c r="X131" s="1"/>
      <c r="AC131" s="1">
        <v>3433</v>
      </c>
      <c r="AD131" s="1">
        <v>33070.099999898601</v>
      </c>
      <c r="AG131">
        <v>3433</v>
      </c>
      <c r="AH131">
        <v>1664983.1500019</v>
      </c>
    </row>
    <row r="132" spans="4:34">
      <c r="D132" s="78"/>
      <c r="E132" s="175"/>
      <c r="F132" s="175"/>
      <c r="G132" s="175"/>
      <c r="H132" s="175"/>
      <c r="I132" s="175"/>
      <c r="J132" s="78"/>
      <c r="K132" s="79"/>
      <c r="L132" s="83"/>
      <c r="M132" s="83"/>
      <c r="N132" s="83"/>
      <c r="O132" s="83"/>
      <c r="U132" s="1"/>
      <c r="V132" s="1"/>
      <c r="W132" s="1"/>
      <c r="X132" s="1"/>
      <c r="AC132" s="1">
        <v>3433.5</v>
      </c>
      <c r="AD132" s="1">
        <v>33186.449999961304</v>
      </c>
      <c r="AG132">
        <v>3433.5</v>
      </c>
      <c r="AH132">
        <v>1681547.28999817</v>
      </c>
    </row>
    <row r="133" spans="4:34">
      <c r="D133" s="78"/>
      <c r="E133" s="175"/>
      <c r="F133" s="175"/>
      <c r="G133" s="175"/>
      <c r="H133" s="175"/>
      <c r="I133" s="175"/>
      <c r="J133" s="78"/>
      <c r="K133" s="79"/>
      <c r="L133" s="83"/>
      <c r="M133" s="83"/>
      <c r="N133" s="83"/>
      <c r="O133" s="83"/>
      <c r="U133" s="1"/>
      <c r="V133" s="1"/>
      <c r="W133" s="1"/>
      <c r="X133" s="1"/>
      <c r="AC133" s="1">
        <v>3434</v>
      </c>
      <c r="AD133" s="1">
        <v>33302.800000023999</v>
      </c>
      <c r="AG133">
        <v>3434</v>
      </c>
      <c r="AH133">
        <v>1698169.6000037801</v>
      </c>
    </row>
    <row r="134" spans="4:34">
      <c r="D134" s="78"/>
      <c r="E134" s="175"/>
      <c r="F134" s="175"/>
      <c r="G134" s="175"/>
      <c r="H134" s="175"/>
      <c r="I134" s="175"/>
      <c r="J134" s="78"/>
      <c r="K134" s="79"/>
      <c r="L134" s="83"/>
      <c r="M134" s="83"/>
      <c r="N134" s="83"/>
      <c r="O134" s="83"/>
      <c r="U134" s="1"/>
      <c r="V134" s="1"/>
      <c r="W134" s="1"/>
      <c r="X134" s="1"/>
      <c r="AC134" s="1">
        <v>3434.5</v>
      </c>
      <c r="AD134" s="1">
        <v>33419.150000086702</v>
      </c>
      <c r="AG134">
        <v>3434.5</v>
      </c>
      <c r="AH134">
        <v>1714850.0899986001</v>
      </c>
    </row>
    <row r="135" spans="4:34">
      <c r="D135" s="78"/>
      <c r="E135" s="175"/>
      <c r="F135" s="175"/>
      <c r="G135" s="175"/>
      <c r="H135" s="175"/>
      <c r="I135" s="175"/>
      <c r="J135" s="78"/>
      <c r="K135" s="79"/>
      <c r="L135" s="83"/>
      <c r="M135" s="83"/>
      <c r="N135" s="83"/>
      <c r="O135" s="83"/>
      <c r="U135" s="1"/>
      <c r="V135" s="1"/>
      <c r="W135" s="1"/>
      <c r="X135" s="1"/>
      <c r="AC135" s="1">
        <v>3435</v>
      </c>
      <c r="AD135" s="1">
        <v>33535.499999902298</v>
      </c>
      <c r="AG135">
        <v>3435</v>
      </c>
      <c r="AH135">
        <v>1731588.75000274</v>
      </c>
    </row>
    <row r="136" spans="4:34">
      <c r="D136" s="78"/>
      <c r="E136" s="175"/>
      <c r="F136" s="175"/>
      <c r="G136" s="175"/>
      <c r="H136" s="175"/>
      <c r="I136" s="175"/>
      <c r="J136" s="78"/>
      <c r="K136" s="79"/>
      <c r="L136" s="83"/>
      <c r="M136" s="83"/>
      <c r="N136" s="83"/>
      <c r="O136" s="83"/>
      <c r="U136" s="1"/>
      <c r="V136" s="1"/>
      <c r="W136" s="1"/>
      <c r="X136" s="1"/>
      <c r="AC136" s="1">
        <v>3435.5</v>
      </c>
      <c r="AD136" s="1">
        <v>33651.849999965001</v>
      </c>
      <c r="AG136">
        <v>3435.5</v>
      </c>
      <c r="AH136">
        <v>1748385.5899960999</v>
      </c>
    </row>
    <row r="137" spans="4:34">
      <c r="D137" s="78"/>
      <c r="E137" s="175"/>
      <c r="F137" s="175"/>
      <c r="G137" s="175"/>
      <c r="H137" s="175"/>
      <c r="I137" s="175"/>
      <c r="J137" s="78"/>
      <c r="K137" s="79"/>
      <c r="L137" s="83"/>
      <c r="M137" s="83"/>
      <c r="N137" s="83"/>
      <c r="O137" s="83"/>
      <c r="U137" s="1"/>
      <c r="V137" s="1"/>
      <c r="W137" s="1"/>
      <c r="X137" s="1"/>
      <c r="AC137" s="1">
        <v>3436</v>
      </c>
      <c r="AD137" s="1">
        <v>33768.200000027697</v>
      </c>
      <c r="AG137">
        <v>3436</v>
      </c>
      <c r="AH137">
        <v>1765240.5999987901</v>
      </c>
    </row>
    <row r="138" spans="4:34">
      <c r="D138" s="78"/>
      <c r="E138" s="175"/>
      <c r="F138" s="175"/>
      <c r="G138" s="175"/>
      <c r="H138" s="175"/>
      <c r="I138" s="175"/>
      <c r="J138" s="78"/>
      <c r="K138" s="79"/>
      <c r="L138" s="83"/>
      <c r="M138" s="83"/>
      <c r="N138" s="83"/>
      <c r="O138" s="83"/>
      <c r="U138" s="1"/>
      <c r="V138" s="1"/>
      <c r="W138" s="1"/>
      <c r="X138" s="1"/>
      <c r="AC138" s="1">
        <v>3436.5</v>
      </c>
      <c r="AD138" s="1">
        <v>33884.550000090399</v>
      </c>
      <c r="AG138">
        <v>3436.5</v>
      </c>
      <c r="AH138">
        <v>1782153.7899988</v>
      </c>
    </row>
    <row r="139" spans="4:34">
      <c r="D139" s="78"/>
      <c r="E139" s="175"/>
      <c r="F139" s="175"/>
      <c r="G139" s="175"/>
      <c r="H139" s="175"/>
      <c r="I139" s="175"/>
      <c r="J139" s="78"/>
      <c r="K139" s="79"/>
      <c r="L139" s="83"/>
      <c r="M139" s="83"/>
      <c r="N139" s="83"/>
      <c r="O139" s="83"/>
      <c r="U139" s="1"/>
      <c r="V139" s="1"/>
      <c r="W139" s="1"/>
      <c r="X139" s="1"/>
      <c r="AC139" s="1">
        <v>3437</v>
      </c>
      <c r="AD139" s="1">
        <v>34000.899999906003</v>
      </c>
      <c r="AG139">
        <v>3437</v>
      </c>
      <c r="AH139">
        <v>1799125.1500000299</v>
      </c>
    </row>
    <row r="140" spans="4:34">
      <c r="D140" s="78"/>
      <c r="E140" s="175"/>
      <c r="F140" s="175"/>
      <c r="G140" s="175"/>
      <c r="H140" s="175"/>
      <c r="I140" s="175"/>
      <c r="J140" s="78"/>
      <c r="K140" s="79"/>
      <c r="L140" s="83"/>
      <c r="M140" s="83"/>
      <c r="N140" s="83"/>
      <c r="O140" s="83"/>
      <c r="U140" s="1"/>
      <c r="V140" s="1"/>
      <c r="W140" s="1"/>
      <c r="X140" s="1"/>
      <c r="AC140" s="1">
        <v>3437.5</v>
      </c>
      <c r="AD140" s="1">
        <v>34117.249999968699</v>
      </c>
      <c r="AG140">
        <v>3437.5</v>
      </c>
      <c r="AH140">
        <v>1816154.6899985799</v>
      </c>
    </row>
    <row r="141" spans="4:34">
      <c r="D141" s="78"/>
      <c r="E141" s="175"/>
      <c r="F141" s="175"/>
      <c r="G141" s="175"/>
      <c r="H141" s="175"/>
      <c r="I141" s="175"/>
      <c r="J141" s="78"/>
      <c r="K141" s="79"/>
      <c r="L141" s="83"/>
      <c r="M141" s="83"/>
      <c r="N141" s="83"/>
      <c r="O141" s="83"/>
      <c r="U141" s="1"/>
      <c r="V141" s="1"/>
      <c r="W141" s="1"/>
      <c r="X141" s="1"/>
      <c r="AC141" s="1">
        <v>3438</v>
      </c>
      <c r="AD141" s="1">
        <v>34233.600000031402</v>
      </c>
      <c r="AG141">
        <v>3438</v>
      </c>
      <c r="AH141">
        <v>1833242.3999983601</v>
      </c>
    </row>
    <row r="142" spans="4:34">
      <c r="D142" s="78"/>
      <c r="E142" s="175"/>
      <c r="F142" s="175"/>
      <c r="G142" s="175"/>
      <c r="H142" s="175"/>
      <c r="I142" s="175"/>
      <c r="J142" s="78"/>
      <c r="K142" s="79"/>
      <c r="L142" s="83"/>
      <c r="M142" s="83"/>
      <c r="N142" s="83"/>
      <c r="O142" s="83"/>
      <c r="U142" s="1"/>
      <c r="V142" s="1"/>
      <c r="W142" s="1"/>
      <c r="X142" s="1"/>
      <c r="AC142" s="1">
        <v>3438.5</v>
      </c>
      <c r="AD142" s="1">
        <v>34349.950000094097</v>
      </c>
      <c r="AG142">
        <v>3438.5</v>
      </c>
      <c r="AH142">
        <v>1850388.29000356</v>
      </c>
    </row>
    <row r="143" spans="4:34">
      <c r="D143" s="78"/>
      <c r="E143" s="175"/>
      <c r="F143" s="175"/>
      <c r="G143" s="175"/>
      <c r="H143" s="175"/>
      <c r="I143" s="175"/>
      <c r="J143" s="78"/>
      <c r="K143" s="79"/>
      <c r="L143" s="83"/>
      <c r="M143" s="83"/>
      <c r="N143" s="83"/>
      <c r="O143" s="83"/>
      <c r="U143" s="1"/>
      <c r="V143" s="1"/>
      <c r="W143" s="1"/>
      <c r="X143" s="1"/>
      <c r="AC143" s="1">
        <v>3439</v>
      </c>
      <c r="AD143" s="1">
        <v>34466.299999909701</v>
      </c>
      <c r="AG143">
        <v>3439</v>
      </c>
      <c r="AH143">
        <v>1867592.35000187</v>
      </c>
    </row>
    <row r="144" spans="4:34">
      <c r="D144" s="78"/>
      <c r="E144" s="175"/>
      <c r="F144" s="175"/>
      <c r="G144" s="175"/>
      <c r="H144" s="175"/>
      <c r="I144" s="175"/>
      <c r="J144" s="78"/>
      <c r="K144" s="79"/>
      <c r="L144" s="83"/>
      <c r="M144" s="83"/>
      <c r="N144" s="83"/>
      <c r="O144" s="83"/>
      <c r="U144" s="1"/>
      <c r="V144" s="1"/>
      <c r="W144" s="1"/>
      <c r="X144" s="1"/>
      <c r="AC144" s="1">
        <v>3439.5</v>
      </c>
      <c r="AD144" s="1">
        <v>34582.649999972396</v>
      </c>
      <c r="AG144">
        <v>3439.5</v>
      </c>
      <c r="AH144">
        <v>1884854.5899974999</v>
      </c>
    </row>
    <row r="145" spans="4:34">
      <c r="D145" s="78"/>
      <c r="E145" s="175"/>
      <c r="F145" s="175"/>
      <c r="G145" s="175"/>
      <c r="H145" s="175"/>
      <c r="I145" s="175"/>
      <c r="J145" s="78"/>
      <c r="K145" s="79"/>
      <c r="L145" s="83"/>
      <c r="M145" s="83"/>
      <c r="N145" s="83"/>
      <c r="O145" s="83"/>
      <c r="U145" s="1"/>
      <c r="V145" s="1"/>
      <c r="W145" s="1"/>
      <c r="X145" s="1"/>
      <c r="AC145" s="1">
        <v>3440</v>
      </c>
      <c r="AD145" s="1">
        <v>34699.000000035099</v>
      </c>
      <c r="AG145">
        <v>3440</v>
      </c>
      <c r="AH145">
        <v>1902175.0000024701</v>
      </c>
    </row>
    <row r="146" spans="4:34">
      <c r="D146" s="78"/>
      <c r="E146" s="175"/>
      <c r="F146" s="175"/>
      <c r="G146" s="175"/>
      <c r="H146" s="175"/>
      <c r="I146" s="175"/>
      <c r="J146" s="78"/>
      <c r="K146" s="79"/>
      <c r="L146" s="83"/>
      <c r="M146" s="83"/>
      <c r="N146" s="83"/>
      <c r="O146" s="83"/>
      <c r="U146" s="1"/>
      <c r="V146" s="1"/>
      <c r="W146" s="1"/>
      <c r="X146" s="1"/>
      <c r="AC146" s="1">
        <v>3440.5</v>
      </c>
      <c r="AD146" s="1">
        <v>34840.549999889197</v>
      </c>
      <c r="AG146">
        <v>3440.5</v>
      </c>
      <c r="AH146">
        <v>1919559.8900002299</v>
      </c>
    </row>
    <row r="147" spans="4:34">
      <c r="D147" s="78"/>
      <c r="E147" s="175"/>
      <c r="F147" s="175"/>
      <c r="G147" s="175"/>
      <c r="H147" s="175"/>
      <c r="I147" s="175"/>
      <c r="J147" s="78"/>
      <c r="K147" s="79"/>
      <c r="L147" s="83"/>
      <c r="M147" s="83"/>
      <c r="N147" s="83"/>
      <c r="O147" s="83"/>
      <c r="U147" s="1"/>
      <c r="V147" s="1"/>
      <c r="W147" s="1"/>
      <c r="X147" s="1"/>
      <c r="AC147" s="1">
        <v>3441</v>
      </c>
      <c r="AD147" s="1">
        <v>34982.0999999903</v>
      </c>
      <c r="AG147">
        <v>3441</v>
      </c>
      <c r="AH147">
        <v>1937015.5499982799</v>
      </c>
    </row>
    <row r="148" spans="4:34">
      <c r="D148" s="78"/>
      <c r="E148" s="175"/>
      <c r="F148" s="175"/>
      <c r="G148" s="175"/>
      <c r="H148" s="175"/>
      <c r="I148" s="175"/>
      <c r="J148" s="78"/>
      <c r="K148" s="79"/>
      <c r="L148" s="83"/>
      <c r="M148" s="83"/>
      <c r="N148" s="83"/>
      <c r="O148" s="83"/>
      <c r="U148" s="1"/>
      <c r="V148" s="1"/>
      <c r="W148" s="1"/>
      <c r="X148" s="1"/>
      <c r="AC148" s="1">
        <v>3441.5</v>
      </c>
      <c r="AD148" s="1">
        <v>35123.650000091402</v>
      </c>
      <c r="AG148">
        <v>3441.5</v>
      </c>
      <c r="AH148">
        <v>1954541.99000082</v>
      </c>
    </row>
    <row r="149" spans="4:34">
      <c r="D149" s="78"/>
      <c r="E149" s="175"/>
      <c r="F149" s="175"/>
      <c r="G149" s="175"/>
      <c r="H149" s="175"/>
      <c r="I149" s="175"/>
      <c r="J149" s="78"/>
      <c r="K149" s="79"/>
      <c r="L149" s="83"/>
      <c r="M149" s="83"/>
      <c r="N149" s="83"/>
      <c r="O149" s="83"/>
      <c r="U149" s="1"/>
      <c r="V149" s="1"/>
      <c r="W149" s="1"/>
      <c r="X149" s="1"/>
      <c r="AC149" s="1">
        <v>3442</v>
      </c>
      <c r="AD149" s="1">
        <v>35265.1999999455</v>
      </c>
      <c r="AG149">
        <v>3442</v>
      </c>
      <c r="AH149">
        <v>1972139.20000365</v>
      </c>
    </row>
    <row r="150" spans="4:34">
      <c r="D150" s="78"/>
      <c r="E150" s="175"/>
      <c r="F150" s="175"/>
      <c r="G150" s="175"/>
      <c r="H150" s="175"/>
      <c r="I150" s="175"/>
      <c r="J150" s="78"/>
      <c r="K150" s="79"/>
      <c r="L150" s="83"/>
      <c r="M150" s="83"/>
      <c r="N150" s="83"/>
      <c r="O150" s="83"/>
      <c r="U150" s="1"/>
      <c r="V150" s="1"/>
      <c r="W150" s="1"/>
      <c r="X150" s="1"/>
      <c r="AC150" s="1">
        <v>3442.5</v>
      </c>
      <c r="AD150" s="1">
        <v>35406.750000046603</v>
      </c>
      <c r="AG150">
        <v>3442.5</v>
      </c>
      <c r="AH150">
        <v>1989807.19000286</v>
      </c>
    </row>
    <row r="151" spans="4:34">
      <c r="D151" s="78"/>
      <c r="E151" s="175"/>
      <c r="F151" s="175"/>
      <c r="G151" s="175"/>
      <c r="H151" s="175"/>
      <c r="I151" s="175"/>
      <c r="J151" s="78"/>
      <c r="K151" s="79"/>
      <c r="L151" s="83"/>
      <c r="M151" s="83"/>
      <c r="N151" s="83"/>
      <c r="O151" s="83"/>
      <c r="U151" s="1"/>
      <c r="V151" s="1"/>
      <c r="W151" s="1"/>
      <c r="X151" s="1"/>
      <c r="AC151" s="1">
        <v>3443</v>
      </c>
      <c r="AD151" s="1">
        <v>35548.299999900599</v>
      </c>
      <c r="AG151">
        <v>3443</v>
      </c>
      <c r="AH151">
        <v>2007545.9500023599</v>
      </c>
    </row>
    <row r="152" spans="4:34">
      <c r="D152" s="78"/>
      <c r="E152" s="175"/>
      <c r="F152" s="175"/>
      <c r="G152" s="175"/>
      <c r="H152" s="175"/>
      <c r="I152" s="175"/>
      <c r="J152" s="78"/>
      <c r="K152" s="79"/>
      <c r="L152" s="83"/>
      <c r="M152" s="83"/>
      <c r="N152" s="83"/>
      <c r="O152" s="83"/>
      <c r="U152" s="1"/>
      <c r="V152" s="1"/>
      <c r="W152" s="1"/>
      <c r="X152" s="1"/>
      <c r="AC152" s="1">
        <v>3443.5</v>
      </c>
      <c r="AD152" s="1">
        <v>35689.850000001803</v>
      </c>
      <c r="AG152">
        <v>3443.5</v>
      </c>
      <c r="AH152">
        <v>2025355.48999825</v>
      </c>
    </row>
    <row r="153" spans="4:34">
      <c r="D153" s="78"/>
      <c r="E153" s="175"/>
      <c r="F153" s="175"/>
      <c r="G153" s="175"/>
      <c r="H153" s="175"/>
      <c r="I153" s="175"/>
      <c r="J153" s="78"/>
      <c r="K153" s="79"/>
      <c r="L153" s="83"/>
      <c r="M153" s="83"/>
      <c r="N153" s="83"/>
      <c r="O153" s="83"/>
      <c r="U153" s="1"/>
      <c r="V153" s="1"/>
      <c r="W153" s="1"/>
      <c r="X153" s="1"/>
      <c r="AC153" s="1">
        <v>3444</v>
      </c>
      <c r="AD153" s="1">
        <v>35831.400000102898</v>
      </c>
      <c r="AG153">
        <v>3444</v>
      </c>
      <c r="AH153">
        <v>2043235.80000253</v>
      </c>
    </row>
    <row r="154" spans="4:34">
      <c r="D154" s="78"/>
      <c r="E154" s="175"/>
      <c r="F154" s="175"/>
      <c r="G154" s="175"/>
      <c r="H154" s="175"/>
      <c r="I154" s="175"/>
      <c r="J154" s="78"/>
      <c r="K154" s="79"/>
      <c r="L154" s="83"/>
      <c r="M154" s="83"/>
      <c r="N154" s="83"/>
      <c r="O154" s="83"/>
      <c r="U154" s="1"/>
      <c r="V154" s="1"/>
      <c r="W154" s="1"/>
      <c r="X154" s="1"/>
      <c r="AC154" s="1">
        <v>3444.5</v>
      </c>
      <c r="AD154" s="1">
        <v>35972.949999956902</v>
      </c>
      <c r="AG154">
        <v>3444.5</v>
      </c>
      <c r="AH154">
        <v>2061186.8900031899</v>
      </c>
    </row>
    <row r="155" spans="4:34">
      <c r="D155" s="78"/>
      <c r="E155" s="175"/>
      <c r="F155" s="175"/>
      <c r="G155" s="175"/>
      <c r="H155" s="175"/>
      <c r="I155" s="175"/>
      <c r="J155" s="78"/>
      <c r="K155" s="79"/>
      <c r="L155" s="83"/>
      <c r="M155" s="83"/>
      <c r="N155" s="83"/>
      <c r="O155" s="83"/>
      <c r="U155" s="1"/>
      <c r="V155" s="1"/>
      <c r="W155" s="1"/>
      <c r="X155" s="1"/>
      <c r="AC155" s="1">
        <v>3445</v>
      </c>
      <c r="AD155" s="1">
        <v>36114.500000058099</v>
      </c>
      <c r="AG155">
        <v>3445</v>
      </c>
      <c r="AH155">
        <v>2079208.74999604</v>
      </c>
    </row>
    <row r="156" spans="4:34">
      <c r="D156" s="78"/>
      <c r="E156" s="175"/>
      <c r="F156" s="175"/>
      <c r="G156" s="175"/>
      <c r="H156" s="175"/>
      <c r="I156" s="175"/>
      <c r="J156" s="78"/>
      <c r="K156" s="79"/>
      <c r="L156" s="83"/>
      <c r="M156" s="83"/>
      <c r="N156" s="83"/>
      <c r="O156" s="83"/>
      <c r="U156" s="1"/>
      <c r="V156" s="1"/>
      <c r="W156" s="1"/>
      <c r="X156" s="1"/>
      <c r="AC156" s="1">
        <v>3445.5</v>
      </c>
      <c r="AD156" s="1">
        <v>36256.049999912102</v>
      </c>
      <c r="AG156">
        <v>3445.5</v>
      </c>
      <c r="AH156">
        <v>2097301.39000148</v>
      </c>
    </row>
    <row r="157" spans="4:34">
      <c r="D157" s="78"/>
      <c r="E157" s="175"/>
      <c r="F157" s="175"/>
      <c r="G157" s="175"/>
      <c r="H157" s="175"/>
      <c r="I157" s="175"/>
      <c r="J157" s="78"/>
      <c r="K157" s="79"/>
      <c r="L157" s="83"/>
      <c r="M157" s="83"/>
      <c r="N157" s="83"/>
      <c r="O157" s="83"/>
      <c r="U157" s="1"/>
      <c r="V157" s="1"/>
      <c r="W157" s="1"/>
      <c r="X157" s="1"/>
      <c r="AC157" s="1">
        <v>3446</v>
      </c>
      <c r="AD157" s="1">
        <v>36397.600000013197</v>
      </c>
      <c r="AG157">
        <v>3446</v>
      </c>
      <c r="AH157">
        <v>2115464.7999991099</v>
      </c>
    </row>
    <row r="158" spans="4:34">
      <c r="D158" s="78"/>
      <c r="E158" s="175"/>
      <c r="F158" s="175"/>
      <c r="G158" s="175"/>
      <c r="H158" s="175"/>
      <c r="I158" s="175"/>
      <c r="J158" s="78"/>
      <c r="K158" s="79"/>
      <c r="L158" s="83"/>
      <c r="M158" s="83"/>
      <c r="N158" s="83"/>
      <c r="O158" s="83"/>
      <c r="U158" s="1"/>
      <c r="V158" s="1"/>
      <c r="W158" s="1"/>
      <c r="X158" s="1"/>
      <c r="AC158" s="1">
        <v>3446.5</v>
      </c>
      <c r="AD158" s="1">
        <v>36539.150000114401</v>
      </c>
      <c r="AG158">
        <v>3446.5</v>
      </c>
      <c r="AH158">
        <v>2133698.9900012198</v>
      </c>
    </row>
    <row r="159" spans="4:34">
      <c r="D159" s="78"/>
      <c r="E159" s="175"/>
      <c r="F159" s="175"/>
      <c r="G159" s="175"/>
      <c r="H159" s="175"/>
      <c r="I159" s="175"/>
      <c r="J159" s="78"/>
      <c r="K159" s="79"/>
      <c r="L159" s="83"/>
      <c r="M159" s="83"/>
      <c r="N159" s="83"/>
      <c r="O159" s="83"/>
      <c r="U159" s="1"/>
      <c r="V159" s="1"/>
      <c r="W159" s="1"/>
      <c r="X159" s="1"/>
      <c r="AC159" s="1">
        <v>3447</v>
      </c>
      <c r="AD159" s="1">
        <v>36680.699999968398</v>
      </c>
      <c r="AG159">
        <v>3447</v>
      </c>
      <c r="AH159">
        <v>2152003.95000363</v>
      </c>
    </row>
    <row r="160" spans="4:34">
      <c r="D160" s="78"/>
      <c r="E160" s="175"/>
      <c r="F160" s="175"/>
      <c r="G160" s="175"/>
      <c r="H160" s="175"/>
      <c r="I160" s="175"/>
      <c r="J160" s="78"/>
      <c r="K160" s="79"/>
      <c r="L160" s="83"/>
      <c r="M160" s="83"/>
      <c r="N160" s="83"/>
      <c r="O160" s="83"/>
      <c r="U160" s="1"/>
      <c r="V160" s="1"/>
      <c r="W160" s="1"/>
      <c r="X160" s="1"/>
      <c r="AC160" s="1">
        <v>3447.5</v>
      </c>
      <c r="AD160" s="1">
        <v>36822.2500000695</v>
      </c>
      <c r="AG160">
        <v>3447.5</v>
      </c>
      <c r="AH160">
        <v>2170379.69000242</v>
      </c>
    </row>
    <row r="161" spans="4:34">
      <c r="D161" s="78"/>
      <c r="E161" s="175"/>
      <c r="F161" s="175"/>
      <c r="G161" s="175"/>
      <c r="H161" s="175"/>
      <c r="I161" s="175"/>
      <c r="J161" s="78"/>
      <c r="K161" s="79"/>
      <c r="L161" s="83"/>
      <c r="M161" s="83"/>
      <c r="N161" s="83"/>
      <c r="O161" s="83"/>
      <c r="U161" s="1"/>
      <c r="V161" s="1"/>
      <c r="W161" s="1"/>
      <c r="X161" s="1"/>
      <c r="AC161" s="1">
        <v>3448</v>
      </c>
      <c r="AD161" s="1">
        <v>36963.799999923598</v>
      </c>
      <c r="AG161">
        <v>3448</v>
      </c>
      <c r="AH161">
        <v>2188826.2000014898</v>
      </c>
    </row>
    <row r="162" spans="4:34">
      <c r="D162" s="78"/>
      <c r="E162" s="175"/>
      <c r="F162" s="175"/>
      <c r="G162" s="175"/>
      <c r="H162" s="175"/>
      <c r="I162" s="175"/>
      <c r="J162" s="78"/>
      <c r="K162" s="79"/>
      <c r="L162" s="83"/>
      <c r="M162" s="83"/>
      <c r="N162" s="83"/>
      <c r="O162" s="83"/>
      <c r="U162" s="1"/>
      <c r="V162" s="1"/>
      <c r="W162" s="1"/>
      <c r="X162" s="1"/>
      <c r="AC162" s="1">
        <v>3448.5</v>
      </c>
      <c r="AD162" s="1">
        <v>37105.3500000247</v>
      </c>
      <c r="AG162">
        <v>3448.5</v>
      </c>
      <c r="AH162">
        <v>2207343.4899969501</v>
      </c>
    </row>
    <row r="163" spans="4:34">
      <c r="D163" s="78"/>
      <c r="E163" s="175"/>
      <c r="F163" s="175"/>
      <c r="G163" s="175"/>
      <c r="H163" s="175"/>
      <c r="I163" s="175"/>
      <c r="J163" s="78"/>
      <c r="K163" s="79"/>
      <c r="L163" s="83"/>
      <c r="M163" s="83"/>
      <c r="N163" s="83"/>
      <c r="O163" s="83"/>
      <c r="U163" s="1"/>
      <c r="V163" s="1"/>
      <c r="W163" s="1"/>
      <c r="X163" s="1"/>
      <c r="AC163" s="1">
        <v>3449</v>
      </c>
      <c r="AD163" s="1">
        <v>37246.899999878697</v>
      </c>
      <c r="AG163">
        <v>3449</v>
      </c>
      <c r="AH163">
        <v>2225931.5500008101</v>
      </c>
    </row>
    <row r="164" spans="4:34">
      <c r="D164" s="78"/>
      <c r="E164" s="175"/>
      <c r="F164" s="175"/>
      <c r="G164" s="175"/>
      <c r="H164" s="175"/>
      <c r="I164" s="175"/>
      <c r="J164" s="78"/>
      <c r="K164" s="79"/>
      <c r="L164" s="83"/>
      <c r="M164" s="83"/>
      <c r="N164" s="83"/>
      <c r="O164" s="83"/>
      <c r="U164" s="1"/>
      <c r="V164" s="1"/>
      <c r="W164" s="1"/>
      <c r="X164" s="1"/>
      <c r="AC164" s="1">
        <v>3449.5</v>
      </c>
      <c r="AD164" s="1">
        <v>37388.449999979901</v>
      </c>
      <c r="AG164">
        <v>3449.5</v>
      </c>
      <c r="AH164">
        <v>2244590.3900010502</v>
      </c>
    </row>
    <row r="165" spans="4:34">
      <c r="D165" s="78"/>
      <c r="E165" s="175"/>
      <c r="F165" s="175"/>
      <c r="G165" s="175"/>
      <c r="H165" s="175"/>
      <c r="I165" s="175"/>
      <c r="J165" s="78"/>
      <c r="K165" s="79"/>
      <c r="L165" s="83"/>
      <c r="M165" s="83"/>
      <c r="N165" s="83"/>
      <c r="O165" s="83"/>
      <c r="U165" s="1"/>
      <c r="V165" s="1"/>
      <c r="W165" s="1"/>
      <c r="X165" s="1"/>
      <c r="AC165" s="1">
        <v>3450</v>
      </c>
      <c r="AD165" s="1">
        <v>37530.000000081003</v>
      </c>
      <c r="AG165">
        <v>3450</v>
      </c>
      <c r="AH165">
        <v>2263320.00000158</v>
      </c>
    </row>
    <row r="166" spans="4:34">
      <c r="D166" s="78"/>
      <c r="E166" s="175"/>
      <c r="F166" s="175"/>
      <c r="G166" s="175"/>
      <c r="H166" s="175"/>
      <c r="I166" s="175"/>
      <c r="J166" s="78"/>
      <c r="K166" s="79"/>
      <c r="L166" s="83"/>
      <c r="M166" s="83"/>
      <c r="N166" s="83"/>
      <c r="O166" s="83"/>
      <c r="U166" s="1"/>
      <c r="V166" s="1"/>
      <c r="W166" s="1"/>
      <c r="X166" s="1"/>
      <c r="AC166" s="1">
        <v>3450.5</v>
      </c>
      <c r="AD166" s="1">
        <v>37671.549999935</v>
      </c>
      <c r="AG166">
        <v>3450.5</v>
      </c>
      <c r="AH166">
        <v>2282120.38999849</v>
      </c>
    </row>
    <row r="167" spans="4:34">
      <c r="D167" s="78"/>
      <c r="E167" s="175"/>
      <c r="F167" s="175"/>
      <c r="G167" s="175"/>
      <c r="H167" s="175"/>
      <c r="I167" s="175"/>
      <c r="J167" s="78"/>
      <c r="K167" s="79"/>
      <c r="L167" s="83"/>
      <c r="M167" s="83"/>
      <c r="N167" s="83"/>
      <c r="O167" s="83"/>
      <c r="U167" s="1"/>
      <c r="V167" s="1"/>
      <c r="W167" s="1"/>
      <c r="X167" s="1"/>
      <c r="AC167" s="1">
        <v>3451</v>
      </c>
      <c r="AD167" s="1">
        <v>37813.100000036196</v>
      </c>
      <c r="AG167">
        <v>3451</v>
      </c>
      <c r="AH167">
        <v>2300991.5500038001</v>
      </c>
    </row>
    <row r="168" spans="4:34">
      <c r="D168" s="78"/>
      <c r="E168" s="175"/>
      <c r="F168" s="175"/>
      <c r="G168" s="175"/>
      <c r="H168" s="175"/>
      <c r="I168" s="175"/>
      <c r="J168" s="78"/>
      <c r="K168" s="79"/>
      <c r="L168" s="83"/>
      <c r="M168" s="83"/>
      <c r="N168" s="83"/>
      <c r="O168" s="83"/>
      <c r="U168" s="1"/>
      <c r="V168" s="1"/>
      <c r="W168" s="1"/>
      <c r="X168" s="1"/>
      <c r="AC168" s="1">
        <v>3451.5</v>
      </c>
      <c r="AD168" s="1">
        <v>37954.6499998902</v>
      </c>
      <c r="AG168">
        <v>3451.5</v>
      </c>
      <c r="AH168">
        <v>2319933.4899973799</v>
      </c>
    </row>
    <row r="169" spans="4:34">
      <c r="D169" s="78"/>
      <c r="E169" s="175"/>
      <c r="F169" s="175"/>
      <c r="G169" s="175"/>
      <c r="H169" s="175"/>
      <c r="I169" s="175"/>
      <c r="J169" s="78"/>
      <c r="K169" s="79"/>
      <c r="L169" s="83"/>
      <c r="M169" s="83"/>
      <c r="N169" s="83"/>
      <c r="O169" s="83"/>
      <c r="U169" s="1"/>
      <c r="V169" s="1"/>
      <c r="W169" s="1"/>
      <c r="X169" s="1"/>
      <c r="AC169" s="1">
        <v>3452</v>
      </c>
      <c r="AD169" s="1">
        <v>38096.199999991302</v>
      </c>
      <c r="AG169">
        <v>3452</v>
      </c>
      <c r="AH169">
        <v>2338946.1999993599</v>
      </c>
    </row>
    <row r="170" spans="4:34">
      <c r="D170" s="78"/>
      <c r="E170" s="175"/>
      <c r="F170" s="175"/>
      <c r="G170" s="175"/>
      <c r="H170" s="175"/>
      <c r="I170" s="175"/>
      <c r="J170" s="78"/>
      <c r="K170" s="79"/>
      <c r="L170" s="83"/>
      <c r="M170" s="83"/>
      <c r="N170" s="83"/>
      <c r="O170" s="83"/>
      <c r="U170" s="1"/>
      <c r="V170" s="1"/>
      <c r="W170" s="1"/>
      <c r="X170" s="1"/>
      <c r="AC170" s="1">
        <v>3452.5</v>
      </c>
      <c r="AD170" s="1">
        <v>38237.750000092499</v>
      </c>
      <c r="AG170">
        <v>3452.5</v>
      </c>
      <c r="AH170">
        <v>2358029.6899977201</v>
      </c>
    </row>
    <row r="171" spans="4:34">
      <c r="D171" s="78"/>
      <c r="E171" s="175"/>
      <c r="F171" s="175"/>
      <c r="G171" s="175"/>
      <c r="H171" s="175"/>
      <c r="I171" s="175"/>
      <c r="J171" s="78"/>
      <c r="K171" s="79"/>
      <c r="L171" s="83"/>
      <c r="M171" s="83"/>
      <c r="N171" s="83"/>
      <c r="O171" s="83"/>
      <c r="U171" s="1"/>
      <c r="V171" s="1"/>
      <c r="W171" s="1"/>
      <c r="X171" s="1"/>
      <c r="AC171" s="1">
        <v>3453</v>
      </c>
      <c r="AD171" s="1">
        <v>38379.299999946503</v>
      </c>
      <c r="AG171">
        <v>3453</v>
      </c>
      <c r="AH171">
        <v>2377183.9499963699</v>
      </c>
    </row>
    <row r="172" spans="4:34">
      <c r="D172" s="78"/>
      <c r="E172" s="175"/>
      <c r="F172" s="175"/>
      <c r="G172" s="175"/>
      <c r="H172" s="175"/>
      <c r="I172" s="175"/>
      <c r="J172" s="78"/>
      <c r="K172" s="79"/>
      <c r="L172" s="83"/>
      <c r="M172" s="83"/>
      <c r="N172" s="83"/>
      <c r="O172" s="83"/>
      <c r="U172" s="1"/>
      <c r="V172" s="1"/>
      <c r="W172" s="1"/>
      <c r="X172" s="1"/>
      <c r="AC172" s="1">
        <v>3453.5</v>
      </c>
      <c r="AD172" s="1">
        <v>38520.850000047598</v>
      </c>
      <c r="AG172">
        <v>3453.5</v>
      </c>
      <c r="AH172">
        <v>2396408.9899995099</v>
      </c>
    </row>
    <row r="173" spans="4:34">
      <c r="D173" s="78"/>
      <c r="E173" s="175"/>
      <c r="F173" s="175"/>
      <c r="G173" s="175"/>
      <c r="H173" s="175"/>
      <c r="I173" s="175"/>
      <c r="J173" s="78"/>
      <c r="K173" s="79"/>
      <c r="L173" s="83"/>
      <c r="M173" s="83"/>
      <c r="N173" s="83"/>
      <c r="O173" s="83"/>
      <c r="U173" s="1"/>
      <c r="V173" s="1"/>
      <c r="W173" s="1"/>
      <c r="X173" s="1"/>
      <c r="AC173" s="1">
        <v>3454</v>
      </c>
      <c r="AD173" s="1">
        <v>38662.399999901703</v>
      </c>
      <c r="AG173">
        <v>3454</v>
      </c>
      <c r="AH173">
        <v>2415704.8000029498</v>
      </c>
    </row>
    <row r="174" spans="4:34">
      <c r="D174" s="78"/>
      <c r="E174" s="175"/>
      <c r="F174" s="175"/>
      <c r="G174" s="175"/>
      <c r="H174" s="175"/>
      <c r="I174" s="175"/>
      <c r="J174" s="78"/>
      <c r="K174" s="79"/>
      <c r="L174" s="83"/>
      <c r="M174" s="83"/>
      <c r="N174" s="83"/>
      <c r="O174" s="83"/>
      <c r="U174" s="1"/>
      <c r="V174" s="1"/>
      <c r="W174" s="1"/>
      <c r="X174" s="1"/>
      <c r="AC174" s="1">
        <v>3454.5</v>
      </c>
      <c r="AD174" s="1">
        <v>38803.950000002798</v>
      </c>
      <c r="AG174">
        <v>3454.5</v>
      </c>
      <c r="AH174">
        <v>2435071.3900027601</v>
      </c>
    </row>
    <row r="175" spans="4:34">
      <c r="D175" s="78"/>
      <c r="E175" s="175"/>
      <c r="F175" s="175"/>
      <c r="G175" s="175"/>
      <c r="H175" s="175"/>
      <c r="I175" s="175"/>
      <c r="J175" s="78"/>
      <c r="K175" s="79"/>
      <c r="L175" s="83"/>
      <c r="M175" s="83"/>
      <c r="N175" s="83"/>
      <c r="O175" s="83"/>
      <c r="U175" s="1"/>
      <c r="V175" s="1"/>
      <c r="W175" s="1"/>
      <c r="X175" s="1"/>
      <c r="AC175" s="1">
        <v>3455</v>
      </c>
      <c r="AD175" s="1">
        <v>38945.500000103901</v>
      </c>
      <c r="AG175">
        <v>3455</v>
      </c>
      <c r="AH175">
        <v>2454508.7500028601</v>
      </c>
    </row>
    <row r="176" spans="4:34">
      <c r="D176" s="78"/>
      <c r="E176" s="175"/>
      <c r="F176" s="175"/>
      <c r="G176" s="175"/>
      <c r="H176" s="175"/>
      <c r="I176" s="175"/>
      <c r="J176" s="78"/>
      <c r="K176" s="79"/>
      <c r="L176" s="83"/>
      <c r="M176" s="83"/>
      <c r="N176" s="83"/>
      <c r="O176" s="83"/>
      <c r="U176" s="1"/>
      <c r="V176" s="1"/>
      <c r="W176" s="1"/>
      <c r="X176" s="1"/>
      <c r="AC176" s="1">
        <v>3455.5</v>
      </c>
      <c r="AD176" s="1">
        <v>39087.049999957999</v>
      </c>
      <c r="AG176">
        <v>3455.5</v>
      </c>
      <c r="AH176">
        <v>2474016.8899993501</v>
      </c>
    </row>
    <row r="177" spans="4:34">
      <c r="D177" s="78"/>
      <c r="E177" s="175"/>
      <c r="F177" s="175"/>
      <c r="G177" s="175"/>
      <c r="H177" s="175"/>
      <c r="I177" s="175"/>
      <c r="J177" s="78"/>
      <c r="K177" s="79"/>
      <c r="L177" s="83"/>
      <c r="M177" s="83"/>
      <c r="N177" s="83"/>
      <c r="O177" s="83"/>
      <c r="U177" s="1"/>
      <c r="V177" s="1"/>
      <c r="W177" s="1"/>
      <c r="X177" s="1"/>
      <c r="AC177" s="1">
        <v>3456</v>
      </c>
      <c r="AD177" s="1">
        <v>39228.600000059101</v>
      </c>
      <c r="AG177">
        <v>3456</v>
      </c>
      <c r="AH177">
        <v>2493595.7999961199</v>
      </c>
    </row>
    <row r="178" spans="4:34">
      <c r="D178" s="78"/>
      <c r="E178" s="175"/>
      <c r="F178" s="175"/>
      <c r="G178" s="175"/>
      <c r="H178" s="175"/>
      <c r="I178" s="175"/>
      <c r="J178" s="78"/>
      <c r="K178" s="79"/>
      <c r="L178" s="83"/>
      <c r="M178" s="83"/>
      <c r="N178" s="83"/>
      <c r="O178" s="83"/>
      <c r="U178" s="1"/>
      <c r="V178" s="1"/>
      <c r="W178" s="1"/>
      <c r="X178" s="1"/>
      <c r="AC178" s="1">
        <v>3456.5</v>
      </c>
      <c r="AD178" s="1">
        <v>39370.149999913097</v>
      </c>
      <c r="AG178">
        <v>3456.5</v>
      </c>
      <c r="AH178">
        <v>2513245.4899973902</v>
      </c>
    </row>
    <row r="179" spans="4:34">
      <c r="D179" s="78"/>
      <c r="E179" s="175"/>
      <c r="F179" s="175"/>
      <c r="G179" s="175"/>
      <c r="H179" s="175"/>
      <c r="I179" s="175"/>
      <c r="J179" s="78"/>
      <c r="K179" s="79"/>
      <c r="L179" s="83"/>
      <c r="M179" s="83"/>
      <c r="N179" s="83"/>
      <c r="O179" s="83"/>
      <c r="U179" s="1"/>
      <c r="V179" s="1"/>
      <c r="W179" s="1"/>
      <c r="X179" s="1"/>
      <c r="AC179" s="1">
        <v>3457</v>
      </c>
      <c r="AD179" s="1">
        <v>39511.700000014302</v>
      </c>
      <c r="AG179">
        <v>3457</v>
      </c>
      <c r="AH179">
        <v>2532965.9499989399</v>
      </c>
    </row>
    <row r="180" spans="4:34">
      <c r="D180" s="78"/>
      <c r="E180" s="175"/>
      <c r="F180" s="175"/>
      <c r="G180" s="175"/>
      <c r="H180" s="175"/>
      <c r="I180" s="175"/>
      <c r="J180" s="78"/>
      <c r="K180" s="79"/>
      <c r="L180" s="83"/>
      <c r="M180" s="83"/>
      <c r="N180" s="83"/>
      <c r="O180" s="83"/>
      <c r="U180" s="1"/>
      <c r="V180" s="1"/>
      <c r="W180" s="1"/>
      <c r="X180" s="1"/>
      <c r="AC180" s="1">
        <v>3457.5</v>
      </c>
      <c r="AD180" s="1">
        <v>39653.250000115397</v>
      </c>
      <c r="AG180">
        <v>3457.5</v>
      </c>
      <c r="AH180">
        <v>2552757.18999688</v>
      </c>
    </row>
    <row r="181" spans="4:34">
      <c r="D181" s="78"/>
      <c r="E181" s="175"/>
      <c r="F181" s="175"/>
      <c r="G181" s="175"/>
      <c r="H181" s="175"/>
      <c r="I181" s="175"/>
      <c r="J181" s="78"/>
      <c r="K181" s="79"/>
      <c r="L181" s="83"/>
      <c r="M181" s="83"/>
      <c r="N181" s="83"/>
      <c r="O181" s="83"/>
      <c r="U181" s="1"/>
      <c r="V181" s="1"/>
      <c r="W181" s="1"/>
      <c r="X181" s="1"/>
      <c r="AC181" s="1">
        <v>3458</v>
      </c>
      <c r="AD181" s="1">
        <v>39794.7999999694</v>
      </c>
      <c r="AG181">
        <v>3458</v>
      </c>
      <c r="AH181">
        <v>2572619.2000032198</v>
      </c>
    </row>
    <row r="182" spans="4:34">
      <c r="D182" s="78"/>
      <c r="E182" s="175"/>
      <c r="F182" s="175"/>
      <c r="G182" s="175"/>
      <c r="H182" s="175"/>
      <c r="I182" s="175"/>
      <c r="J182" s="78"/>
      <c r="K182" s="79"/>
      <c r="L182" s="83"/>
      <c r="M182" s="83"/>
      <c r="N182" s="83"/>
      <c r="O182" s="83"/>
      <c r="U182" s="1"/>
      <c r="V182" s="1"/>
      <c r="W182" s="1"/>
      <c r="X182" s="1"/>
      <c r="AC182" s="1">
        <v>3458.5</v>
      </c>
      <c r="AD182" s="1">
        <v>39936.350000070597</v>
      </c>
      <c r="AG182">
        <v>3458.5</v>
      </c>
      <c r="AH182">
        <v>2592551.9899978298</v>
      </c>
    </row>
    <row r="183" spans="4:34">
      <c r="D183" s="78"/>
      <c r="E183" s="175"/>
      <c r="F183" s="175"/>
      <c r="G183" s="175"/>
      <c r="H183" s="175"/>
      <c r="I183" s="175"/>
      <c r="J183" s="78"/>
      <c r="K183" s="79"/>
      <c r="L183" s="83"/>
      <c r="M183" s="83"/>
      <c r="N183" s="83"/>
      <c r="O183" s="83"/>
      <c r="U183" s="1"/>
      <c r="V183" s="1"/>
      <c r="W183" s="1"/>
      <c r="X183" s="1"/>
      <c r="AC183" s="1">
        <v>3459</v>
      </c>
      <c r="AD183" s="1">
        <v>40077.899999924601</v>
      </c>
      <c r="AG183">
        <v>3459</v>
      </c>
      <c r="AH183">
        <v>2612555.5500008301</v>
      </c>
    </row>
    <row r="184" spans="4:34">
      <c r="D184" s="78"/>
      <c r="E184" s="175"/>
      <c r="F184" s="175"/>
      <c r="G184" s="175"/>
      <c r="H184" s="175"/>
      <c r="I184" s="175"/>
      <c r="J184" s="78"/>
      <c r="K184" s="79"/>
      <c r="L184" s="83"/>
      <c r="M184" s="83"/>
      <c r="N184" s="83"/>
      <c r="O184" s="83"/>
      <c r="U184" s="1"/>
      <c r="V184" s="1"/>
      <c r="W184" s="1"/>
      <c r="X184" s="1"/>
      <c r="AC184" s="1">
        <v>3459.5</v>
      </c>
      <c r="AD184" s="1">
        <v>40219.450000025703</v>
      </c>
      <c r="AG184">
        <v>3459.5</v>
      </c>
      <c r="AH184">
        <v>2632629.8900002199</v>
      </c>
    </row>
    <row r="185" spans="4:34">
      <c r="D185" s="78"/>
      <c r="E185" s="175"/>
      <c r="F185" s="175"/>
      <c r="G185" s="175"/>
      <c r="H185" s="175"/>
      <c r="I185" s="175"/>
      <c r="J185" s="78"/>
      <c r="K185" s="79"/>
      <c r="L185" s="83"/>
      <c r="M185" s="83"/>
      <c r="N185" s="83"/>
      <c r="O185" s="83"/>
      <c r="U185" s="1"/>
      <c r="V185" s="1"/>
      <c r="W185" s="1"/>
      <c r="X185" s="1"/>
      <c r="AC185" s="1">
        <v>3460</v>
      </c>
      <c r="AD185" s="1">
        <v>40360.999999879801</v>
      </c>
      <c r="AG185">
        <v>3460</v>
      </c>
      <c r="AH185">
        <v>2652774.9999998999</v>
      </c>
    </row>
    <row r="186" spans="4:34">
      <c r="D186" s="78"/>
      <c r="E186" s="175"/>
      <c r="F186" s="175"/>
      <c r="G186" s="175"/>
      <c r="H186" s="175"/>
      <c r="I186" s="175"/>
      <c r="J186" s="78"/>
      <c r="K186" s="79"/>
      <c r="L186" s="83"/>
      <c r="M186" s="83"/>
      <c r="N186" s="83"/>
      <c r="O186" s="83"/>
      <c r="U186" s="1"/>
      <c r="V186" s="1"/>
      <c r="W186" s="1"/>
      <c r="X186" s="1"/>
      <c r="AC186" s="1">
        <v>3460.5</v>
      </c>
      <c r="AD186" s="1">
        <v>40508.850000113998</v>
      </c>
      <c r="AG186">
        <v>3460.5</v>
      </c>
      <c r="AH186">
        <v>2672992.4599988102</v>
      </c>
    </row>
    <row r="187" spans="4:34">
      <c r="D187" s="78"/>
      <c r="E187" s="175"/>
      <c r="F187" s="175"/>
      <c r="G187" s="175"/>
      <c r="H187" s="175"/>
      <c r="I187" s="175"/>
      <c r="J187" s="78"/>
      <c r="K187" s="79"/>
      <c r="L187" s="83"/>
      <c r="M187" s="83"/>
      <c r="N187" s="83"/>
      <c r="O187" s="83"/>
      <c r="U187" s="1"/>
      <c r="V187" s="1"/>
      <c r="W187" s="1"/>
      <c r="X187" s="1"/>
      <c r="AC187" s="1">
        <v>3461</v>
      </c>
      <c r="AD187" s="1">
        <v>40656.700000101198</v>
      </c>
      <c r="AG187">
        <v>3461</v>
      </c>
      <c r="AH187">
        <v>2693283.8500040001</v>
      </c>
    </row>
    <row r="188" spans="4:34">
      <c r="D188" s="78"/>
      <c r="E188" s="175"/>
      <c r="F188" s="175"/>
      <c r="G188" s="175"/>
      <c r="H188" s="175"/>
      <c r="I188" s="175"/>
      <c r="J188" s="78"/>
      <c r="K188" s="79"/>
      <c r="L188" s="83"/>
      <c r="M188" s="83"/>
      <c r="N188" s="83"/>
      <c r="O188" s="83"/>
      <c r="U188" s="1"/>
      <c r="V188" s="1"/>
      <c r="W188" s="1"/>
      <c r="X188" s="1"/>
      <c r="AC188" s="1">
        <v>3461.5</v>
      </c>
      <c r="AD188" s="1">
        <v>40804.550000088399</v>
      </c>
      <c r="AG188">
        <v>3461.5</v>
      </c>
      <c r="AH188">
        <v>2713649.1600031699</v>
      </c>
    </row>
    <row r="189" spans="4:34">
      <c r="D189" s="78"/>
      <c r="E189" s="175"/>
      <c r="F189" s="175"/>
      <c r="G189" s="175"/>
      <c r="H189" s="175"/>
      <c r="I189" s="175"/>
      <c r="J189" s="78"/>
      <c r="K189" s="79"/>
      <c r="L189" s="83"/>
      <c r="M189" s="83"/>
      <c r="N189" s="83"/>
      <c r="O189" s="83"/>
      <c r="U189" s="1"/>
      <c r="V189" s="1"/>
      <c r="W189" s="1"/>
      <c r="X189" s="1"/>
      <c r="AC189" s="1">
        <v>3462</v>
      </c>
      <c r="AD189" s="1">
        <v>40952.400000075599</v>
      </c>
      <c r="AG189">
        <v>3462</v>
      </c>
      <c r="AH189">
        <v>2734088.4000005201</v>
      </c>
    </row>
    <row r="190" spans="4:34">
      <c r="D190" s="78"/>
      <c r="E190" s="175"/>
      <c r="F190" s="175"/>
      <c r="G190" s="175"/>
      <c r="H190" s="175"/>
      <c r="I190" s="175"/>
      <c r="J190" s="78"/>
      <c r="K190" s="79"/>
      <c r="L190" s="83"/>
      <c r="M190" s="83"/>
      <c r="N190" s="83"/>
      <c r="O190" s="83"/>
      <c r="U190" s="1"/>
      <c r="V190" s="1"/>
      <c r="W190" s="1"/>
      <c r="X190" s="1"/>
      <c r="AC190" s="1">
        <v>3462.5</v>
      </c>
      <c r="AD190" s="1">
        <v>41100.250000062799</v>
      </c>
      <c r="AG190">
        <v>3462.5</v>
      </c>
      <c r="AH190">
        <v>2754601.5599999502</v>
      </c>
    </row>
    <row r="191" spans="4:34">
      <c r="D191" s="78"/>
      <c r="E191" s="175"/>
      <c r="F191" s="175"/>
      <c r="G191" s="175"/>
      <c r="H191" s="175"/>
      <c r="I191" s="175"/>
      <c r="J191" s="78"/>
      <c r="K191" s="79"/>
      <c r="L191" s="83"/>
      <c r="M191" s="83"/>
      <c r="N191" s="83"/>
      <c r="O191" s="83"/>
      <c r="U191" s="1"/>
      <c r="V191" s="1"/>
      <c r="W191" s="1"/>
      <c r="X191" s="1"/>
      <c r="AC191" s="1">
        <v>3463</v>
      </c>
      <c r="AD191" s="1">
        <v>41248.100000049999</v>
      </c>
      <c r="AG191">
        <v>3463</v>
      </c>
      <c r="AH191">
        <v>2775188.6499975501</v>
      </c>
    </row>
    <row r="192" spans="4:34">
      <c r="D192" s="78"/>
      <c r="E192" s="175"/>
      <c r="F192" s="175"/>
      <c r="G192" s="175"/>
      <c r="H192" s="175"/>
      <c r="I192" s="175"/>
      <c r="J192" s="78"/>
      <c r="K192" s="79"/>
      <c r="L192" s="83"/>
      <c r="M192" s="83"/>
      <c r="N192" s="83"/>
      <c r="O192" s="83"/>
      <c r="U192" s="1"/>
      <c r="V192" s="1"/>
      <c r="W192" s="1"/>
      <c r="X192" s="1"/>
      <c r="AC192" s="1">
        <v>3463.5</v>
      </c>
      <c r="AD192" s="1">
        <v>41395.950000037199</v>
      </c>
      <c r="AG192">
        <v>3463.5</v>
      </c>
      <c r="AH192">
        <v>2795849.6599972299</v>
      </c>
    </row>
    <row r="193" spans="4:34">
      <c r="D193" s="78"/>
      <c r="E193" s="175"/>
      <c r="F193" s="175"/>
      <c r="G193" s="175"/>
      <c r="H193" s="175"/>
      <c r="I193" s="175"/>
      <c r="J193" s="78"/>
      <c r="K193" s="79"/>
      <c r="L193" s="83"/>
      <c r="M193" s="83"/>
      <c r="N193" s="83"/>
      <c r="O193" s="83"/>
      <c r="U193" s="1"/>
      <c r="V193" s="1"/>
      <c r="W193" s="1"/>
      <c r="X193" s="1"/>
      <c r="AC193" s="1">
        <v>3464</v>
      </c>
      <c r="AD193" s="1">
        <v>41543.800000024399</v>
      </c>
      <c r="AG193">
        <v>3464</v>
      </c>
      <c r="AH193">
        <v>2816584.6000032001</v>
      </c>
    </row>
    <row r="194" spans="4:34">
      <c r="D194" s="78"/>
      <c r="E194" s="175"/>
      <c r="F194" s="175"/>
      <c r="G194" s="175"/>
      <c r="H194" s="175"/>
      <c r="I194" s="175"/>
      <c r="J194" s="78"/>
      <c r="K194" s="79"/>
      <c r="L194" s="83"/>
      <c r="M194" s="83"/>
      <c r="N194" s="83"/>
      <c r="O194" s="83"/>
      <c r="U194" s="1"/>
      <c r="V194" s="1"/>
      <c r="W194" s="1"/>
      <c r="X194" s="1"/>
      <c r="AC194" s="1">
        <v>3464.5</v>
      </c>
      <c r="AD194" s="1">
        <v>41691.650000011599</v>
      </c>
      <c r="AG194">
        <v>3464.5</v>
      </c>
      <c r="AH194">
        <v>2837393.4600031502</v>
      </c>
    </row>
    <row r="195" spans="4:34">
      <c r="D195" s="78"/>
      <c r="E195" s="175"/>
      <c r="F195" s="175"/>
      <c r="G195" s="175"/>
      <c r="H195" s="175"/>
      <c r="I195" s="175"/>
      <c r="J195" s="78"/>
      <c r="K195" s="79"/>
      <c r="L195" s="83"/>
      <c r="M195" s="83"/>
      <c r="N195" s="83"/>
      <c r="O195" s="83"/>
      <c r="U195" s="1"/>
      <c r="V195" s="1"/>
      <c r="W195" s="1"/>
      <c r="X195" s="1"/>
      <c r="AC195" s="1">
        <v>3465</v>
      </c>
      <c r="AD195" s="1">
        <v>41839.499999998799</v>
      </c>
      <c r="AG195">
        <v>3465</v>
      </c>
      <c r="AH195">
        <v>2858276.2500012699</v>
      </c>
    </row>
    <row r="196" spans="4:34">
      <c r="D196" s="78"/>
      <c r="E196" s="175"/>
      <c r="F196" s="175"/>
      <c r="G196" s="175"/>
      <c r="H196" s="175"/>
      <c r="I196" s="175"/>
      <c r="J196" s="78"/>
      <c r="K196" s="79"/>
      <c r="L196" s="83"/>
      <c r="M196" s="83"/>
      <c r="N196" s="83"/>
      <c r="O196" s="83"/>
      <c r="U196" s="1"/>
      <c r="V196" s="1"/>
      <c r="W196" s="1"/>
      <c r="X196" s="1"/>
      <c r="AC196" s="1">
        <v>3465.5</v>
      </c>
      <c r="AD196" s="1">
        <v>41987.349999985898</v>
      </c>
      <c r="AG196">
        <v>3465.5</v>
      </c>
      <c r="AH196">
        <v>2879232.9600014701</v>
      </c>
    </row>
    <row r="197" spans="4:34">
      <c r="D197" s="78"/>
      <c r="E197" s="175"/>
      <c r="F197" s="175"/>
      <c r="G197" s="175"/>
      <c r="H197" s="175"/>
      <c r="I197" s="175"/>
      <c r="J197" s="78"/>
      <c r="K197" s="79"/>
      <c r="L197" s="83"/>
      <c r="M197" s="83"/>
      <c r="N197" s="83"/>
      <c r="O197" s="83"/>
      <c r="U197" s="1"/>
      <c r="V197" s="1"/>
      <c r="W197" s="1"/>
      <c r="X197" s="1"/>
      <c r="AC197" s="1">
        <v>3466</v>
      </c>
      <c r="AD197" s="1">
        <v>42135.199999973098</v>
      </c>
      <c r="AG197">
        <v>3466</v>
      </c>
      <c r="AH197">
        <v>2900263.5999998502</v>
      </c>
    </row>
    <row r="198" spans="4:34">
      <c r="D198" s="78"/>
      <c r="E198" s="175"/>
      <c r="F198" s="175"/>
      <c r="G198" s="175"/>
      <c r="H198" s="175"/>
      <c r="I198" s="175"/>
      <c r="J198" s="78"/>
      <c r="K198" s="79"/>
      <c r="L198" s="83"/>
      <c r="M198" s="83"/>
      <c r="N198" s="83"/>
      <c r="O198" s="83"/>
      <c r="U198" s="1"/>
      <c r="V198" s="1"/>
      <c r="W198" s="1"/>
      <c r="X198" s="1"/>
      <c r="AC198" s="1">
        <v>3466.5</v>
      </c>
      <c r="AD198" s="1">
        <v>42283.049999960298</v>
      </c>
      <c r="AG198">
        <v>3466.5</v>
      </c>
      <c r="AH198">
        <v>2921368.1600003098</v>
      </c>
    </row>
    <row r="199" spans="4:34">
      <c r="D199" s="78"/>
      <c r="E199" s="175"/>
      <c r="F199" s="175"/>
      <c r="G199" s="175"/>
      <c r="H199" s="175"/>
      <c r="I199" s="175"/>
      <c r="J199" s="78"/>
      <c r="K199" s="79"/>
      <c r="L199" s="83"/>
      <c r="M199" s="83"/>
      <c r="N199" s="83"/>
      <c r="O199" s="83"/>
      <c r="U199" s="1"/>
      <c r="V199" s="1"/>
      <c r="W199" s="1"/>
      <c r="X199" s="1"/>
      <c r="AC199" s="1">
        <v>3467</v>
      </c>
      <c r="AD199" s="1">
        <v>42430.899999947498</v>
      </c>
      <c r="AG199">
        <v>3467</v>
      </c>
      <c r="AH199">
        <v>2942546.6499989401</v>
      </c>
    </row>
    <row r="200" spans="4:34">
      <c r="D200" s="78"/>
      <c r="E200" s="175"/>
      <c r="F200" s="175"/>
      <c r="G200" s="175"/>
      <c r="H200" s="175"/>
      <c r="I200" s="175"/>
      <c r="J200" s="78"/>
      <c r="K200" s="79"/>
      <c r="L200" s="83"/>
      <c r="M200" s="83"/>
      <c r="N200" s="83"/>
      <c r="O200" s="83"/>
      <c r="U200" s="1"/>
      <c r="V200" s="1"/>
      <c r="W200" s="1"/>
      <c r="X200" s="1"/>
      <c r="AC200" s="1">
        <v>3467.5</v>
      </c>
      <c r="AD200" s="1">
        <v>42578.749999934698</v>
      </c>
      <c r="AG200">
        <v>3467.5</v>
      </c>
      <c r="AH200">
        <v>2963799.0599996601</v>
      </c>
    </row>
    <row r="201" spans="4:34">
      <c r="D201" s="78"/>
      <c r="E201" s="175"/>
      <c r="F201" s="175"/>
      <c r="G201" s="175"/>
      <c r="H201" s="175"/>
      <c r="I201" s="175"/>
      <c r="J201" s="78"/>
      <c r="K201" s="79"/>
      <c r="L201" s="83"/>
      <c r="M201" s="83"/>
      <c r="N201" s="83"/>
      <c r="O201" s="83"/>
      <c r="U201" s="1"/>
      <c r="V201" s="1"/>
      <c r="W201" s="1"/>
      <c r="X201" s="1"/>
      <c r="AC201" s="1">
        <v>3468</v>
      </c>
      <c r="AD201" s="1">
        <v>42726.599999921898</v>
      </c>
      <c r="AG201">
        <v>3468</v>
      </c>
      <c r="AH201">
        <v>2985125.3999985601</v>
      </c>
    </row>
    <row r="202" spans="4:34">
      <c r="D202" s="78"/>
      <c r="E202" s="175"/>
      <c r="F202" s="175"/>
      <c r="G202" s="175"/>
      <c r="H202" s="175"/>
      <c r="I202" s="175"/>
      <c r="J202" s="78"/>
      <c r="K202" s="79"/>
      <c r="L202" s="83"/>
      <c r="M202" s="83"/>
      <c r="N202" s="83"/>
      <c r="O202" s="83"/>
      <c r="U202" s="1"/>
      <c r="V202" s="1"/>
      <c r="W202" s="1"/>
      <c r="X202" s="1"/>
      <c r="AC202" s="1">
        <v>3468.5</v>
      </c>
      <c r="AD202" s="1">
        <v>42874.449999909099</v>
      </c>
      <c r="AG202">
        <v>3468.5</v>
      </c>
      <c r="AH202">
        <v>3006525.6599995401</v>
      </c>
    </row>
    <row r="203" spans="4:34">
      <c r="D203" s="78"/>
      <c r="E203" s="175"/>
      <c r="F203" s="175"/>
      <c r="G203" s="175"/>
      <c r="H203" s="175"/>
      <c r="I203" s="175"/>
      <c r="J203" s="78"/>
      <c r="K203" s="79"/>
      <c r="L203" s="83"/>
      <c r="M203" s="83"/>
      <c r="N203" s="83"/>
      <c r="O203" s="83"/>
      <c r="U203" s="1"/>
      <c r="V203" s="1"/>
      <c r="W203" s="1"/>
      <c r="X203" s="1"/>
      <c r="AC203" s="1">
        <v>3469</v>
      </c>
      <c r="AD203" s="1">
        <v>43022.299999896299</v>
      </c>
      <c r="AG203">
        <v>3469</v>
      </c>
      <c r="AH203">
        <v>3027999.8499986902</v>
      </c>
    </row>
    <row r="204" spans="4:34">
      <c r="D204" s="78"/>
      <c r="E204" s="175"/>
      <c r="F204" s="175"/>
      <c r="G204" s="175"/>
      <c r="H204" s="175"/>
      <c r="I204" s="175"/>
      <c r="J204" s="78"/>
      <c r="K204" s="79"/>
      <c r="L204" s="83"/>
      <c r="M204" s="83"/>
      <c r="N204" s="83"/>
      <c r="O204" s="83"/>
      <c r="U204" s="1"/>
      <c r="V204" s="1"/>
      <c r="W204" s="1"/>
      <c r="X204" s="1"/>
      <c r="AC204" s="1">
        <v>3469.5</v>
      </c>
      <c r="AD204" s="1">
        <v>43170.149999883499</v>
      </c>
      <c r="AG204">
        <v>3469.5</v>
      </c>
      <c r="AH204">
        <v>3049547.9599999199</v>
      </c>
    </row>
    <row r="205" spans="4:34">
      <c r="D205" s="78"/>
      <c r="E205" s="175"/>
      <c r="F205" s="175"/>
      <c r="G205" s="175"/>
      <c r="H205" s="175"/>
      <c r="I205" s="175"/>
      <c r="J205" s="78"/>
      <c r="K205" s="79"/>
      <c r="L205" s="83"/>
      <c r="M205" s="83"/>
      <c r="N205" s="83"/>
      <c r="O205" s="83"/>
      <c r="U205" s="1"/>
      <c r="V205" s="1"/>
      <c r="W205" s="1"/>
      <c r="X205" s="1"/>
      <c r="AC205" s="1">
        <v>3470</v>
      </c>
      <c r="AD205" s="1">
        <v>43318.000000117798</v>
      </c>
      <c r="AG205">
        <v>3470</v>
      </c>
      <c r="AH205">
        <v>3071169.9999993402</v>
      </c>
    </row>
    <row r="206" spans="4:34">
      <c r="D206" s="78"/>
      <c r="E206" s="175"/>
      <c r="F206" s="175"/>
      <c r="G206" s="175"/>
      <c r="H206" s="175"/>
      <c r="I206" s="175"/>
      <c r="J206" s="78"/>
      <c r="K206" s="79"/>
      <c r="L206" s="83"/>
      <c r="M206" s="83"/>
      <c r="N206" s="83"/>
      <c r="O206" s="83"/>
      <c r="U206" s="1"/>
      <c r="V206" s="1"/>
      <c r="W206" s="1"/>
      <c r="X206" s="1"/>
      <c r="AC206" s="1">
        <v>3470.5</v>
      </c>
      <c r="AD206" s="1">
        <v>43465.850000104903</v>
      </c>
      <c r="AG206">
        <v>3470.5</v>
      </c>
      <c r="AH206">
        <v>3092865.9600008298</v>
      </c>
    </row>
    <row r="207" spans="4:34">
      <c r="D207" s="78"/>
      <c r="E207" s="175"/>
      <c r="F207" s="175"/>
      <c r="G207" s="175"/>
      <c r="H207" s="175"/>
      <c r="I207" s="175"/>
      <c r="J207" s="78"/>
      <c r="K207" s="79"/>
      <c r="L207" s="83"/>
      <c r="M207" s="83"/>
      <c r="N207" s="83"/>
      <c r="O207" s="83"/>
      <c r="U207" s="1"/>
      <c r="V207" s="1"/>
      <c r="W207" s="1"/>
      <c r="X207" s="1"/>
      <c r="AC207" s="1">
        <v>3471</v>
      </c>
      <c r="AD207" s="1">
        <v>43613.700000092103</v>
      </c>
      <c r="AG207">
        <v>3471</v>
      </c>
      <c r="AH207">
        <v>3114635.8500005002</v>
      </c>
    </row>
    <row r="208" spans="4:34">
      <c r="D208" s="78"/>
      <c r="E208" s="175"/>
      <c r="F208" s="175"/>
      <c r="G208" s="175"/>
      <c r="H208" s="175"/>
      <c r="I208" s="175"/>
      <c r="J208" s="78"/>
      <c r="K208" s="79"/>
      <c r="L208" s="83"/>
      <c r="M208" s="83"/>
      <c r="N208" s="83"/>
      <c r="O208" s="83"/>
      <c r="U208" s="1"/>
      <c r="V208" s="1"/>
      <c r="W208" s="1"/>
      <c r="X208" s="1"/>
      <c r="AC208" s="1">
        <v>3471.5</v>
      </c>
      <c r="AD208" s="1">
        <v>43761.550000079304</v>
      </c>
      <c r="AG208">
        <v>3471.5</v>
      </c>
      <c r="AH208">
        <v>3136479.6600022502</v>
      </c>
    </row>
    <row r="209" spans="4:34">
      <c r="D209" s="78"/>
      <c r="E209" s="175"/>
      <c r="F209" s="175"/>
      <c r="G209" s="175"/>
      <c r="H209" s="175"/>
      <c r="I209" s="175"/>
      <c r="J209" s="78"/>
      <c r="K209" s="79"/>
      <c r="L209" s="83"/>
      <c r="M209" s="83"/>
      <c r="N209" s="83"/>
      <c r="O209" s="83"/>
      <c r="U209" s="1"/>
      <c r="V209" s="1"/>
      <c r="W209" s="1"/>
      <c r="X209" s="1"/>
      <c r="AC209" s="1">
        <v>3472</v>
      </c>
      <c r="AD209" s="1">
        <v>43909.400000066496</v>
      </c>
      <c r="AG209">
        <v>3472</v>
      </c>
      <c r="AH209">
        <v>3158397.4000021801</v>
      </c>
    </row>
    <row r="210" spans="4:34">
      <c r="D210" s="78"/>
      <c r="E210" s="175"/>
      <c r="F210" s="175"/>
      <c r="G210" s="175"/>
      <c r="H210" s="175"/>
      <c r="I210" s="175"/>
      <c r="J210" s="78"/>
      <c r="K210" s="79"/>
      <c r="L210" s="83"/>
      <c r="M210" s="83"/>
      <c r="N210" s="83"/>
      <c r="O210" s="83"/>
      <c r="U210" s="1"/>
      <c r="V210" s="1"/>
      <c r="W210" s="1"/>
      <c r="X210" s="1"/>
      <c r="AC210" s="1">
        <v>3472.5</v>
      </c>
      <c r="AD210" s="1">
        <v>44057.250000053697</v>
      </c>
      <c r="AG210">
        <v>3472.5</v>
      </c>
      <c r="AH210">
        <v>3180389.0599960801</v>
      </c>
    </row>
    <row r="211" spans="4:34">
      <c r="D211" s="78"/>
      <c r="E211" s="175"/>
      <c r="F211" s="175"/>
      <c r="G211" s="175"/>
      <c r="H211" s="175"/>
      <c r="I211" s="175"/>
      <c r="J211" s="78"/>
      <c r="K211" s="79"/>
      <c r="L211" s="83"/>
      <c r="M211" s="83"/>
      <c r="N211" s="83"/>
      <c r="O211" s="83"/>
      <c r="U211" s="1"/>
      <c r="V211" s="1"/>
      <c r="W211" s="1"/>
      <c r="X211" s="1"/>
      <c r="AC211" s="1">
        <v>3473</v>
      </c>
      <c r="AD211" s="1">
        <v>44205.100000040897</v>
      </c>
      <c r="AG211">
        <v>3473</v>
      </c>
      <c r="AH211">
        <v>3202454.64999627</v>
      </c>
    </row>
    <row r="212" spans="4:34">
      <c r="D212" s="78"/>
      <c r="E212" s="175"/>
      <c r="F212" s="175"/>
      <c r="G212" s="175"/>
      <c r="H212" s="175"/>
      <c r="I212" s="175"/>
      <c r="J212" s="78"/>
      <c r="K212" s="79"/>
      <c r="L212" s="83"/>
      <c r="M212" s="83"/>
      <c r="N212" s="83"/>
      <c r="O212" s="83"/>
      <c r="U212" s="1"/>
      <c r="V212" s="1"/>
      <c r="W212" s="1"/>
      <c r="X212" s="1"/>
      <c r="AC212" s="1">
        <v>3473.5</v>
      </c>
      <c r="AD212" s="1">
        <v>44352.950000028097</v>
      </c>
      <c r="AG212">
        <v>3473.5</v>
      </c>
      <c r="AH212">
        <v>3224594.1599985398</v>
      </c>
    </row>
    <row r="213" spans="4:34">
      <c r="D213" s="78"/>
      <c r="E213" s="175"/>
      <c r="F213" s="175"/>
      <c r="G213" s="175"/>
      <c r="H213" s="175"/>
      <c r="I213" s="175"/>
      <c r="J213" s="78"/>
      <c r="K213" s="79"/>
      <c r="L213" s="83"/>
      <c r="M213" s="83"/>
      <c r="N213" s="83"/>
      <c r="O213" s="83"/>
      <c r="U213" s="1"/>
      <c r="V213" s="1"/>
      <c r="W213" s="1"/>
      <c r="X213" s="1"/>
      <c r="AC213" s="1">
        <v>3474</v>
      </c>
      <c r="AD213" s="1">
        <v>44500.800000015297</v>
      </c>
      <c r="AG213">
        <v>3474</v>
      </c>
      <c r="AH213">
        <v>3246807.5999989798</v>
      </c>
    </row>
    <row r="214" spans="4:34">
      <c r="D214" s="78"/>
      <c r="E214" s="175"/>
      <c r="F214" s="175"/>
      <c r="G214" s="175"/>
      <c r="H214" s="175"/>
      <c r="I214" s="175"/>
      <c r="J214" s="78"/>
      <c r="K214" s="79"/>
      <c r="L214" s="83"/>
      <c r="M214" s="83"/>
      <c r="N214" s="83"/>
      <c r="O214" s="83"/>
      <c r="U214" s="1"/>
      <c r="V214" s="1"/>
      <c r="W214" s="1"/>
      <c r="X214" s="1"/>
      <c r="AC214" s="1">
        <v>3474.5</v>
      </c>
      <c r="AD214" s="1">
        <v>44648.650000002497</v>
      </c>
      <c r="AG214">
        <v>3474.5</v>
      </c>
      <c r="AH214">
        <v>3269094.9600015101</v>
      </c>
    </row>
    <row r="215" spans="4:34">
      <c r="D215" s="78"/>
      <c r="E215" s="175"/>
      <c r="F215" s="175"/>
      <c r="G215" s="175"/>
      <c r="H215" s="175"/>
      <c r="I215" s="175"/>
      <c r="J215" s="78"/>
      <c r="K215" s="79"/>
      <c r="L215" s="83"/>
      <c r="M215" s="83"/>
      <c r="N215" s="83"/>
      <c r="O215" s="83"/>
      <c r="U215" s="1"/>
      <c r="V215" s="1"/>
      <c r="W215" s="1"/>
      <c r="X215" s="1"/>
      <c r="AC215" s="1">
        <v>3475</v>
      </c>
      <c r="AD215" s="1">
        <v>44796.499999989697</v>
      </c>
      <c r="AG215">
        <v>3475</v>
      </c>
      <c r="AH215">
        <v>3291456.25000221</v>
      </c>
    </row>
    <row r="216" spans="4:34">
      <c r="D216" s="78"/>
      <c r="E216" s="175"/>
      <c r="F216" s="175"/>
      <c r="G216" s="175"/>
      <c r="H216" s="175"/>
      <c r="I216" s="175"/>
      <c r="J216" s="78"/>
      <c r="K216" s="79"/>
      <c r="L216" s="83"/>
      <c r="M216" s="83"/>
      <c r="N216" s="83"/>
      <c r="O216" s="83"/>
      <c r="U216" s="1"/>
      <c r="V216" s="1"/>
      <c r="W216" s="1"/>
      <c r="X216" s="1"/>
      <c r="AC216" s="1">
        <v>3475.5</v>
      </c>
      <c r="AD216" s="1">
        <v>44944.349999976897</v>
      </c>
      <c r="AG216">
        <v>3475.5</v>
      </c>
      <c r="AH216">
        <v>3313891.4599968898</v>
      </c>
    </row>
    <row r="217" spans="4:34">
      <c r="D217" s="78"/>
      <c r="E217" s="175"/>
      <c r="F217" s="175"/>
      <c r="G217" s="175"/>
      <c r="H217" s="175"/>
      <c r="I217" s="175"/>
      <c r="J217" s="78"/>
      <c r="K217" s="79"/>
      <c r="L217" s="83"/>
      <c r="M217" s="83"/>
      <c r="N217" s="83"/>
      <c r="O217" s="83"/>
      <c r="U217" s="1"/>
      <c r="V217" s="1"/>
      <c r="W217" s="1"/>
      <c r="X217" s="1"/>
      <c r="AC217" s="1">
        <v>3476</v>
      </c>
      <c r="AD217" s="1">
        <v>45092.199999964003</v>
      </c>
      <c r="AG217">
        <v>3476</v>
      </c>
      <c r="AH217">
        <v>3336400.5999978501</v>
      </c>
    </row>
    <row r="218" spans="4:34">
      <c r="D218" s="78"/>
      <c r="E218" s="175"/>
      <c r="F218" s="175"/>
      <c r="G218" s="175"/>
      <c r="H218" s="175"/>
      <c r="I218" s="175"/>
      <c r="J218" s="78"/>
      <c r="K218" s="79"/>
      <c r="L218" s="83"/>
      <c r="M218" s="83"/>
      <c r="N218" s="83"/>
      <c r="O218" s="83"/>
      <c r="U218" s="1"/>
      <c r="V218" s="1"/>
      <c r="W218" s="1"/>
      <c r="X218" s="1"/>
      <c r="AC218" s="1">
        <v>3476.5</v>
      </c>
      <c r="AD218" s="1">
        <v>45240.049999951203</v>
      </c>
      <c r="AG218">
        <v>3476.5</v>
      </c>
      <c r="AH218">
        <v>3358983.66000089</v>
      </c>
    </row>
    <row r="219" spans="4:34">
      <c r="D219" s="78"/>
      <c r="E219" s="175"/>
      <c r="F219" s="175"/>
      <c r="G219" s="175"/>
      <c r="H219" s="175"/>
      <c r="I219" s="175"/>
      <c r="J219" s="78"/>
      <c r="K219" s="79"/>
      <c r="L219" s="83"/>
      <c r="M219" s="83"/>
      <c r="N219" s="83"/>
      <c r="O219" s="83"/>
      <c r="U219" s="1"/>
      <c r="V219" s="1"/>
      <c r="W219" s="1"/>
      <c r="X219" s="1"/>
      <c r="AC219" s="1">
        <v>3477</v>
      </c>
      <c r="AD219" s="1">
        <v>45387.899999938403</v>
      </c>
      <c r="AG219">
        <v>3477</v>
      </c>
      <c r="AH219">
        <v>3381640.6500021098</v>
      </c>
    </row>
    <row r="220" spans="4:34">
      <c r="D220" s="78"/>
      <c r="E220" s="175"/>
      <c r="F220" s="175"/>
      <c r="G220" s="175"/>
      <c r="H220" s="175"/>
      <c r="I220" s="175"/>
      <c r="J220" s="78"/>
      <c r="K220" s="79"/>
      <c r="L220" s="83"/>
      <c r="M220" s="83"/>
      <c r="N220" s="83"/>
      <c r="O220" s="83"/>
      <c r="U220" s="1"/>
      <c r="V220" s="1"/>
      <c r="W220" s="1"/>
      <c r="X220" s="1"/>
      <c r="AC220" s="1">
        <v>3477.5</v>
      </c>
      <c r="AD220" s="1">
        <v>45535.749999925603</v>
      </c>
      <c r="AG220">
        <v>3477.5</v>
      </c>
      <c r="AH220">
        <v>3404371.5599973099</v>
      </c>
    </row>
    <row r="221" spans="4:34">
      <c r="D221" s="78"/>
      <c r="E221" s="175"/>
      <c r="F221" s="175"/>
      <c r="G221" s="175"/>
      <c r="H221" s="175"/>
      <c r="I221" s="175"/>
      <c r="J221" s="78"/>
      <c r="K221" s="79"/>
      <c r="L221" s="83"/>
      <c r="M221" s="83"/>
      <c r="N221" s="83"/>
      <c r="O221" s="83"/>
      <c r="U221" s="1"/>
      <c r="V221" s="1"/>
      <c r="W221" s="1"/>
      <c r="X221" s="1"/>
      <c r="AC221" s="1">
        <v>3478</v>
      </c>
      <c r="AD221" s="1">
        <v>45683.599999912803</v>
      </c>
      <c r="AG221">
        <v>3478</v>
      </c>
      <c r="AH221">
        <v>3427176.3999987901</v>
      </c>
    </row>
    <row r="222" spans="4:34">
      <c r="D222" s="78"/>
      <c r="E222" s="175"/>
      <c r="F222" s="175"/>
      <c r="G222" s="175"/>
      <c r="H222" s="175"/>
      <c r="I222" s="175"/>
      <c r="J222" s="78"/>
      <c r="K222" s="79"/>
      <c r="L222" s="83"/>
      <c r="M222" s="83"/>
      <c r="N222" s="83"/>
      <c r="O222" s="83"/>
      <c r="U222" s="1"/>
      <c r="V222" s="1"/>
      <c r="W222" s="1"/>
      <c r="X222" s="1"/>
      <c r="AC222" s="1">
        <v>3478.5</v>
      </c>
      <c r="AD222" s="1">
        <v>45831.449999900004</v>
      </c>
      <c r="AG222">
        <v>3478.5</v>
      </c>
      <c r="AH222">
        <v>3450055.1600023499</v>
      </c>
    </row>
    <row r="223" spans="4:34">
      <c r="D223" s="78"/>
      <c r="E223" s="175"/>
      <c r="F223" s="175"/>
      <c r="G223" s="175"/>
      <c r="H223" s="175"/>
      <c r="I223" s="175"/>
      <c r="J223" s="78"/>
      <c r="K223" s="79"/>
      <c r="L223" s="83"/>
      <c r="M223" s="83"/>
      <c r="N223" s="83"/>
      <c r="O223" s="83"/>
      <c r="U223" s="1"/>
      <c r="V223" s="1"/>
      <c r="W223" s="1"/>
      <c r="X223" s="1"/>
      <c r="AC223" s="1">
        <v>3479</v>
      </c>
      <c r="AD223" s="1">
        <v>45979.299999887196</v>
      </c>
      <c r="AG223">
        <v>3479</v>
      </c>
      <c r="AH223">
        <v>3473007.84999598</v>
      </c>
    </row>
    <row r="224" spans="4:34">
      <c r="D224" s="78"/>
      <c r="E224" s="175"/>
      <c r="F224" s="175"/>
      <c r="G224" s="175"/>
      <c r="H224" s="175"/>
      <c r="I224" s="175"/>
      <c r="J224" s="78"/>
      <c r="K224" s="79"/>
      <c r="L224" s="83"/>
      <c r="M224" s="83"/>
      <c r="N224" s="83"/>
      <c r="O224" s="83"/>
      <c r="U224" s="1"/>
      <c r="V224" s="1"/>
      <c r="W224" s="1"/>
      <c r="X224" s="1"/>
      <c r="AC224" s="1">
        <v>3479.5</v>
      </c>
      <c r="AD224" s="1">
        <v>46127.150000121503</v>
      </c>
      <c r="AG224">
        <v>3479.5</v>
      </c>
      <c r="AH224">
        <v>3496034.4599997899</v>
      </c>
    </row>
    <row r="225" spans="4:34">
      <c r="D225" s="78"/>
      <c r="E225" s="175"/>
      <c r="F225" s="175"/>
      <c r="G225" s="175"/>
      <c r="H225" s="175"/>
      <c r="I225" s="175"/>
      <c r="J225" s="78"/>
      <c r="K225" s="79"/>
      <c r="L225" s="83"/>
      <c r="M225" s="83"/>
      <c r="N225" s="83"/>
      <c r="O225" s="83"/>
      <c r="U225" s="1"/>
      <c r="V225" s="1"/>
      <c r="W225" s="1"/>
      <c r="X225" s="1"/>
      <c r="AC225" s="1">
        <v>3480</v>
      </c>
      <c r="AD225" s="1">
        <v>46275.000000108703</v>
      </c>
      <c r="AG225">
        <v>3480</v>
      </c>
      <c r="AH225">
        <v>3519135.00000179</v>
      </c>
    </row>
    <row r="226" spans="4:34">
      <c r="D226" s="78"/>
      <c r="E226" s="175"/>
      <c r="F226" s="175"/>
      <c r="G226" s="175"/>
      <c r="H226" s="175"/>
      <c r="I226" s="175"/>
      <c r="J226" s="78"/>
      <c r="K226" s="79"/>
      <c r="L226" s="83"/>
      <c r="M226" s="83"/>
      <c r="N226" s="83"/>
      <c r="O226" s="83"/>
      <c r="U226" s="1"/>
      <c r="V226" s="1"/>
      <c r="W226" s="1"/>
      <c r="X226" s="1"/>
      <c r="AC226" s="1">
        <v>3480.5</v>
      </c>
      <c r="AD226" s="1">
        <v>46427.769999948003</v>
      </c>
      <c r="AG226">
        <v>3480.5</v>
      </c>
      <c r="AH226">
        <v>3542310.6900037099</v>
      </c>
    </row>
    <row r="227" spans="4:34">
      <c r="D227" s="78"/>
      <c r="E227" s="175"/>
      <c r="F227" s="175"/>
      <c r="G227" s="175"/>
      <c r="H227" s="175"/>
      <c r="I227" s="175"/>
      <c r="J227" s="78"/>
      <c r="K227" s="79"/>
      <c r="L227" s="83"/>
      <c r="M227" s="83"/>
      <c r="N227" s="83"/>
      <c r="O227" s="83"/>
      <c r="U227" s="1"/>
      <c r="V227" s="1"/>
      <c r="W227" s="1"/>
      <c r="X227" s="1"/>
      <c r="AC227" s="1">
        <v>3481</v>
      </c>
      <c r="AD227" s="1">
        <v>46580.549999895098</v>
      </c>
      <c r="AG227">
        <v>3481</v>
      </c>
      <c r="AH227">
        <v>3565562.7699994901</v>
      </c>
    </row>
    <row r="228" spans="4:34">
      <c r="D228" s="78"/>
      <c r="E228" s="175"/>
      <c r="F228" s="175"/>
      <c r="G228" s="175"/>
      <c r="H228" s="175"/>
      <c r="I228" s="175"/>
      <c r="J228" s="78"/>
      <c r="K228" s="79"/>
      <c r="L228" s="83"/>
      <c r="M228" s="83"/>
      <c r="N228" s="83"/>
      <c r="O228" s="83"/>
      <c r="U228" s="1"/>
      <c r="V228" s="1"/>
      <c r="W228" s="1"/>
      <c r="X228" s="1"/>
      <c r="AC228" s="1">
        <v>3481.5</v>
      </c>
      <c r="AD228" s="1">
        <v>46733.319999981599</v>
      </c>
      <c r="AG228">
        <v>3481.5</v>
      </c>
      <c r="AH228">
        <v>3588891.2399972398</v>
      </c>
    </row>
    <row r="229" spans="4:34">
      <c r="D229" s="78"/>
      <c r="E229" s="175"/>
      <c r="F229" s="175"/>
      <c r="G229" s="175"/>
      <c r="H229" s="175"/>
      <c r="I229" s="175"/>
      <c r="J229" s="78"/>
      <c r="K229" s="79"/>
      <c r="L229" s="83"/>
      <c r="M229" s="83"/>
      <c r="N229" s="83"/>
      <c r="O229" s="83"/>
      <c r="U229" s="1"/>
      <c r="V229" s="1"/>
      <c r="W229" s="1"/>
      <c r="X229" s="1"/>
      <c r="AC229" s="1">
        <v>3482</v>
      </c>
      <c r="AD229" s="1">
        <v>46886.0999999286</v>
      </c>
      <c r="AG229">
        <v>3482</v>
      </c>
      <c r="AH229">
        <v>3612296.0999969598</v>
      </c>
    </row>
    <row r="230" spans="4:34">
      <c r="D230" s="78"/>
      <c r="E230" s="175"/>
      <c r="F230" s="175"/>
      <c r="G230" s="175"/>
      <c r="H230" s="175"/>
      <c r="I230" s="175"/>
      <c r="J230" s="78"/>
      <c r="K230" s="79"/>
      <c r="L230" s="83"/>
      <c r="M230" s="83"/>
      <c r="N230" s="83"/>
      <c r="O230" s="83"/>
      <c r="U230" s="1"/>
      <c r="V230" s="1"/>
      <c r="W230" s="1"/>
      <c r="X230" s="1"/>
      <c r="AC230" s="1">
        <v>3482.5</v>
      </c>
      <c r="AD230" s="1">
        <v>47038.8700000151</v>
      </c>
      <c r="AG230">
        <v>3482.5</v>
      </c>
      <c r="AH230">
        <v>3635777.3400025601</v>
      </c>
    </row>
    <row r="231" spans="4:34">
      <c r="D231" s="78"/>
      <c r="E231" s="175"/>
      <c r="F231" s="175"/>
      <c r="G231" s="175"/>
      <c r="H231" s="175"/>
      <c r="I231" s="175"/>
      <c r="J231" s="78"/>
      <c r="K231" s="79"/>
      <c r="L231" s="83"/>
      <c r="M231" s="83"/>
      <c r="N231" s="83"/>
      <c r="O231" s="83"/>
      <c r="U231" s="1"/>
      <c r="V231" s="1"/>
      <c r="W231" s="1"/>
      <c r="X231" s="1"/>
      <c r="AC231" s="1">
        <v>3483</v>
      </c>
      <c r="AD231" s="1">
        <v>47191.649999962101</v>
      </c>
      <c r="AG231">
        <v>3483</v>
      </c>
      <c r="AH231">
        <v>3659334.9700020198</v>
      </c>
    </row>
    <row r="232" spans="4:34">
      <c r="D232" s="78"/>
      <c r="E232" s="175"/>
      <c r="F232" s="175"/>
      <c r="G232" s="175"/>
      <c r="H232" s="175"/>
      <c r="I232" s="175"/>
      <c r="J232" s="78"/>
      <c r="K232" s="79"/>
      <c r="L232" s="83"/>
      <c r="M232" s="83"/>
      <c r="N232" s="83"/>
      <c r="O232" s="83"/>
      <c r="U232" s="1"/>
      <c r="V232" s="1"/>
      <c r="W232" s="1"/>
      <c r="X232" s="1"/>
      <c r="AC232" s="1">
        <v>3483.5</v>
      </c>
      <c r="AD232" s="1">
        <v>47344.420000048602</v>
      </c>
      <c r="AG232">
        <v>3483.5</v>
      </c>
      <c r="AH232">
        <v>3682968.9900034601</v>
      </c>
    </row>
    <row r="233" spans="4:34">
      <c r="D233" s="78"/>
      <c r="E233" s="175"/>
      <c r="F233" s="175"/>
      <c r="G233" s="175"/>
      <c r="H233" s="175"/>
      <c r="I233" s="175"/>
      <c r="J233" s="78"/>
      <c r="K233" s="79"/>
      <c r="L233" s="83"/>
      <c r="M233" s="83"/>
      <c r="N233" s="83"/>
      <c r="O233" s="83"/>
      <c r="U233" s="1"/>
      <c r="V233" s="1"/>
      <c r="W233" s="1"/>
      <c r="X233" s="1"/>
      <c r="AC233" s="1">
        <v>3484</v>
      </c>
      <c r="AD233" s="1">
        <v>47497.199999995697</v>
      </c>
      <c r="AG233">
        <v>3484</v>
      </c>
      <c r="AH233">
        <v>3706679.3999987501</v>
      </c>
    </row>
    <row r="234" spans="4:34">
      <c r="D234" s="78"/>
      <c r="E234" s="175"/>
      <c r="F234" s="175"/>
      <c r="G234" s="175"/>
      <c r="H234" s="175"/>
      <c r="I234" s="175"/>
      <c r="J234" s="78"/>
      <c r="K234" s="79"/>
      <c r="L234" s="83"/>
      <c r="M234" s="83"/>
      <c r="N234" s="83"/>
      <c r="O234" s="83"/>
      <c r="U234" s="1"/>
      <c r="V234" s="1"/>
      <c r="W234" s="1"/>
      <c r="X234" s="1"/>
      <c r="AC234" s="1">
        <v>3484.5</v>
      </c>
      <c r="AD234" s="1">
        <v>47649.970000082103</v>
      </c>
      <c r="AG234">
        <v>3484.5</v>
      </c>
      <c r="AH234">
        <v>3730466.1899999199</v>
      </c>
    </row>
    <row r="235" spans="4:34">
      <c r="D235" s="78"/>
      <c r="E235" s="175"/>
      <c r="F235" s="175"/>
      <c r="G235" s="175"/>
      <c r="H235" s="175"/>
      <c r="I235" s="175"/>
      <c r="J235" s="78"/>
      <c r="K235" s="79"/>
      <c r="L235" s="83"/>
      <c r="M235" s="83"/>
      <c r="N235" s="83"/>
      <c r="O235" s="83"/>
      <c r="U235" s="1"/>
      <c r="V235" s="1"/>
      <c r="W235" s="1"/>
      <c r="X235" s="1"/>
      <c r="AC235" s="1">
        <v>3485</v>
      </c>
      <c r="AD235" s="1">
        <v>47802.750000029198</v>
      </c>
      <c r="AG235">
        <v>3485</v>
      </c>
      <c r="AH235">
        <v>3754329.37000306</v>
      </c>
    </row>
    <row r="236" spans="4:34">
      <c r="D236" s="78"/>
      <c r="E236" s="175"/>
      <c r="F236" s="175"/>
      <c r="G236" s="175"/>
      <c r="H236" s="175"/>
      <c r="I236" s="175"/>
      <c r="J236" s="78"/>
      <c r="K236" s="79"/>
      <c r="L236" s="83"/>
      <c r="M236" s="83"/>
      <c r="N236" s="83"/>
      <c r="O236" s="83"/>
      <c r="U236" s="1"/>
      <c r="V236" s="1"/>
      <c r="W236" s="1"/>
      <c r="X236" s="1"/>
      <c r="AC236" s="1">
        <v>3485.5</v>
      </c>
      <c r="AD236" s="1">
        <v>47955.520000115699</v>
      </c>
      <c r="AG236">
        <v>3485.5</v>
      </c>
      <c r="AH236">
        <v>3778268.94000006</v>
      </c>
    </row>
    <row r="237" spans="4:34">
      <c r="D237" s="78"/>
      <c r="E237" s="175"/>
      <c r="F237" s="175"/>
      <c r="G237" s="175"/>
      <c r="H237" s="175"/>
      <c r="I237" s="175"/>
      <c r="J237" s="78"/>
      <c r="K237" s="79"/>
      <c r="L237" s="83"/>
      <c r="M237" s="83"/>
      <c r="N237" s="83"/>
      <c r="O237" s="83"/>
      <c r="U237" s="1"/>
      <c r="V237" s="1"/>
      <c r="W237" s="1"/>
      <c r="X237" s="1"/>
      <c r="AC237" s="1">
        <v>3486</v>
      </c>
      <c r="AD237" s="1">
        <v>48108.3000000627</v>
      </c>
      <c r="AG237">
        <v>3486</v>
      </c>
      <c r="AH237">
        <v>3802284.8999990299</v>
      </c>
    </row>
    <row r="238" spans="4:34">
      <c r="D238" s="78"/>
      <c r="E238" s="175"/>
      <c r="F238" s="175"/>
      <c r="G238" s="175"/>
      <c r="H238" s="175"/>
      <c r="I238" s="175"/>
      <c r="J238" s="78"/>
      <c r="K238" s="79"/>
      <c r="L238" s="83"/>
      <c r="M238" s="83"/>
      <c r="N238" s="83"/>
      <c r="O238" s="83"/>
      <c r="U238" s="1"/>
      <c r="V238" s="1"/>
      <c r="W238" s="1"/>
      <c r="X238" s="1"/>
      <c r="AC238" s="1">
        <v>3486.5</v>
      </c>
      <c r="AD238" s="1">
        <v>48261.069999902102</v>
      </c>
      <c r="AG238">
        <v>3486.5</v>
      </c>
      <c r="AH238">
        <v>3826377.2400038801</v>
      </c>
    </row>
    <row r="239" spans="4:34">
      <c r="D239" s="78"/>
      <c r="E239" s="175"/>
      <c r="F239" s="175"/>
      <c r="G239" s="175"/>
      <c r="H239" s="175"/>
      <c r="I239" s="175"/>
      <c r="J239" s="78"/>
      <c r="K239" s="79"/>
      <c r="L239" s="83"/>
      <c r="M239" s="83"/>
      <c r="N239" s="83"/>
      <c r="O239" s="83"/>
      <c r="U239" s="1"/>
      <c r="V239" s="1"/>
      <c r="W239" s="1"/>
      <c r="X239" s="1"/>
      <c r="AC239" s="1">
        <v>3487</v>
      </c>
      <c r="AD239" s="1">
        <v>48413.850000096201</v>
      </c>
      <c r="AG239">
        <v>3487</v>
      </c>
      <c r="AH239">
        <v>3850545.9700025902</v>
      </c>
    </row>
    <row r="240" spans="4:34">
      <c r="D240" s="78"/>
      <c r="E240" s="175"/>
      <c r="F240" s="175"/>
      <c r="G240" s="175"/>
      <c r="H240" s="175"/>
      <c r="I240" s="175"/>
      <c r="J240" s="78"/>
      <c r="K240" s="79"/>
      <c r="L240" s="83"/>
      <c r="M240" s="83"/>
      <c r="N240" s="83"/>
      <c r="O240" s="83"/>
      <c r="U240" s="1"/>
      <c r="V240" s="1"/>
      <c r="W240" s="1"/>
      <c r="X240" s="1"/>
      <c r="AC240" s="1">
        <v>3487.5</v>
      </c>
      <c r="AD240" s="1">
        <v>48566.619999935603</v>
      </c>
      <c r="AG240">
        <v>3487.5</v>
      </c>
      <c r="AH240">
        <v>3874791.0900032702</v>
      </c>
    </row>
    <row r="241" spans="4:34">
      <c r="D241" s="78"/>
      <c r="E241" s="175"/>
      <c r="F241" s="175"/>
      <c r="G241" s="175"/>
      <c r="H241" s="175"/>
      <c r="I241" s="175"/>
      <c r="J241" s="78"/>
      <c r="K241" s="79"/>
      <c r="L241" s="83"/>
      <c r="M241" s="83"/>
      <c r="N241" s="83"/>
      <c r="O241" s="83"/>
      <c r="U241" s="1"/>
      <c r="V241" s="1"/>
      <c r="W241" s="1"/>
      <c r="X241" s="1"/>
      <c r="AC241" s="1">
        <v>3488</v>
      </c>
      <c r="AD241" s="1">
        <v>48719.399999882698</v>
      </c>
      <c r="AG241">
        <v>3488</v>
      </c>
      <c r="AH241">
        <v>3899112.5999978199</v>
      </c>
    </row>
    <row r="242" spans="4:34">
      <c r="D242" s="78"/>
      <c r="E242" s="175"/>
      <c r="F242" s="175"/>
      <c r="G242" s="175"/>
      <c r="H242" s="175"/>
      <c r="I242" s="175"/>
      <c r="J242" s="78"/>
      <c r="K242" s="79"/>
      <c r="L242" s="83"/>
      <c r="M242" s="83"/>
      <c r="N242" s="83"/>
      <c r="O242" s="83"/>
      <c r="U242" s="1"/>
      <c r="V242" s="1"/>
      <c r="W242" s="1"/>
      <c r="X242" s="1"/>
      <c r="AC242" s="1">
        <v>3488.5</v>
      </c>
      <c r="AD242" s="1">
        <v>48872.169999969097</v>
      </c>
      <c r="AG242">
        <v>3488.5</v>
      </c>
      <c r="AH242">
        <v>3923510.48999824</v>
      </c>
    </row>
    <row r="243" spans="4:34">
      <c r="D243" s="78"/>
      <c r="E243" s="175"/>
      <c r="F243" s="175"/>
      <c r="G243" s="175"/>
      <c r="H243" s="175"/>
      <c r="I243" s="175"/>
      <c r="J243" s="78"/>
      <c r="K243" s="79"/>
      <c r="L243" s="83"/>
      <c r="M243" s="83"/>
      <c r="N243" s="83"/>
      <c r="O243" s="83"/>
      <c r="U243" s="1"/>
      <c r="V243" s="1"/>
      <c r="W243" s="1"/>
      <c r="X243" s="1"/>
      <c r="AC243" s="1">
        <v>3489</v>
      </c>
      <c r="AD243" s="1">
        <v>49024.9499999162</v>
      </c>
      <c r="AG243">
        <v>3489</v>
      </c>
      <c r="AH243">
        <v>3947984.7700006301</v>
      </c>
    </row>
    <row r="244" spans="4:34">
      <c r="D244" s="78"/>
      <c r="E244" s="175"/>
      <c r="F244" s="175"/>
      <c r="G244" s="175"/>
      <c r="H244" s="175"/>
      <c r="I244" s="175"/>
      <c r="J244" s="78"/>
      <c r="K244" s="79"/>
      <c r="L244" s="83"/>
      <c r="M244" s="83"/>
      <c r="N244" s="83"/>
      <c r="O244" s="83"/>
      <c r="U244" s="1"/>
      <c r="V244" s="1"/>
      <c r="W244" s="1"/>
      <c r="X244" s="1"/>
      <c r="AC244" s="1">
        <v>3489.5</v>
      </c>
      <c r="AD244" s="1">
        <v>49177.720000002701</v>
      </c>
      <c r="AG244">
        <v>3489.5</v>
      </c>
      <c r="AH244">
        <v>3972535.43999688</v>
      </c>
    </row>
    <row r="245" spans="4:34">
      <c r="D245" s="78"/>
      <c r="E245" s="175"/>
      <c r="F245" s="175"/>
      <c r="G245" s="175"/>
      <c r="H245" s="175"/>
      <c r="I245" s="175"/>
      <c r="J245" s="78"/>
      <c r="K245" s="79"/>
      <c r="L245" s="83"/>
      <c r="M245" s="83"/>
      <c r="N245" s="83"/>
      <c r="O245" s="83"/>
      <c r="U245" s="1"/>
      <c r="V245" s="1"/>
      <c r="W245" s="1"/>
      <c r="X245" s="1"/>
      <c r="AC245" s="1">
        <v>3490</v>
      </c>
      <c r="AD245" s="1">
        <v>49330.499999949701</v>
      </c>
      <c r="AG245">
        <v>3490</v>
      </c>
      <c r="AH245">
        <v>3997162.5000032098</v>
      </c>
    </row>
    <row r="246" spans="4:34">
      <c r="D246" s="78"/>
      <c r="E246" s="175"/>
      <c r="F246" s="175"/>
      <c r="G246" s="175"/>
      <c r="H246" s="175"/>
      <c r="I246" s="175"/>
      <c r="J246" s="78"/>
      <c r="K246" s="79"/>
      <c r="L246" s="83"/>
      <c r="M246" s="83"/>
      <c r="N246" s="83"/>
      <c r="O246" s="83"/>
      <c r="U246" s="1"/>
      <c r="V246" s="1"/>
      <c r="W246" s="1"/>
      <c r="X246" s="1"/>
      <c r="AC246" s="1">
        <v>3490.5</v>
      </c>
      <c r="AD246" s="1">
        <v>49483.270000036202</v>
      </c>
      <c r="AG246">
        <v>3490.5</v>
      </c>
      <c r="AH246">
        <v>4021865.9399991999</v>
      </c>
    </row>
    <row r="247" spans="4:34">
      <c r="D247" s="78"/>
      <c r="E247" s="175"/>
      <c r="F247" s="175"/>
      <c r="G247" s="175"/>
      <c r="H247" s="175"/>
      <c r="I247" s="175"/>
      <c r="J247" s="78"/>
      <c r="K247" s="79"/>
      <c r="L247" s="83"/>
      <c r="M247" s="83"/>
      <c r="N247" s="83"/>
      <c r="O247" s="83"/>
      <c r="U247" s="1"/>
      <c r="V247" s="1"/>
      <c r="W247" s="1"/>
      <c r="X247" s="1"/>
      <c r="AC247" s="1">
        <v>3491</v>
      </c>
      <c r="AD247" s="1">
        <v>49636.049999983203</v>
      </c>
      <c r="AG247">
        <v>3491</v>
      </c>
      <c r="AH247">
        <v>4046645.76999716</v>
      </c>
    </row>
    <row r="248" spans="4:34">
      <c r="D248" s="78"/>
      <c r="E248" s="175"/>
      <c r="F248" s="175"/>
      <c r="G248" s="175"/>
      <c r="H248" s="175"/>
      <c r="I248" s="175"/>
      <c r="J248" s="78"/>
      <c r="K248" s="79"/>
      <c r="L248" s="83"/>
      <c r="M248" s="83"/>
      <c r="N248" s="83"/>
      <c r="O248" s="83"/>
      <c r="U248" s="1"/>
      <c r="V248" s="1"/>
      <c r="W248" s="1"/>
      <c r="X248" s="1"/>
      <c r="AC248" s="1">
        <v>3491.5</v>
      </c>
      <c r="AD248" s="1">
        <v>49788.820000069703</v>
      </c>
      <c r="AG248">
        <v>3491.5</v>
      </c>
      <c r="AH248">
        <v>4071501.9899970898</v>
      </c>
    </row>
    <row r="249" spans="4:34">
      <c r="D249" s="78"/>
      <c r="E249" s="175"/>
      <c r="F249" s="175"/>
      <c r="G249" s="175"/>
      <c r="H249" s="175"/>
      <c r="I249" s="175"/>
      <c r="J249" s="78"/>
      <c r="K249" s="79"/>
      <c r="L249" s="83"/>
      <c r="M249" s="83"/>
      <c r="N249" s="83"/>
      <c r="O249" s="83"/>
      <c r="U249" s="1"/>
      <c r="V249" s="1"/>
      <c r="W249" s="1"/>
      <c r="X249" s="1"/>
      <c r="AC249" s="1">
        <v>3492</v>
      </c>
      <c r="AD249" s="1">
        <v>49941.600000016799</v>
      </c>
      <c r="AG249">
        <v>3492</v>
      </c>
      <c r="AH249">
        <v>4096434.5999989901</v>
      </c>
    </row>
    <row r="250" spans="4:34">
      <c r="D250" s="78"/>
      <c r="E250" s="175"/>
      <c r="F250" s="175"/>
      <c r="G250" s="175"/>
      <c r="H250" s="175"/>
      <c r="I250" s="175"/>
      <c r="J250" s="78"/>
      <c r="K250" s="79"/>
      <c r="L250" s="83"/>
      <c r="M250" s="83"/>
      <c r="N250" s="83"/>
      <c r="O250" s="83"/>
      <c r="U250" s="1"/>
      <c r="V250" s="1"/>
      <c r="W250" s="1"/>
      <c r="X250" s="1"/>
      <c r="AC250" s="1">
        <v>3492.5</v>
      </c>
      <c r="AD250" s="1">
        <v>50094.370000103198</v>
      </c>
      <c r="AG250">
        <v>3492.5</v>
      </c>
      <c r="AH250">
        <v>4121443.5899986601</v>
      </c>
    </row>
    <row r="251" spans="4:34">
      <c r="D251" s="78"/>
      <c r="E251" s="175"/>
      <c r="F251" s="175"/>
      <c r="G251" s="175"/>
      <c r="H251" s="175"/>
      <c r="I251" s="175"/>
      <c r="J251" s="78"/>
      <c r="K251" s="79"/>
      <c r="L251" s="83"/>
      <c r="M251" s="83"/>
      <c r="N251" s="83"/>
      <c r="O251" s="83"/>
      <c r="U251" s="1"/>
      <c r="V251" s="1"/>
      <c r="W251" s="1"/>
      <c r="X251" s="1"/>
      <c r="AC251" s="1">
        <v>3493</v>
      </c>
      <c r="AD251" s="1">
        <v>50247.1500000503</v>
      </c>
      <c r="AG251">
        <v>3493</v>
      </c>
      <c r="AH251">
        <v>4146528.9700003001</v>
      </c>
    </row>
    <row r="252" spans="4:34">
      <c r="D252" s="78"/>
      <c r="E252" s="175"/>
      <c r="F252" s="175"/>
      <c r="G252" s="175"/>
      <c r="H252" s="175"/>
      <c r="I252" s="175"/>
      <c r="J252" s="78"/>
      <c r="K252" s="79"/>
      <c r="L252" s="83"/>
      <c r="M252" s="83"/>
      <c r="N252" s="83"/>
      <c r="O252" s="83"/>
      <c r="U252" s="1"/>
      <c r="V252" s="1"/>
      <c r="W252" s="1"/>
      <c r="X252" s="1"/>
      <c r="AC252" s="1">
        <v>3493.5</v>
      </c>
      <c r="AD252" s="1">
        <v>50399.919999889702</v>
      </c>
      <c r="AG252">
        <v>3493.5</v>
      </c>
      <c r="AH252">
        <v>4171690.7400039099</v>
      </c>
    </row>
    <row r="253" spans="4:34">
      <c r="D253" s="78"/>
      <c r="E253" s="175"/>
      <c r="F253" s="175"/>
      <c r="G253" s="175"/>
      <c r="H253" s="175"/>
      <c r="I253" s="175"/>
      <c r="J253" s="78"/>
      <c r="K253" s="79"/>
      <c r="L253" s="83"/>
      <c r="M253" s="83"/>
      <c r="N253" s="83"/>
      <c r="O253" s="83"/>
      <c r="U253" s="1"/>
      <c r="V253" s="1"/>
      <c r="W253" s="1"/>
      <c r="X253" s="1"/>
      <c r="AC253" s="1">
        <v>3494</v>
      </c>
      <c r="AD253" s="1">
        <v>50552.700000083802</v>
      </c>
      <c r="AG253">
        <v>3494</v>
      </c>
      <c r="AH253">
        <v>4196928.9000013797</v>
      </c>
    </row>
    <row r="254" spans="4:34">
      <c r="D254" s="78"/>
      <c r="E254" s="175"/>
      <c r="F254" s="175"/>
      <c r="G254" s="175"/>
      <c r="H254" s="175"/>
      <c r="I254" s="175"/>
      <c r="J254" s="78"/>
      <c r="K254" s="79"/>
      <c r="L254" s="83"/>
      <c r="M254" s="83"/>
      <c r="N254" s="83"/>
      <c r="O254" s="83"/>
      <c r="U254" s="1"/>
      <c r="V254" s="1"/>
      <c r="W254" s="1"/>
      <c r="X254" s="1"/>
      <c r="AC254" s="1">
        <v>3494.5</v>
      </c>
      <c r="AD254" s="1">
        <v>50705.469999923203</v>
      </c>
      <c r="AG254">
        <v>3494.5</v>
      </c>
      <c r="AH254">
        <v>4222243.4399966197</v>
      </c>
    </row>
    <row r="255" spans="4:34">
      <c r="D255" s="78"/>
      <c r="E255" s="175"/>
      <c r="F255" s="175"/>
      <c r="G255" s="175"/>
      <c r="H255" s="175"/>
      <c r="I255" s="175"/>
      <c r="J255" s="78"/>
      <c r="K255" s="79"/>
      <c r="L255" s="83"/>
      <c r="M255" s="83"/>
      <c r="N255" s="83"/>
      <c r="O255" s="83"/>
      <c r="U255" s="1"/>
      <c r="V255" s="1"/>
      <c r="W255" s="1"/>
      <c r="X255" s="1"/>
      <c r="AC255" s="1">
        <v>3495</v>
      </c>
      <c r="AD255" s="1">
        <v>50858.250000117398</v>
      </c>
      <c r="AG255">
        <v>3495</v>
      </c>
      <c r="AH255">
        <v>4247634.3700019401</v>
      </c>
    </row>
    <row r="256" spans="4:34">
      <c r="D256" s="78"/>
      <c r="E256" s="175"/>
      <c r="F256" s="175"/>
      <c r="G256" s="175"/>
      <c r="H256" s="175"/>
      <c r="I256" s="175"/>
      <c r="J256" s="78"/>
      <c r="K256" s="79"/>
      <c r="L256" s="83"/>
      <c r="M256" s="83"/>
      <c r="N256" s="83"/>
      <c r="O256" s="83"/>
      <c r="U256" s="1"/>
      <c r="V256" s="1"/>
      <c r="W256" s="1"/>
      <c r="X256" s="1"/>
      <c r="AC256" s="1">
        <v>3495.5</v>
      </c>
      <c r="AD256" s="1">
        <v>51011.019999956698</v>
      </c>
      <c r="AG256">
        <v>3495.5</v>
      </c>
      <c r="AH256">
        <v>4273101.6900011199</v>
      </c>
    </row>
    <row r="257" spans="4:34">
      <c r="D257" s="78"/>
      <c r="E257" s="175"/>
      <c r="F257" s="175"/>
      <c r="G257" s="175"/>
      <c r="H257" s="175"/>
      <c r="I257" s="175"/>
      <c r="J257" s="78"/>
      <c r="K257" s="79"/>
      <c r="L257" s="83"/>
      <c r="M257" s="83"/>
      <c r="N257" s="83"/>
      <c r="O257" s="83"/>
      <c r="U257" s="1"/>
      <c r="V257" s="1"/>
      <c r="W257" s="1"/>
      <c r="X257" s="1"/>
      <c r="AC257" s="1">
        <v>3496</v>
      </c>
      <c r="AD257" s="1">
        <v>51163.7999999038</v>
      </c>
      <c r="AG257">
        <v>3496</v>
      </c>
      <c r="AH257">
        <v>4298645.40000227</v>
      </c>
    </row>
    <row r="258" spans="4:34">
      <c r="D258" s="78"/>
      <c r="E258" s="175"/>
      <c r="F258" s="175"/>
      <c r="G258" s="175"/>
      <c r="H258" s="175"/>
      <c r="I258" s="175"/>
      <c r="J258" s="78"/>
      <c r="K258" s="79"/>
      <c r="L258" s="83"/>
      <c r="M258" s="83"/>
      <c r="N258" s="83"/>
      <c r="O258" s="83"/>
      <c r="U258" s="1"/>
      <c r="V258" s="1"/>
      <c r="W258" s="1"/>
      <c r="X258" s="1"/>
      <c r="AC258" s="1">
        <v>3496.5</v>
      </c>
      <c r="AD258" s="1">
        <v>51316.569999990199</v>
      </c>
      <c r="AG258">
        <v>3496.5</v>
      </c>
      <c r="AH258">
        <v>4324265.4900011905</v>
      </c>
    </row>
    <row r="259" spans="4:34">
      <c r="D259" s="78"/>
      <c r="E259" s="175"/>
      <c r="F259" s="175"/>
      <c r="G259" s="175"/>
      <c r="H259" s="175"/>
      <c r="I259" s="175"/>
      <c r="J259" s="78"/>
      <c r="K259" s="79"/>
      <c r="L259" s="83"/>
      <c r="M259" s="83"/>
      <c r="N259" s="83"/>
      <c r="O259" s="83"/>
      <c r="U259" s="1"/>
      <c r="V259" s="1"/>
      <c r="W259" s="1"/>
      <c r="X259" s="1"/>
      <c r="AC259" s="1">
        <v>3497</v>
      </c>
      <c r="AD259" s="1">
        <v>51469.349999937302</v>
      </c>
      <c r="AG259">
        <v>3497</v>
      </c>
      <c r="AH259">
        <v>4349961.9700020803</v>
      </c>
    </row>
    <row r="260" spans="4:34">
      <c r="D260" s="78"/>
      <c r="E260" s="175"/>
      <c r="F260" s="175"/>
      <c r="G260" s="175"/>
      <c r="H260" s="175"/>
      <c r="I260" s="175"/>
      <c r="J260" s="78"/>
      <c r="K260" s="79"/>
      <c r="L260" s="83"/>
      <c r="M260" s="83"/>
      <c r="N260" s="83"/>
      <c r="O260" s="83"/>
      <c r="U260" s="1"/>
      <c r="V260" s="1"/>
      <c r="W260" s="1"/>
      <c r="X260" s="1"/>
      <c r="AC260" s="1">
        <v>3497.5</v>
      </c>
      <c r="AD260" s="1">
        <v>51622.120000023802</v>
      </c>
      <c r="AG260">
        <v>3497.5</v>
      </c>
      <c r="AH260">
        <v>4375734.8399968296</v>
      </c>
    </row>
    <row r="261" spans="4:34">
      <c r="D261" s="78"/>
      <c r="E261" s="175"/>
      <c r="F261" s="175"/>
      <c r="G261" s="175"/>
      <c r="H261" s="175"/>
      <c r="I261" s="175"/>
      <c r="J261" s="78"/>
      <c r="K261" s="79"/>
      <c r="L261" s="83"/>
      <c r="M261" s="83"/>
      <c r="N261" s="83"/>
      <c r="O261" s="83"/>
      <c r="U261" s="1"/>
      <c r="V261" s="1"/>
      <c r="W261" s="1"/>
      <c r="X261" s="1"/>
      <c r="AC261" s="1">
        <v>3498</v>
      </c>
      <c r="AD261" s="1">
        <v>51774.899999970803</v>
      </c>
      <c r="AG261">
        <v>3498</v>
      </c>
      <c r="AH261">
        <v>4401584.1000016602</v>
      </c>
    </row>
    <row r="262" spans="4:34">
      <c r="D262" s="78"/>
      <c r="E262" s="175"/>
      <c r="F262" s="175"/>
      <c r="G262" s="175"/>
      <c r="H262" s="175"/>
      <c r="I262" s="175"/>
      <c r="J262" s="78"/>
      <c r="K262" s="79"/>
      <c r="L262" s="83"/>
      <c r="M262" s="83"/>
      <c r="N262" s="83"/>
      <c r="O262" s="83"/>
      <c r="U262" s="1"/>
      <c r="V262" s="1"/>
      <c r="W262" s="1"/>
      <c r="X262" s="1"/>
      <c r="AC262" s="1">
        <v>3498.5</v>
      </c>
      <c r="AD262" s="1">
        <v>51927.670000057296</v>
      </c>
      <c r="AG262">
        <v>3498.5</v>
      </c>
      <c r="AH262">
        <v>4427509.7399961501</v>
      </c>
    </row>
    <row r="263" spans="4:34">
      <c r="D263" s="78"/>
      <c r="E263" s="175"/>
      <c r="F263" s="175"/>
      <c r="G263" s="175"/>
      <c r="H263" s="175"/>
      <c r="I263" s="175"/>
      <c r="J263" s="78"/>
      <c r="K263" s="79"/>
      <c r="L263" s="83"/>
      <c r="M263" s="83"/>
      <c r="N263" s="83"/>
      <c r="O263" s="83"/>
      <c r="U263" s="1"/>
      <c r="V263" s="1"/>
      <c r="W263" s="1"/>
      <c r="X263" s="1"/>
      <c r="AC263" s="1">
        <v>3499</v>
      </c>
      <c r="AD263" s="1">
        <v>52080.450000004399</v>
      </c>
      <c r="AG263">
        <v>3499</v>
      </c>
      <c r="AH263">
        <v>4453511.7700007204</v>
      </c>
    </row>
    <row r="264" spans="4:34">
      <c r="D264" s="78"/>
      <c r="E264" s="175"/>
      <c r="F264" s="175"/>
      <c r="G264" s="175"/>
      <c r="H264" s="175"/>
      <c r="I264" s="175"/>
      <c r="J264" s="78"/>
      <c r="K264" s="79"/>
      <c r="L264" s="83"/>
      <c r="M264" s="83"/>
      <c r="N264" s="83"/>
      <c r="O264" s="83"/>
      <c r="U264" s="1"/>
      <c r="V264" s="1"/>
      <c r="W264" s="1"/>
      <c r="X264" s="1"/>
      <c r="AC264" s="1">
        <v>3499.5</v>
      </c>
      <c r="AD264" s="1">
        <v>52233.220000090798</v>
      </c>
      <c r="AG264">
        <v>3499.5</v>
      </c>
      <c r="AH264">
        <v>4479590.1899991501</v>
      </c>
    </row>
    <row r="265" spans="4:34">
      <c r="D265" s="78"/>
      <c r="E265" s="175"/>
      <c r="F265" s="175"/>
      <c r="G265" s="175"/>
      <c r="H265" s="175"/>
      <c r="I265" s="175"/>
      <c r="J265" s="78"/>
      <c r="K265" s="79"/>
      <c r="L265" s="83"/>
      <c r="M265" s="83"/>
      <c r="N265" s="83"/>
      <c r="O265" s="83"/>
      <c r="U265" s="1"/>
      <c r="V265" s="1"/>
      <c r="W265" s="1"/>
      <c r="X265" s="1"/>
      <c r="AC265" s="1">
        <v>3500</v>
      </c>
      <c r="AD265" s="1">
        <v>52386.0000000379</v>
      </c>
      <c r="AG265">
        <v>3500</v>
      </c>
      <c r="AH265">
        <v>4505744.9999995502</v>
      </c>
    </row>
    <row r="266" spans="4:34">
      <c r="D266" s="78"/>
      <c r="E266" s="175"/>
      <c r="F266" s="175"/>
      <c r="G266" s="175"/>
      <c r="H266" s="175"/>
      <c r="I266" s="175"/>
      <c r="J266" s="78"/>
      <c r="K266" s="79"/>
      <c r="L266" s="83"/>
      <c r="M266" s="83"/>
      <c r="N266" s="83"/>
      <c r="O266" s="83"/>
      <c r="U266" s="1"/>
      <c r="V266" s="1"/>
      <c r="W266" s="1"/>
      <c r="X266" s="1"/>
      <c r="AC266" s="1">
        <v>3500.5</v>
      </c>
      <c r="AD266" s="1">
        <v>52563.2500000699</v>
      </c>
      <c r="AG266">
        <v>3500.5</v>
      </c>
      <c r="AH266">
        <v>4531982.3099986603</v>
      </c>
    </row>
    <row r="267" spans="4:34">
      <c r="D267" s="78"/>
      <c r="E267" s="175"/>
      <c r="F267" s="175"/>
      <c r="G267" s="175"/>
      <c r="H267" s="175"/>
      <c r="I267" s="175"/>
      <c r="J267" s="78"/>
      <c r="K267" s="79"/>
      <c r="L267" s="83"/>
      <c r="M267" s="83"/>
      <c r="N267" s="83"/>
      <c r="O267" s="83"/>
      <c r="U267" s="1"/>
      <c r="V267" s="1"/>
      <c r="W267" s="1"/>
      <c r="X267" s="1"/>
      <c r="AC267" s="1">
        <v>3501</v>
      </c>
      <c r="AD267" s="1">
        <v>52740.5000001019</v>
      </c>
      <c r="AG267">
        <v>3501</v>
      </c>
      <c r="AH267">
        <v>4558308.2500016</v>
      </c>
    </row>
    <row r="268" spans="4:34">
      <c r="D268" s="78"/>
      <c r="E268" s="175"/>
      <c r="F268" s="175"/>
      <c r="G268" s="175"/>
      <c r="H268" s="175"/>
      <c r="I268" s="175"/>
      <c r="J268" s="78"/>
      <c r="K268" s="79"/>
      <c r="L268" s="83"/>
      <c r="M268" s="83"/>
      <c r="N268" s="83"/>
      <c r="O268" s="83"/>
      <c r="U268" s="1"/>
      <c r="V268" s="1"/>
      <c r="W268" s="1"/>
      <c r="X268" s="1"/>
      <c r="AC268" s="1">
        <v>3501.5</v>
      </c>
      <c r="AD268" s="1">
        <v>52917.749999886903</v>
      </c>
      <c r="AG268">
        <v>3501.5</v>
      </c>
      <c r="AH268">
        <v>4584722.8099960797</v>
      </c>
    </row>
    <row r="269" spans="4:34">
      <c r="D269" s="78"/>
      <c r="E269" s="175"/>
      <c r="F269" s="175"/>
      <c r="G269" s="175"/>
      <c r="H269" s="175"/>
      <c r="I269" s="175"/>
      <c r="J269" s="78"/>
      <c r="K269" s="79"/>
      <c r="L269" s="83"/>
      <c r="M269" s="83"/>
      <c r="N269" s="83"/>
      <c r="O269" s="83"/>
      <c r="U269" s="1"/>
      <c r="V269" s="1"/>
      <c r="W269" s="1"/>
      <c r="X269" s="1"/>
      <c r="AC269" s="1">
        <v>3502</v>
      </c>
      <c r="AD269" s="1">
        <v>53094.999999918902</v>
      </c>
      <c r="AG269">
        <v>3502</v>
      </c>
      <c r="AH269">
        <v>4611226.0000025099</v>
      </c>
    </row>
    <row r="270" spans="4:34">
      <c r="D270" s="78"/>
      <c r="E270" s="175"/>
      <c r="F270" s="175"/>
      <c r="G270" s="175"/>
      <c r="H270" s="175"/>
      <c r="I270" s="175"/>
      <c r="J270" s="78"/>
      <c r="K270" s="79"/>
      <c r="L270" s="83"/>
      <c r="M270" s="83"/>
      <c r="N270" s="83"/>
      <c r="O270" s="83"/>
      <c r="U270" s="1"/>
      <c r="V270" s="1"/>
      <c r="W270" s="1"/>
      <c r="X270" s="1"/>
      <c r="AC270" s="1">
        <v>3502.5</v>
      </c>
      <c r="AD270" s="1">
        <v>53272.249999950902</v>
      </c>
      <c r="AG270">
        <v>3502.5</v>
      </c>
      <c r="AH270">
        <v>4637817.8100004699</v>
      </c>
    </row>
    <row r="271" spans="4:34">
      <c r="D271" s="78"/>
      <c r="E271" s="175"/>
      <c r="F271" s="175"/>
      <c r="G271" s="175"/>
      <c r="H271" s="175"/>
      <c r="I271" s="175"/>
      <c r="J271" s="78"/>
      <c r="K271" s="79"/>
      <c r="L271" s="83"/>
      <c r="M271" s="83"/>
      <c r="N271" s="83"/>
      <c r="O271" s="83"/>
      <c r="U271" s="1"/>
      <c r="V271" s="1"/>
      <c r="W271" s="1"/>
      <c r="X271" s="1"/>
      <c r="AC271" s="1">
        <v>3503</v>
      </c>
      <c r="AD271" s="1">
        <v>53449.499999982901</v>
      </c>
      <c r="AG271">
        <v>3503</v>
      </c>
      <c r="AH271">
        <v>4664498.2500022696</v>
      </c>
    </row>
    <row r="272" spans="4:34">
      <c r="D272" s="78"/>
      <c r="E272" s="175"/>
      <c r="F272" s="175"/>
      <c r="G272" s="175"/>
      <c r="H272" s="175"/>
      <c r="I272" s="175"/>
      <c r="J272" s="78"/>
      <c r="K272" s="79"/>
      <c r="L272" s="83"/>
      <c r="M272" s="83"/>
      <c r="N272" s="83"/>
      <c r="O272" s="83"/>
      <c r="U272" s="1"/>
      <c r="V272" s="1"/>
      <c r="W272" s="1"/>
      <c r="X272" s="1"/>
      <c r="AC272" s="1">
        <v>3503.5</v>
      </c>
      <c r="AD272" s="1">
        <v>53626.750000015003</v>
      </c>
      <c r="AG272">
        <v>3503.5</v>
      </c>
      <c r="AH272">
        <v>4691267.3100037202</v>
      </c>
    </row>
    <row r="273" spans="4:34">
      <c r="D273" s="78"/>
      <c r="E273" s="175"/>
      <c r="F273" s="175"/>
      <c r="G273" s="175"/>
      <c r="H273" s="175"/>
      <c r="I273" s="175"/>
      <c r="J273" s="78"/>
      <c r="K273" s="79"/>
      <c r="L273" s="83"/>
      <c r="M273" s="83"/>
      <c r="N273" s="83"/>
      <c r="O273" s="83"/>
      <c r="U273" s="1"/>
      <c r="V273" s="1"/>
      <c r="W273" s="1"/>
      <c r="X273" s="1"/>
      <c r="AC273" s="1">
        <v>3504</v>
      </c>
      <c r="AD273" s="1">
        <v>53804.000000047003</v>
      </c>
      <c r="AG273">
        <v>3504</v>
      </c>
      <c r="AH273">
        <v>4718125.0000008903</v>
      </c>
    </row>
    <row r="274" spans="4:34">
      <c r="D274" s="78"/>
      <c r="E274" s="175"/>
      <c r="F274" s="175"/>
      <c r="G274" s="175"/>
      <c r="H274" s="175"/>
      <c r="I274" s="175"/>
      <c r="J274" s="78"/>
      <c r="K274" s="79"/>
      <c r="L274" s="83"/>
      <c r="M274" s="83"/>
      <c r="N274" s="83"/>
      <c r="O274" s="83"/>
      <c r="U274" s="1"/>
      <c r="V274" s="1"/>
      <c r="W274" s="1"/>
      <c r="X274" s="1"/>
      <c r="AC274" s="1">
        <v>3504.5</v>
      </c>
      <c r="AD274" s="1">
        <v>53981.250000079002</v>
      </c>
      <c r="AG274">
        <v>3504.5</v>
      </c>
      <c r="AH274">
        <v>4745071.3099977104</v>
      </c>
    </row>
    <row r="275" spans="4:34">
      <c r="D275" s="78"/>
      <c r="E275" s="175"/>
      <c r="F275" s="175"/>
      <c r="G275" s="175"/>
      <c r="H275" s="175"/>
      <c r="I275" s="175"/>
      <c r="J275" s="78"/>
      <c r="K275" s="79"/>
      <c r="L275" s="83"/>
      <c r="M275" s="83"/>
      <c r="N275" s="83"/>
      <c r="O275" s="83"/>
      <c r="U275" s="1"/>
      <c r="V275" s="1"/>
      <c r="W275" s="1"/>
      <c r="X275" s="1"/>
      <c r="AC275" s="1">
        <v>3505</v>
      </c>
      <c r="AD275" s="1">
        <v>54158.500000111002</v>
      </c>
      <c r="AG275">
        <v>3505</v>
      </c>
      <c r="AH275">
        <v>4772106.2499983702</v>
      </c>
    </row>
    <row r="276" spans="4:34">
      <c r="D276" s="78"/>
      <c r="E276" s="175"/>
      <c r="F276" s="175"/>
      <c r="G276" s="175"/>
      <c r="H276" s="175"/>
      <c r="I276" s="175"/>
      <c r="J276" s="78"/>
      <c r="K276" s="79"/>
      <c r="L276" s="83"/>
      <c r="M276" s="83"/>
      <c r="N276" s="83"/>
      <c r="O276" s="83"/>
      <c r="U276" s="1"/>
      <c r="V276" s="1"/>
      <c r="W276" s="1"/>
      <c r="X276" s="1"/>
      <c r="AC276" s="1">
        <v>3505.5</v>
      </c>
      <c r="AD276" s="1">
        <v>54335.749999895903</v>
      </c>
      <c r="AG276">
        <v>3505.5</v>
      </c>
      <c r="AH276">
        <v>4799229.8099986697</v>
      </c>
    </row>
    <row r="277" spans="4:34">
      <c r="D277" s="78"/>
      <c r="E277" s="175"/>
      <c r="F277" s="175"/>
      <c r="G277" s="175"/>
      <c r="H277" s="175"/>
      <c r="I277" s="175"/>
      <c r="J277" s="78"/>
      <c r="K277" s="79"/>
      <c r="L277" s="83"/>
      <c r="M277" s="83"/>
      <c r="N277" s="83"/>
      <c r="O277" s="83"/>
      <c r="U277" s="1"/>
      <c r="V277" s="1"/>
      <c r="W277" s="1"/>
      <c r="X277" s="1"/>
      <c r="AC277" s="1">
        <v>3506</v>
      </c>
      <c r="AD277" s="1">
        <v>54512.999999927997</v>
      </c>
      <c r="AG277">
        <v>3506</v>
      </c>
      <c r="AH277">
        <v>4826442.0000028098</v>
      </c>
    </row>
    <row r="278" spans="4:34">
      <c r="D278" s="78"/>
      <c r="E278" s="175"/>
      <c r="F278" s="175"/>
      <c r="G278" s="175"/>
      <c r="H278" s="175"/>
      <c r="I278" s="175"/>
      <c r="J278" s="78"/>
      <c r="K278" s="79"/>
      <c r="L278" s="83"/>
      <c r="M278" s="83"/>
      <c r="N278" s="83"/>
      <c r="O278" s="83"/>
      <c r="U278" s="1"/>
      <c r="V278" s="1"/>
      <c r="W278" s="1"/>
      <c r="X278" s="1"/>
      <c r="AC278" s="1">
        <v>3506.5</v>
      </c>
      <c r="AD278" s="1">
        <v>54690.249999959997</v>
      </c>
      <c r="AG278">
        <v>3506.5</v>
      </c>
      <c r="AH278">
        <v>4853742.8099984899</v>
      </c>
    </row>
    <row r="279" spans="4:34">
      <c r="D279" s="78"/>
      <c r="E279" s="175"/>
      <c r="F279" s="175"/>
      <c r="G279" s="175"/>
      <c r="H279" s="175"/>
      <c r="I279" s="175"/>
      <c r="J279" s="78"/>
      <c r="K279" s="79"/>
      <c r="L279" s="83"/>
      <c r="M279" s="83"/>
      <c r="N279" s="83"/>
      <c r="O279" s="83"/>
      <c r="U279" s="1"/>
      <c r="V279" s="1"/>
      <c r="W279" s="1"/>
      <c r="X279" s="1"/>
      <c r="AC279" s="1">
        <v>3507</v>
      </c>
      <c r="AD279" s="1">
        <v>54867.499999991996</v>
      </c>
      <c r="AG279">
        <v>3507</v>
      </c>
      <c r="AH279">
        <v>4881132.2499980005</v>
      </c>
    </row>
    <row r="280" spans="4:34">
      <c r="D280" s="78"/>
      <c r="E280" s="175"/>
      <c r="F280" s="175"/>
      <c r="G280" s="175"/>
      <c r="H280" s="175"/>
      <c r="I280" s="175"/>
      <c r="J280" s="78"/>
      <c r="K280" s="79"/>
      <c r="L280" s="83"/>
      <c r="M280" s="83"/>
      <c r="N280" s="83"/>
      <c r="O280" s="83"/>
      <c r="U280" s="1"/>
      <c r="V280" s="1"/>
      <c r="W280" s="1"/>
      <c r="X280" s="1"/>
      <c r="AC280" s="1">
        <v>3507.5</v>
      </c>
      <c r="AD280" s="1">
        <v>55044.750000024003</v>
      </c>
      <c r="AG280">
        <v>3507.5</v>
      </c>
      <c r="AH280">
        <v>4908610.30999716</v>
      </c>
    </row>
    <row r="281" spans="4:34">
      <c r="D281" s="78"/>
      <c r="E281" s="175"/>
      <c r="F281" s="175"/>
      <c r="G281" s="175"/>
      <c r="H281" s="175"/>
      <c r="I281" s="175"/>
      <c r="J281" s="78"/>
      <c r="K281" s="79"/>
      <c r="L281" s="83"/>
      <c r="M281" s="83"/>
      <c r="N281" s="83"/>
      <c r="O281" s="83"/>
      <c r="U281" s="1"/>
      <c r="V281" s="1"/>
      <c r="W281" s="1"/>
      <c r="X281" s="1"/>
      <c r="AC281" s="1">
        <v>3508</v>
      </c>
      <c r="AD281" s="1">
        <v>55222.000000056098</v>
      </c>
      <c r="AG281">
        <v>3508</v>
      </c>
      <c r="AH281">
        <v>4936177.0000001499</v>
      </c>
    </row>
    <row r="282" spans="4:34">
      <c r="D282" s="78"/>
      <c r="E282" s="175"/>
      <c r="F282" s="175"/>
      <c r="G282" s="175"/>
      <c r="H282" s="175"/>
      <c r="I282" s="175"/>
      <c r="J282" s="78"/>
      <c r="K282" s="79"/>
      <c r="L282" s="83"/>
      <c r="M282" s="83"/>
      <c r="N282" s="83"/>
      <c r="O282" s="83"/>
      <c r="U282" s="1"/>
      <c r="V282" s="1"/>
      <c r="W282" s="1"/>
      <c r="X282" s="1"/>
      <c r="AC282" s="1">
        <v>3508.5</v>
      </c>
      <c r="AD282" s="1">
        <v>55399.250000088097</v>
      </c>
      <c r="AG282">
        <v>3508.5</v>
      </c>
      <c r="AH282">
        <v>4963832.3100027898</v>
      </c>
    </row>
    <row r="283" spans="4:34">
      <c r="D283" s="78"/>
      <c r="E283" s="175"/>
      <c r="F283" s="175"/>
      <c r="G283" s="175"/>
      <c r="H283" s="175"/>
      <c r="I283" s="175"/>
      <c r="J283" s="78"/>
      <c r="K283" s="79"/>
      <c r="L283" s="83"/>
      <c r="M283" s="83"/>
      <c r="N283" s="83"/>
      <c r="O283" s="83"/>
      <c r="U283" s="1"/>
      <c r="V283" s="1"/>
      <c r="W283" s="1"/>
      <c r="X283" s="1"/>
      <c r="AC283" s="1">
        <v>3509</v>
      </c>
      <c r="AD283" s="1">
        <v>55576.500000120097</v>
      </c>
      <c r="AG283">
        <v>3509</v>
      </c>
      <c r="AH283">
        <v>4991576.2500011604</v>
      </c>
    </row>
    <row r="284" spans="4:34">
      <c r="D284" s="78"/>
      <c r="E284" s="175"/>
      <c r="F284" s="175"/>
      <c r="G284" s="175"/>
      <c r="H284" s="175"/>
      <c r="I284" s="175"/>
      <c r="J284" s="78"/>
      <c r="K284" s="79"/>
      <c r="L284" s="83"/>
      <c r="M284" s="83"/>
      <c r="N284" s="83"/>
      <c r="O284" s="83"/>
      <c r="U284" s="1"/>
      <c r="V284" s="1"/>
      <c r="W284" s="1"/>
      <c r="X284" s="1"/>
      <c r="AC284" s="1">
        <v>3509.5</v>
      </c>
      <c r="AD284" s="1">
        <v>55753.749999904998</v>
      </c>
      <c r="AG284">
        <v>3509.5</v>
      </c>
      <c r="AH284">
        <v>5019408.80999918</v>
      </c>
    </row>
    <row r="285" spans="4:34">
      <c r="D285" s="78"/>
      <c r="E285" s="175"/>
      <c r="F285" s="175"/>
      <c r="G285" s="175"/>
      <c r="H285" s="175"/>
      <c r="I285" s="175"/>
      <c r="J285" s="78"/>
      <c r="K285" s="79"/>
      <c r="L285" s="83"/>
      <c r="M285" s="83"/>
      <c r="N285" s="83"/>
      <c r="O285" s="83"/>
      <c r="U285" s="1"/>
      <c r="V285" s="1"/>
      <c r="W285" s="1"/>
      <c r="X285" s="1"/>
      <c r="AC285" s="1">
        <v>3510</v>
      </c>
      <c r="AD285" s="1">
        <v>55930.999999937099</v>
      </c>
      <c r="AG285">
        <v>3510</v>
      </c>
      <c r="AH285">
        <v>5047330.00000103</v>
      </c>
    </row>
    <row r="286" spans="4:34">
      <c r="D286" s="78"/>
      <c r="E286" s="175"/>
      <c r="F286" s="175"/>
      <c r="G286" s="175"/>
      <c r="H286" s="175"/>
      <c r="I286" s="175"/>
      <c r="J286" s="78"/>
      <c r="K286" s="79"/>
      <c r="L286" s="83"/>
      <c r="M286" s="83"/>
      <c r="N286" s="83"/>
      <c r="O286" s="83"/>
      <c r="U286" s="1"/>
      <c r="V286" s="1"/>
      <c r="W286" s="1"/>
      <c r="X286" s="1"/>
      <c r="AC286" s="1">
        <v>3510.5</v>
      </c>
      <c r="AD286" s="1">
        <v>56108.249999969099</v>
      </c>
      <c r="AG286">
        <v>3510.5</v>
      </c>
      <c r="AH286">
        <v>5075339.81000253</v>
      </c>
    </row>
    <row r="287" spans="4:34">
      <c r="D287" s="78"/>
      <c r="E287" s="175"/>
      <c r="F287" s="175"/>
      <c r="G287" s="175"/>
      <c r="H287" s="175"/>
      <c r="I287" s="175"/>
      <c r="J287" s="78"/>
      <c r="K287" s="79"/>
      <c r="L287" s="83"/>
      <c r="M287" s="83"/>
      <c r="N287" s="83"/>
      <c r="O287" s="83"/>
      <c r="U287" s="1"/>
      <c r="V287" s="1"/>
      <c r="W287" s="1"/>
      <c r="X287" s="1"/>
      <c r="AC287" s="1">
        <v>3511</v>
      </c>
      <c r="AD287" s="1">
        <v>56285.500000001099</v>
      </c>
      <c r="AG287">
        <v>3511</v>
      </c>
      <c r="AH287">
        <v>5103438.2499997504</v>
      </c>
    </row>
    <row r="288" spans="4:34">
      <c r="D288" s="78"/>
      <c r="E288" s="175"/>
      <c r="F288" s="175"/>
      <c r="G288" s="175"/>
      <c r="H288" s="175"/>
      <c r="I288" s="175"/>
      <c r="J288" s="78"/>
      <c r="K288" s="79"/>
      <c r="L288" s="83"/>
      <c r="M288" s="83"/>
      <c r="N288" s="83"/>
      <c r="O288" s="83"/>
      <c r="U288" s="1"/>
      <c r="V288" s="1"/>
      <c r="W288" s="1"/>
      <c r="X288" s="1"/>
      <c r="AC288" s="1">
        <v>3511.5</v>
      </c>
      <c r="AD288" s="1">
        <v>56462.750000033098</v>
      </c>
      <c r="AG288">
        <v>3511.5</v>
      </c>
      <c r="AH288">
        <v>5131625.3099966198</v>
      </c>
    </row>
    <row r="289" spans="4:34">
      <c r="D289" s="78"/>
      <c r="E289" s="175"/>
      <c r="F289" s="175"/>
      <c r="G289" s="175"/>
      <c r="H289" s="175"/>
      <c r="I289" s="175"/>
      <c r="J289" s="78"/>
      <c r="K289" s="79"/>
      <c r="L289" s="83"/>
      <c r="M289" s="83"/>
      <c r="N289" s="83"/>
      <c r="O289" s="83"/>
      <c r="U289" s="1"/>
      <c r="V289" s="1"/>
      <c r="W289" s="1"/>
      <c r="X289" s="1"/>
      <c r="AC289" s="1">
        <v>3512</v>
      </c>
      <c r="AD289" s="1">
        <v>56640.0000000652</v>
      </c>
      <c r="AG289">
        <v>3512</v>
      </c>
      <c r="AH289">
        <v>5159900.9999973299</v>
      </c>
    </row>
    <row r="290" spans="4:34">
      <c r="D290" s="78"/>
      <c r="E290" s="175"/>
      <c r="F290" s="175"/>
      <c r="G290" s="175"/>
      <c r="H290" s="175"/>
      <c r="I290" s="175"/>
      <c r="J290" s="78"/>
      <c r="K290" s="79"/>
      <c r="L290" s="83"/>
      <c r="M290" s="83"/>
      <c r="N290" s="83"/>
      <c r="O290" s="83"/>
      <c r="U290" s="1"/>
      <c r="V290" s="1"/>
      <c r="W290" s="1"/>
      <c r="X290" s="1"/>
      <c r="AC290" s="1">
        <v>3512.5</v>
      </c>
      <c r="AD290" s="1">
        <v>56817.2500000972</v>
      </c>
      <c r="AG290">
        <v>3512.5</v>
      </c>
      <c r="AH290">
        <v>5188265.3099976797</v>
      </c>
    </row>
    <row r="291" spans="4:34">
      <c r="D291" s="78"/>
      <c r="E291" s="175"/>
      <c r="F291" s="175"/>
      <c r="G291" s="175"/>
      <c r="H291" s="175"/>
      <c r="I291" s="175"/>
      <c r="J291" s="78"/>
      <c r="K291" s="79"/>
      <c r="L291" s="83"/>
      <c r="M291" s="83"/>
      <c r="N291" s="83"/>
      <c r="O291" s="83"/>
      <c r="U291" s="1"/>
      <c r="V291" s="1"/>
      <c r="W291" s="1"/>
      <c r="X291" s="1"/>
      <c r="AC291" s="1">
        <v>3513</v>
      </c>
      <c r="AD291" s="1">
        <v>56994.4999998821</v>
      </c>
      <c r="AG291">
        <v>3513</v>
      </c>
      <c r="AH291">
        <v>5216718.2500018701</v>
      </c>
    </row>
    <row r="292" spans="4:34">
      <c r="D292" s="78"/>
      <c r="E292" s="175"/>
      <c r="F292" s="175"/>
      <c r="G292" s="175"/>
      <c r="H292" s="175"/>
      <c r="I292" s="175"/>
      <c r="J292" s="78"/>
      <c r="K292" s="79"/>
      <c r="L292" s="83"/>
      <c r="M292" s="83"/>
      <c r="N292" s="83"/>
      <c r="O292" s="83"/>
      <c r="U292" s="1"/>
      <c r="V292" s="1"/>
      <c r="W292" s="1"/>
      <c r="X292" s="1"/>
      <c r="AC292" s="1">
        <v>3513.5</v>
      </c>
      <c r="AD292" s="1">
        <v>57171.7499999141</v>
      </c>
      <c r="AG292">
        <v>3513.5</v>
      </c>
      <c r="AH292">
        <v>5245259.8099975996</v>
      </c>
    </row>
    <row r="293" spans="4:34">
      <c r="D293" s="78"/>
      <c r="E293" s="175"/>
      <c r="F293" s="175"/>
      <c r="G293" s="175"/>
      <c r="H293" s="175"/>
      <c r="I293" s="175"/>
      <c r="J293" s="78"/>
      <c r="K293" s="79"/>
      <c r="L293" s="83"/>
      <c r="M293" s="83"/>
      <c r="N293" s="83"/>
      <c r="O293" s="83"/>
      <c r="U293" s="1"/>
      <c r="V293" s="1"/>
      <c r="W293" s="1"/>
      <c r="X293" s="1"/>
      <c r="AC293" s="1">
        <v>3514</v>
      </c>
      <c r="AD293" s="1">
        <v>57348.999999946202</v>
      </c>
      <c r="AG293">
        <v>3514</v>
      </c>
      <c r="AH293">
        <v>5273889.9999971697</v>
      </c>
    </row>
    <row r="294" spans="4:34">
      <c r="D294" s="78"/>
      <c r="E294" s="175"/>
      <c r="F294" s="175"/>
      <c r="G294" s="175"/>
      <c r="H294" s="175"/>
      <c r="I294" s="175"/>
      <c r="J294" s="78"/>
      <c r="K294" s="79"/>
      <c r="L294" s="83"/>
      <c r="M294" s="83"/>
      <c r="N294" s="83"/>
      <c r="O294" s="83"/>
      <c r="U294" s="1"/>
      <c r="V294" s="1"/>
      <c r="W294" s="1"/>
      <c r="X294" s="1"/>
      <c r="AC294" s="1">
        <v>3514.5</v>
      </c>
      <c r="AD294" s="1">
        <v>57526.249999978201</v>
      </c>
      <c r="AG294">
        <v>3514.5</v>
      </c>
      <c r="AH294">
        <v>5302608.8099963702</v>
      </c>
    </row>
    <row r="295" spans="4:34">
      <c r="D295" s="78"/>
      <c r="E295" s="175"/>
      <c r="F295" s="175"/>
      <c r="G295" s="175"/>
      <c r="H295" s="175"/>
      <c r="I295" s="175"/>
      <c r="J295" s="78"/>
      <c r="K295" s="79"/>
      <c r="L295" s="83"/>
      <c r="M295" s="83"/>
      <c r="N295" s="83"/>
      <c r="O295" s="83"/>
      <c r="U295" s="1"/>
      <c r="V295" s="1"/>
      <c r="W295" s="1"/>
      <c r="X295" s="1"/>
      <c r="AC295" s="1">
        <v>3515</v>
      </c>
      <c r="AD295" s="1">
        <v>57703.500000010201</v>
      </c>
      <c r="AG295">
        <v>3515</v>
      </c>
      <c r="AH295">
        <v>5331416.2499994198</v>
      </c>
    </row>
    <row r="296" spans="4:34">
      <c r="D296" s="78"/>
      <c r="E296" s="175"/>
      <c r="F296" s="175"/>
      <c r="G296" s="175"/>
      <c r="H296" s="175"/>
      <c r="I296" s="175"/>
      <c r="J296" s="78"/>
      <c r="K296" s="79"/>
      <c r="L296" s="83"/>
      <c r="M296" s="83"/>
      <c r="N296" s="83"/>
      <c r="O296" s="83"/>
      <c r="U296" s="1"/>
      <c r="V296" s="1"/>
      <c r="W296" s="1"/>
      <c r="X296" s="1"/>
      <c r="AC296" s="1">
        <v>3515.5</v>
      </c>
      <c r="AD296" s="1">
        <v>57880.750000042201</v>
      </c>
      <c r="AG296">
        <v>3515.5</v>
      </c>
      <c r="AH296">
        <v>5360312.31000211</v>
      </c>
    </row>
    <row r="297" spans="4:34">
      <c r="D297" s="78"/>
      <c r="E297" s="175"/>
      <c r="F297" s="175"/>
      <c r="G297" s="175"/>
      <c r="H297" s="175"/>
      <c r="I297" s="175"/>
      <c r="J297" s="78"/>
      <c r="K297" s="79"/>
      <c r="L297" s="83"/>
      <c r="M297" s="83"/>
      <c r="N297" s="83"/>
      <c r="O297" s="83"/>
      <c r="U297" s="1"/>
      <c r="V297" s="1"/>
      <c r="W297" s="1"/>
      <c r="X297" s="1"/>
      <c r="AC297" s="1">
        <v>3516</v>
      </c>
      <c r="AD297" s="1">
        <v>58058.0000000742</v>
      </c>
      <c r="AG297">
        <v>3516</v>
      </c>
      <c r="AH297">
        <v>5389297.0000005299</v>
      </c>
    </row>
    <row r="298" spans="4:34">
      <c r="D298" s="78"/>
      <c r="E298" s="175"/>
      <c r="F298" s="175"/>
      <c r="G298" s="175"/>
      <c r="H298" s="175"/>
      <c r="I298" s="175"/>
      <c r="J298" s="78"/>
      <c r="K298" s="79"/>
      <c r="L298" s="83"/>
      <c r="M298" s="83"/>
      <c r="N298" s="83"/>
      <c r="O298" s="83"/>
      <c r="U298" s="1"/>
      <c r="V298" s="1"/>
      <c r="W298" s="1"/>
      <c r="X298" s="1"/>
      <c r="AC298" s="1">
        <v>3516.5</v>
      </c>
      <c r="AD298" s="1">
        <v>58235.250000106302</v>
      </c>
      <c r="AG298">
        <v>3516.5</v>
      </c>
      <c r="AH298">
        <v>5418370.3099985998</v>
      </c>
    </row>
    <row r="299" spans="4:34">
      <c r="D299" s="78"/>
      <c r="E299" s="175"/>
      <c r="F299" s="175"/>
      <c r="G299" s="175"/>
      <c r="H299" s="175"/>
      <c r="I299" s="175"/>
      <c r="J299" s="78"/>
      <c r="K299" s="79"/>
      <c r="L299" s="83"/>
      <c r="M299" s="83"/>
      <c r="N299" s="83"/>
      <c r="O299" s="83"/>
      <c r="U299" s="1"/>
      <c r="V299" s="1"/>
      <c r="W299" s="1"/>
      <c r="X299" s="1"/>
      <c r="AC299" s="1">
        <v>3517</v>
      </c>
      <c r="AD299" s="1">
        <v>58412.499999891203</v>
      </c>
      <c r="AG299">
        <v>3517</v>
      </c>
      <c r="AH299">
        <v>5447532.2500005001</v>
      </c>
    </row>
    <row r="300" spans="4:34">
      <c r="D300" s="78"/>
      <c r="E300" s="175"/>
      <c r="F300" s="175"/>
      <c r="G300" s="175"/>
      <c r="H300" s="175"/>
      <c r="I300" s="175"/>
      <c r="J300" s="78"/>
      <c r="K300" s="79"/>
      <c r="L300" s="83"/>
      <c r="M300" s="83"/>
      <c r="N300" s="83"/>
      <c r="O300" s="83"/>
      <c r="U300" s="1"/>
      <c r="V300" s="1"/>
      <c r="W300" s="1"/>
      <c r="X300" s="1"/>
      <c r="AC300" s="1">
        <v>3517.5</v>
      </c>
      <c r="AD300" s="1">
        <v>58589.749999923202</v>
      </c>
      <c r="AG300">
        <v>3517.5</v>
      </c>
      <c r="AH300">
        <v>5476782.8100020504</v>
      </c>
    </row>
    <row r="301" spans="4:34">
      <c r="D301" s="78"/>
      <c r="E301" s="175"/>
      <c r="F301" s="175"/>
      <c r="G301" s="175"/>
      <c r="H301" s="175"/>
      <c r="I301" s="175"/>
      <c r="J301" s="78"/>
      <c r="K301" s="79"/>
      <c r="L301" s="83"/>
      <c r="M301" s="83"/>
      <c r="N301" s="83"/>
      <c r="O301" s="83"/>
      <c r="U301" s="1"/>
      <c r="V301" s="1"/>
      <c r="W301" s="1"/>
      <c r="X301" s="1"/>
      <c r="AC301" s="1">
        <v>3518</v>
      </c>
      <c r="AD301" s="1">
        <v>58766.999999955202</v>
      </c>
      <c r="AG301">
        <v>3518</v>
      </c>
      <c r="AH301">
        <v>5506121.9999993304</v>
      </c>
    </row>
    <row r="302" spans="4:34">
      <c r="D302" s="78"/>
      <c r="E302" s="175"/>
      <c r="F302" s="175"/>
      <c r="G302" s="175"/>
      <c r="H302" s="175"/>
      <c r="I302" s="175"/>
      <c r="J302" s="78"/>
      <c r="K302" s="79"/>
      <c r="L302" s="83"/>
      <c r="M302" s="83"/>
      <c r="N302" s="83"/>
      <c r="O302" s="83"/>
      <c r="U302" s="1"/>
      <c r="V302" s="1"/>
      <c r="W302" s="1"/>
      <c r="X302" s="1"/>
      <c r="AC302" s="1">
        <v>3518.5</v>
      </c>
      <c r="AD302" s="1">
        <v>58944.249999987303</v>
      </c>
      <c r="AG302">
        <v>3518.5</v>
      </c>
      <c r="AH302">
        <v>5535549.8099962501</v>
      </c>
    </row>
    <row r="303" spans="4:34">
      <c r="D303" s="78"/>
      <c r="E303" s="175"/>
      <c r="F303" s="175"/>
      <c r="G303" s="175"/>
      <c r="H303" s="175"/>
      <c r="I303" s="175"/>
      <c r="J303" s="78"/>
      <c r="K303" s="79"/>
      <c r="L303" s="83"/>
      <c r="M303" s="83"/>
      <c r="N303" s="83"/>
      <c r="O303" s="83"/>
      <c r="U303" s="1"/>
      <c r="V303" s="1"/>
      <c r="W303" s="1"/>
      <c r="X303" s="1"/>
      <c r="AC303" s="1">
        <v>3519</v>
      </c>
      <c r="AD303" s="1">
        <v>59121.500000019303</v>
      </c>
      <c r="AG303">
        <v>3519</v>
      </c>
      <c r="AH303">
        <v>5565066.2499970105</v>
      </c>
    </row>
    <row r="304" spans="4:34">
      <c r="D304" s="78"/>
      <c r="E304" s="175"/>
      <c r="F304" s="175"/>
      <c r="G304" s="175"/>
      <c r="H304" s="175"/>
      <c r="I304" s="175"/>
      <c r="J304" s="78"/>
      <c r="K304" s="79"/>
      <c r="L304" s="83"/>
      <c r="M304" s="83"/>
      <c r="N304" s="83"/>
      <c r="O304" s="83"/>
      <c r="U304" s="1"/>
      <c r="V304" s="1"/>
      <c r="W304" s="1"/>
      <c r="X304" s="1"/>
      <c r="AC304" s="1">
        <v>3519.5</v>
      </c>
      <c r="AD304" s="1">
        <v>59298.750000051303</v>
      </c>
      <c r="AG304">
        <v>3519.5</v>
      </c>
      <c r="AH304">
        <v>5594671.3099974096</v>
      </c>
    </row>
    <row r="305" spans="4:34">
      <c r="D305" s="78"/>
      <c r="E305" s="175"/>
      <c r="F305" s="175"/>
      <c r="G305" s="175"/>
      <c r="H305" s="175"/>
      <c r="I305" s="175"/>
      <c r="J305" s="78"/>
      <c r="K305" s="79"/>
      <c r="L305" s="83"/>
      <c r="M305" s="83"/>
      <c r="N305" s="83"/>
      <c r="O305" s="83"/>
      <c r="U305" s="1"/>
      <c r="V305" s="1"/>
      <c r="W305" s="1"/>
      <c r="X305" s="1"/>
      <c r="AC305" s="1">
        <v>3520</v>
      </c>
      <c r="AD305" s="1">
        <v>59476.000000083302</v>
      </c>
      <c r="AG305">
        <v>3520</v>
      </c>
      <c r="AH305">
        <v>5624365.0000016503</v>
      </c>
    </row>
    <row r="306" spans="4:34">
      <c r="D306" s="78"/>
      <c r="E306" s="175"/>
      <c r="F306" s="175"/>
      <c r="G306" s="175"/>
      <c r="H306" s="175"/>
      <c r="I306" s="175"/>
      <c r="J306" s="78"/>
      <c r="K306" s="79"/>
      <c r="L306" s="83"/>
      <c r="M306" s="83"/>
      <c r="N306" s="83"/>
      <c r="O306" s="83"/>
      <c r="U306" s="1"/>
      <c r="V306" s="1"/>
      <c r="W306" s="1"/>
      <c r="X306" s="1"/>
      <c r="AC306" s="1">
        <v>3520.5</v>
      </c>
      <c r="AD306" s="1">
        <v>59669.249999927997</v>
      </c>
      <c r="AG306">
        <v>3520.5</v>
      </c>
      <c r="AH306">
        <v>5654151.3099995796</v>
      </c>
    </row>
    <row r="307" spans="4:34">
      <c r="D307" s="78"/>
      <c r="E307" s="175"/>
      <c r="F307" s="175"/>
      <c r="G307" s="175"/>
      <c r="H307" s="175"/>
      <c r="I307" s="175"/>
      <c r="J307" s="78"/>
      <c r="K307" s="79"/>
      <c r="L307" s="83"/>
      <c r="M307" s="83"/>
      <c r="N307" s="83"/>
      <c r="O307" s="83"/>
      <c r="U307" s="1"/>
      <c r="V307" s="1"/>
      <c r="W307" s="1"/>
      <c r="X307" s="1"/>
      <c r="AC307" s="1">
        <v>3521</v>
      </c>
      <c r="AD307" s="1">
        <v>59862.500000019703</v>
      </c>
      <c r="AG307">
        <v>3521</v>
      </c>
      <c r="AH307">
        <v>5684034.2499975301</v>
      </c>
    </row>
    <row r="308" spans="4:34">
      <c r="D308" s="78"/>
      <c r="E308" s="175"/>
      <c r="F308" s="175"/>
      <c r="G308" s="175"/>
      <c r="H308" s="175"/>
      <c r="I308" s="175"/>
      <c r="J308" s="78"/>
      <c r="K308" s="79"/>
      <c r="L308" s="83"/>
      <c r="M308" s="83"/>
      <c r="N308" s="83"/>
      <c r="O308" s="83"/>
      <c r="U308" s="1"/>
      <c r="V308" s="1"/>
      <c r="W308" s="1"/>
      <c r="X308" s="1"/>
      <c r="AC308" s="1">
        <v>3521.5</v>
      </c>
      <c r="AD308" s="1">
        <v>60055.750000111402</v>
      </c>
      <c r="AG308">
        <v>3521.5</v>
      </c>
      <c r="AH308">
        <v>5714013.8099994203</v>
      </c>
    </row>
    <row r="309" spans="4:34">
      <c r="D309" s="78"/>
      <c r="E309" s="175"/>
      <c r="F309" s="175"/>
      <c r="G309" s="175"/>
      <c r="H309" s="175"/>
      <c r="I309" s="175"/>
      <c r="J309" s="78"/>
      <c r="K309" s="79"/>
      <c r="L309" s="83"/>
      <c r="M309" s="83"/>
      <c r="N309" s="83"/>
      <c r="O309" s="83"/>
      <c r="U309" s="1"/>
      <c r="V309" s="1"/>
      <c r="W309" s="1"/>
      <c r="X309" s="1"/>
      <c r="AC309" s="1">
        <v>3522</v>
      </c>
      <c r="AD309" s="1">
        <v>60248.999999956002</v>
      </c>
      <c r="AG309">
        <v>3522</v>
      </c>
      <c r="AH309">
        <v>5744090.0000013504</v>
      </c>
    </row>
    <row r="310" spans="4:34">
      <c r="D310" s="78"/>
      <c r="E310" s="175"/>
      <c r="F310" s="175"/>
      <c r="G310" s="175"/>
      <c r="H310" s="175"/>
      <c r="I310" s="175"/>
      <c r="J310" s="78"/>
      <c r="K310" s="79"/>
      <c r="L310" s="83"/>
      <c r="M310" s="83"/>
      <c r="N310" s="83"/>
      <c r="O310" s="83"/>
      <c r="U310" s="1"/>
      <c r="V310" s="1"/>
      <c r="W310" s="1"/>
      <c r="X310" s="1"/>
      <c r="AC310" s="1">
        <v>3522.5</v>
      </c>
      <c r="AD310" s="1">
        <v>60442.250000047803</v>
      </c>
      <c r="AG310">
        <v>3522.5</v>
      </c>
      <c r="AH310">
        <v>5774262.8099990999</v>
      </c>
    </row>
    <row r="311" spans="4:34">
      <c r="D311" s="78"/>
      <c r="E311" s="175"/>
      <c r="F311" s="175"/>
      <c r="G311" s="175"/>
      <c r="H311" s="175"/>
      <c r="I311" s="175"/>
      <c r="J311" s="78"/>
      <c r="K311" s="79"/>
      <c r="L311" s="83"/>
      <c r="M311" s="83"/>
      <c r="N311" s="83"/>
      <c r="O311" s="83"/>
      <c r="U311" s="1"/>
      <c r="V311" s="1"/>
      <c r="W311" s="1"/>
      <c r="X311" s="1"/>
      <c r="AC311" s="1">
        <v>3523</v>
      </c>
      <c r="AD311" s="1">
        <v>60635.499999892403</v>
      </c>
      <c r="AG311">
        <v>3523</v>
      </c>
      <c r="AH311">
        <v>5804532.2499968801</v>
      </c>
    </row>
    <row r="312" spans="4:34">
      <c r="D312" s="78"/>
      <c r="E312" s="175"/>
      <c r="F312" s="175"/>
      <c r="G312" s="175"/>
      <c r="H312" s="175"/>
      <c r="I312" s="175"/>
      <c r="J312" s="78"/>
      <c r="K312" s="79"/>
      <c r="L312" s="83"/>
      <c r="M312" s="83"/>
      <c r="N312" s="83"/>
      <c r="O312" s="83"/>
      <c r="U312" s="1"/>
      <c r="V312" s="1"/>
      <c r="W312" s="1"/>
      <c r="X312" s="1"/>
      <c r="AC312" s="1">
        <v>3523.5</v>
      </c>
      <c r="AD312" s="1">
        <v>60828.749999984102</v>
      </c>
      <c r="AG312">
        <v>3523.5</v>
      </c>
      <c r="AH312">
        <v>5834898.3099985998</v>
      </c>
    </row>
    <row r="313" spans="4:34">
      <c r="D313" s="78"/>
      <c r="E313" s="175"/>
      <c r="F313" s="175"/>
      <c r="G313" s="175"/>
      <c r="H313" s="175"/>
      <c r="I313" s="175"/>
      <c r="J313" s="78"/>
      <c r="K313" s="79"/>
      <c r="L313" s="83"/>
      <c r="M313" s="83"/>
      <c r="N313" s="83"/>
      <c r="O313" s="83"/>
      <c r="U313" s="1"/>
      <c r="V313" s="1"/>
      <c r="W313" s="1"/>
      <c r="X313" s="1"/>
      <c r="AC313" s="1">
        <v>3524</v>
      </c>
      <c r="AD313" s="1">
        <v>61022.000000075801</v>
      </c>
      <c r="AG313">
        <v>3524</v>
      </c>
      <c r="AH313">
        <v>5865361.0000003502</v>
      </c>
    </row>
    <row r="314" spans="4:34">
      <c r="D314" s="78"/>
      <c r="E314" s="175"/>
      <c r="F314" s="175"/>
      <c r="G314" s="175"/>
      <c r="H314" s="175"/>
      <c r="I314" s="175"/>
      <c r="J314" s="78"/>
      <c r="K314" s="79"/>
      <c r="L314" s="83"/>
      <c r="M314" s="83"/>
      <c r="N314" s="83"/>
      <c r="O314" s="83"/>
      <c r="U314" s="1"/>
      <c r="V314" s="1"/>
      <c r="W314" s="1"/>
      <c r="X314" s="1"/>
      <c r="AC314" s="1">
        <v>3524.5</v>
      </c>
      <c r="AD314" s="1">
        <v>61215.249999920401</v>
      </c>
      <c r="AG314">
        <v>3524.5</v>
      </c>
      <c r="AH314">
        <v>5895920.3099979302</v>
      </c>
    </row>
    <row r="315" spans="4:34">
      <c r="D315" s="78"/>
      <c r="E315" s="175"/>
      <c r="F315" s="175"/>
      <c r="G315" s="175"/>
      <c r="H315" s="175"/>
      <c r="I315" s="175"/>
      <c r="J315" s="78"/>
      <c r="K315" s="79"/>
      <c r="L315" s="83"/>
      <c r="M315" s="83"/>
      <c r="N315" s="83"/>
      <c r="O315" s="83"/>
      <c r="U315" s="1"/>
      <c r="V315" s="1"/>
      <c r="W315" s="1"/>
      <c r="X315" s="1"/>
      <c r="AC315" s="1">
        <v>3525</v>
      </c>
      <c r="AD315" s="1">
        <v>61408.500000012202</v>
      </c>
      <c r="AG315">
        <v>3525</v>
      </c>
      <c r="AH315">
        <v>5926576.2500036499</v>
      </c>
    </row>
    <row r="316" spans="4:34">
      <c r="D316" s="78"/>
      <c r="E316" s="175"/>
      <c r="F316" s="175"/>
      <c r="G316" s="175"/>
      <c r="H316" s="175"/>
      <c r="I316" s="175"/>
      <c r="J316" s="78"/>
      <c r="K316" s="79"/>
      <c r="L316" s="83"/>
      <c r="M316" s="83"/>
      <c r="N316" s="83"/>
      <c r="O316" s="83"/>
      <c r="U316" s="1"/>
      <c r="V316" s="1"/>
      <c r="W316" s="1"/>
      <c r="X316" s="1"/>
      <c r="AC316" s="1">
        <v>3525.5</v>
      </c>
      <c r="AD316" s="1">
        <v>61601.750000103901</v>
      </c>
      <c r="AG316">
        <v>3525.5</v>
      </c>
      <c r="AH316">
        <v>5957328.8099970901</v>
      </c>
    </row>
    <row r="317" spans="4:34">
      <c r="D317" s="78"/>
      <c r="E317" s="175"/>
      <c r="F317" s="175"/>
      <c r="G317" s="175"/>
      <c r="H317" s="175"/>
      <c r="I317" s="175"/>
      <c r="J317" s="78"/>
      <c r="K317" s="79"/>
      <c r="L317" s="83"/>
      <c r="M317" s="83"/>
      <c r="N317" s="83"/>
      <c r="O317" s="83"/>
      <c r="U317" s="1"/>
      <c r="V317" s="1"/>
      <c r="W317" s="1"/>
      <c r="X317" s="1"/>
      <c r="AC317" s="1">
        <v>3526</v>
      </c>
      <c r="AD317" s="1">
        <v>61794.999999948501</v>
      </c>
      <c r="AG317">
        <v>3526</v>
      </c>
      <c r="AH317">
        <v>5988177.9999986701</v>
      </c>
    </row>
    <row r="318" spans="4:34">
      <c r="D318" s="78"/>
      <c r="E318" s="175"/>
      <c r="F318" s="175"/>
      <c r="G318" s="175"/>
      <c r="H318" s="175"/>
      <c r="I318" s="175"/>
      <c r="J318" s="78"/>
      <c r="K318" s="79"/>
      <c r="L318" s="83"/>
      <c r="M318" s="83"/>
      <c r="N318" s="83"/>
      <c r="O318" s="83"/>
      <c r="U318" s="1"/>
      <c r="V318" s="1"/>
      <c r="W318" s="1"/>
      <c r="X318" s="1"/>
      <c r="AC318" s="1">
        <v>3526.5</v>
      </c>
      <c r="AD318" s="1">
        <v>61988.2500000402</v>
      </c>
      <c r="AG318">
        <v>3526.5</v>
      </c>
      <c r="AH318">
        <v>6019123.8099960797</v>
      </c>
    </row>
    <row r="319" spans="4:34">
      <c r="D319" s="78"/>
      <c r="E319" s="175"/>
      <c r="F319" s="175"/>
      <c r="G319" s="175"/>
      <c r="H319" s="175"/>
      <c r="I319" s="175"/>
      <c r="J319" s="78"/>
      <c r="K319" s="79"/>
      <c r="L319" s="83"/>
      <c r="M319" s="83"/>
      <c r="N319" s="83"/>
      <c r="O319" s="83"/>
      <c r="U319" s="1"/>
      <c r="V319" s="1"/>
      <c r="W319" s="1"/>
      <c r="X319" s="1"/>
      <c r="AC319" s="1">
        <v>3527</v>
      </c>
      <c r="AD319" s="1">
        <v>62181.499999884902</v>
      </c>
      <c r="AG319">
        <v>3527</v>
      </c>
      <c r="AH319">
        <v>6050166.2500016298</v>
      </c>
    </row>
    <row r="320" spans="4:34">
      <c r="D320" s="78"/>
      <c r="E320" s="175"/>
      <c r="F320" s="175"/>
      <c r="G320" s="175"/>
      <c r="H320" s="175"/>
      <c r="I320" s="175"/>
      <c r="J320" s="78"/>
      <c r="K320" s="79"/>
      <c r="L320" s="83"/>
      <c r="M320" s="83"/>
      <c r="N320" s="83"/>
      <c r="O320" s="83"/>
      <c r="U320" s="1"/>
      <c r="V320" s="1"/>
      <c r="W320" s="1"/>
      <c r="X320" s="1"/>
      <c r="AC320" s="1">
        <v>3527.5</v>
      </c>
      <c r="AD320" s="1">
        <v>62374.749999976601</v>
      </c>
      <c r="AG320">
        <v>3527.5</v>
      </c>
      <c r="AH320">
        <v>6081305.3100030003</v>
      </c>
    </row>
    <row r="321" spans="4:34">
      <c r="D321" s="78"/>
      <c r="E321" s="175"/>
      <c r="F321" s="175"/>
      <c r="G321" s="175"/>
      <c r="H321" s="175"/>
      <c r="I321" s="175"/>
      <c r="J321" s="78"/>
      <c r="K321" s="79"/>
      <c r="L321" s="83"/>
      <c r="M321" s="83"/>
      <c r="N321" s="83"/>
      <c r="O321" s="83"/>
      <c r="U321" s="1"/>
      <c r="V321" s="1"/>
      <c r="W321" s="1"/>
      <c r="X321" s="1"/>
      <c r="AC321" s="1">
        <v>3528</v>
      </c>
      <c r="AD321" s="1">
        <v>62568.000000068299</v>
      </c>
      <c r="AG321">
        <v>3528</v>
      </c>
      <c r="AH321">
        <v>6112540.9999962999</v>
      </c>
    </row>
    <row r="322" spans="4:34">
      <c r="D322" s="78"/>
      <c r="E322" s="175"/>
      <c r="F322" s="175"/>
      <c r="G322" s="175"/>
      <c r="H322" s="175"/>
      <c r="I322" s="175"/>
      <c r="J322" s="78"/>
      <c r="K322" s="79"/>
      <c r="L322" s="83"/>
      <c r="M322" s="83"/>
      <c r="N322" s="83"/>
      <c r="O322" s="83"/>
      <c r="U322" s="1"/>
      <c r="V322" s="1"/>
      <c r="W322" s="1"/>
      <c r="X322" s="1"/>
      <c r="AC322" s="1">
        <v>3528.5</v>
      </c>
      <c r="AD322" s="1">
        <v>62761.2499999129</v>
      </c>
      <c r="AG322">
        <v>3528.5</v>
      </c>
      <c r="AH322">
        <v>6143873.3100016499</v>
      </c>
    </row>
    <row r="323" spans="4:34">
      <c r="D323" s="78"/>
      <c r="E323" s="175"/>
      <c r="F323" s="175"/>
      <c r="G323" s="175"/>
      <c r="H323" s="175"/>
      <c r="I323" s="175"/>
      <c r="J323" s="78"/>
      <c r="K323" s="79"/>
      <c r="L323" s="83"/>
      <c r="M323" s="83"/>
      <c r="N323" s="83"/>
      <c r="O323" s="83"/>
      <c r="U323" s="1"/>
      <c r="V323" s="1"/>
      <c r="W323" s="1"/>
      <c r="X323" s="1"/>
      <c r="AC323" s="1">
        <v>3529</v>
      </c>
      <c r="AD323" s="1">
        <v>62954.5000000047</v>
      </c>
      <c r="AG323">
        <v>3529</v>
      </c>
      <c r="AH323">
        <v>6175302.2499989104</v>
      </c>
    </row>
    <row r="324" spans="4:34">
      <c r="D324" s="78"/>
      <c r="E324" s="175"/>
      <c r="F324" s="175"/>
      <c r="G324" s="175"/>
      <c r="H324" s="175"/>
      <c r="I324" s="175"/>
      <c r="J324" s="78"/>
      <c r="K324" s="79"/>
      <c r="L324" s="83"/>
      <c r="M324" s="83"/>
      <c r="N324" s="83"/>
      <c r="O324" s="83"/>
      <c r="U324" s="1"/>
      <c r="V324" s="1"/>
      <c r="W324" s="1"/>
      <c r="X324" s="1"/>
      <c r="AC324" s="1">
        <v>3529.5</v>
      </c>
      <c r="AD324" s="1">
        <v>63147.750000096399</v>
      </c>
      <c r="AG324">
        <v>3529.5</v>
      </c>
      <c r="AH324">
        <v>6206827.8100001197</v>
      </c>
    </row>
    <row r="325" spans="4:34">
      <c r="D325" s="78"/>
      <c r="E325" s="175"/>
      <c r="F325" s="175"/>
      <c r="G325" s="175"/>
      <c r="H325" s="175"/>
      <c r="I325" s="175"/>
      <c r="J325" s="78"/>
      <c r="K325" s="79"/>
      <c r="L325" s="83"/>
      <c r="M325" s="83"/>
      <c r="N325" s="83"/>
      <c r="O325" s="83"/>
      <c r="U325" s="1"/>
      <c r="V325" s="1"/>
      <c r="W325" s="1"/>
      <c r="X325" s="1"/>
      <c r="AC325" s="1">
        <v>3530</v>
      </c>
      <c r="AD325" s="1">
        <v>63340.999999940999</v>
      </c>
      <c r="AG325">
        <v>3530</v>
      </c>
      <c r="AH325">
        <v>6238450.0000013504</v>
      </c>
    </row>
    <row r="326" spans="4:34">
      <c r="D326" s="78"/>
      <c r="E326" s="175"/>
      <c r="F326" s="175"/>
      <c r="G326" s="175"/>
      <c r="H326" s="175"/>
      <c r="I326" s="175"/>
      <c r="J326" s="78"/>
      <c r="K326" s="79"/>
      <c r="L326" s="83"/>
      <c r="M326" s="83"/>
      <c r="N326" s="83"/>
      <c r="O326" s="83"/>
      <c r="U326" s="1"/>
      <c r="V326" s="1"/>
      <c r="W326" s="1"/>
      <c r="X326" s="1"/>
      <c r="AC326" s="1">
        <v>3530.5</v>
      </c>
      <c r="AD326" s="1">
        <v>63534.250000032698</v>
      </c>
      <c r="AG326">
        <v>3530.5</v>
      </c>
      <c r="AH326">
        <v>6270168.8099984201</v>
      </c>
    </row>
    <row r="327" spans="4:34">
      <c r="D327" s="78"/>
      <c r="E327" s="175"/>
      <c r="F327" s="175"/>
      <c r="G327" s="175"/>
      <c r="H327" s="175"/>
      <c r="I327" s="175"/>
      <c r="J327" s="78"/>
      <c r="K327" s="79"/>
      <c r="L327" s="83"/>
      <c r="M327" s="83"/>
      <c r="N327" s="83"/>
      <c r="O327" s="83"/>
      <c r="U327" s="1"/>
      <c r="V327" s="1"/>
      <c r="W327" s="1"/>
      <c r="X327" s="1"/>
      <c r="AC327" s="1">
        <v>3531</v>
      </c>
      <c r="AD327" s="1">
        <v>63727.499999877298</v>
      </c>
      <c r="AG327">
        <v>3531</v>
      </c>
      <c r="AH327">
        <v>6301984.2500036201</v>
      </c>
    </row>
    <row r="328" spans="4:34">
      <c r="D328" s="78"/>
      <c r="E328" s="175"/>
      <c r="F328" s="175"/>
      <c r="G328" s="175"/>
      <c r="H328" s="175"/>
      <c r="I328" s="175"/>
      <c r="J328" s="78"/>
      <c r="K328" s="79"/>
      <c r="L328" s="83"/>
      <c r="M328" s="83"/>
      <c r="N328" s="83"/>
      <c r="O328" s="83"/>
      <c r="U328" s="1"/>
      <c r="V328" s="1"/>
      <c r="W328" s="1"/>
      <c r="X328" s="1"/>
      <c r="AC328" s="1">
        <v>3531.5</v>
      </c>
      <c r="AD328" s="1">
        <v>63920.749999969099</v>
      </c>
      <c r="AG328">
        <v>3531.5</v>
      </c>
      <c r="AH328">
        <v>6333896.30999655</v>
      </c>
    </row>
    <row r="329" spans="4:34">
      <c r="D329" s="78"/>
      <c r="E329" s="175"/>
      <c r="F329" s="175"/>
      <c r="G329" s="175"/>
      <c r="H329" s="175"/>
      <c r="I329" s="175"/>
      <c r="J329" s="78"/>
      <c r="K329" s="79"/>
      <c r="L329" s="83"/>
      <c r="M329" s="83"/>
      <c r="N329" s="83"/>
      <c r="O329" s="83"/>
      <c r="U329" s="1"/>
      <c r="V329" s="1"/>
      <c r="W329" s="1"/>
      <c r="X329" s="1"/>
      <c r="AC329" s="1">
        <v>3532</v>
      </c>
      <c r="AD329" s="1">
        <v>64114.000000060798</v>
      </c>
      <c r="AG329">
        <v>3532</v>
      </c>
      <c r="AH329">
        <v>6365904.9999976102</v>
      </c>
    </row>
    <row r="330" spans="4:34">
      <c r="D330" s="78"/>
      <c r="E330" s="175"/>
      <c r="F330" s="175"/>
      <c r="G330" s="175"/>
      <c r="H330" s="175"/>
      <c r="I330" s="175"/>
      <c r="J330" s="78"/>
      <c r="K330" s="79"/>
      <c r="L330" s="83"/>
      <c r="M330" s="83"/>
      <c r="N330" s="83"/>
      <c r="O330" s="83"/>
      <c r="U330" s="1"/>
      <c r="V330" s="1"/>
      <c r="W330" s="1"/>
      <c r="X330" s="1"/>
      <c r="AC330" s="1">
        <v>3532.5</v>
      </c>
      <c r="AD330" s="1">
        <v>64307.249999905398</v>
      </c>
      <c r="AG330">
        <v>3532.5</v>
      </c>
      <c r="AH330">
        <v>6398010.3100026101</v>
      </c>
    </row>
    <row r="331" spans="4:34">
      <c r="D331" s="78"/>
      <c r="E331" s="175"/>
      <c r="F331" s="175"/>
      <c r="G331" s="175"/>
      <c r="H331" s="175"/>
      <c r="I331" s="175"/>
      <c r="J331" s="78"/>
      <c r="K331" s="79"/>
      <c r="L331" s="83"/>
      <c r="M331" s="83"/>
      <c r="N331" s="83"/>
      <c r="O331" s="83"/>
      <c r="U331" s="1"/>
      <c r="V331" s="1"/>
      <c r="W331" s="1"/>
      <c r="X331" s="1"/>
      <c r="AC331" s="1">
        <v>3533</v>
      </c>
      <c r="AD331" s="1">
        <v>64500.499999997097</v>
      </c>
      <c r="AG331">
        <v>3533</v>
      </c>
      <c r="AH331">
        <v>6430212.2499995297</v>
      </c>
    </row>
    <row r="332" spans="4:34">
      <c r="D332" s="78"/>
      <c r="E332" s="175"/>
      <c r="F332" s="175"/>
      <c r="G332" s="175"/>
      <c r="H332" s="175"/>
      <c r="I332" s="175"/>
      <c r="J332" s="78"/>
      <c r="K332" s="79"/>
      <c r="L332" s="83"/>
      <c r="M332" s="83"/>
      <c r="N332" s="83"/>
      <c r="O332" s="83"/>
      <c r="U332" s="1"/>
      <c r="V332" s="1"/>
      <c r="W332" s="1"/>
      <c r="X332" s="1"/>
      <c r="AC332" s="1">
        <v>3533.5</v>
      </c>
      <c r="AD332" s="1">
        <v>64693.750000088898</v>
      </c>
      <c r="AG332">
        <v>3533.5</v>
      </c>
      <c r="AH332">
        <v>6462510.8100003898</v>
      </c>
    </row>
    <row r="333" spans="4:34">
      <c r="D333" s="78"/>
      <c r="E333" s="175"/>
      <c r="F333" s="175"/>
      <c r="G333" s="175"/>
      <c r="H333" s="175"/>
      <c r="I333" s="175"/>
      <c r="J333" s="78"/>
      <c r="K333" s="79"/>
      <c r="L333" s="83"/>
      <c r="M333" s="83"/>
      <c r="N333" s="83"/>
      <c r="O333" s="83"/>
      <c r="U333" s="1"/>
      <c r="V333" s="1"/>
      <c r="W333" s="1"/>
      <c r="X333" s="1"/>
      <c r="AC333" s="1">
        <v>3534</v>
      </c>
      <c r="AD333" s="1">
        <v>64886.999999933498</v>
      </c>
      <c r="AG333">
        <v>3534</v>
      </c>
      <c r="AH333">
        <v>6494906.0000012796</v>
      </c>
    </row>
    <row r="334" spans="4:34">
      <c r="D334" s="78"/>
      <c r="E334" s="175"/>
      <c r="F334" s="175"/>
      <c r="G334" s="175"/>
      <c r="H334" s="175"/>
      <c r="I334" s="175"/>
      <c r="J334" s="78"/>
      <c r="K334" s="79"/>
      <c r="L334" s="83"/>
      <c r="M334" s="83"/>
      <c r="N334" s="83"/>
      <c r="O334" s="83"/>
      <c r="U334" s="1"/>
      <c r="V334" s="1"/>
      <c r="W334" s="1"/>
      <c r="X334" s="1"/>
      <c r="AC334" s="1">
        <v>3534.5</v>
      </c>
      <c r="AD334" s="1">
        <v>65080.250000025197</v>
      </c>
      <c r="AG334">
        <v>3534.5</v>
      </c>
      <c r="AH334">
        <v>6527397.809998</v>
      </c>
    </row>
    <row r="335" spans="4:34">
      <c r="D335" s="78"/>
      <c r="E335" s="175"/>
      <c r="F335" s="175"/>
      <c r="G335" s="175"/>
      <c r="H335" s="175"/>
      <c r="I335" s="175"/>
      <c r="J335" s="78"/>
      <c r="K335" s="79"/>
      <c r="L335" s="83"/>
      <c r="M335" s="83"/>
      <c r="N335" s="83"/>
      <c r="O335" s="83"/>
      <c r="U335" s="1"/>
      <c r="V335" s="1"/>
      <c r="W335" s="1"/>
      <c r="X335" s="1"/>
      <c r="AC335" s="1">
        <v>3535</v>
      </c>
      <c r="AD335" s="1">
        <v>65273.500000116903</v>
      </c>
      <c r="AG335">
        <v>3535</v>
      </c>
      <c r="AH335">
        <v>6559986.2500028601</v>
      </c>
    </row>
    <row r="336" spans="4:34">
      <c r="D336" s="78"/>
      <c r="E336" s="175"/>
      <c r="F336" s="175"/>
      <c r="G336" s="175"/>
      <c r="H336" s="175"/>
      <c r="I336" s="175"/>
      <c r="J336" s="78"/>
      <c r="K336" s="79"/>
      <c r="L336" s="83"/>
      <c r="M336" s="83"/>
      <c r="N336" s="83"/>
      <c r="O336" s="83"/>
      <c r="U336" s="1"/>
      <c r="V336" s="1"/>
      <c r="W336" s="1"/>
      <c r="X336" s="1"/>
      <c r="AC336" s="1">
        <v>3535.5</v>
      </c>
      <c r="AD336" s="1">
        <v>65466.749999961597</v>
      </c>
      <c r="AG336">
        <v>3535.5</v>
      </c>
      <c r="AH336">
        <v>6592671.3100035498</v>
      </c>
    </row>
    <row r="337" spans="4:34">
      <c r="D337" s="78"/>
      <c r="E337" s="175"/>
      <c r="F337" s="175"/>
      <c r="G337" s="175"/>
      <c r="H337" s="175"/>
      <c r="I337" s="175"/>
      <c r="J337" s="78"/>
      <c r="K337" s="79"/>
      <c r="L337" s="83"/>
      <c r="M337" s="83"/>
      <c r="N337" s="83"/>
      <c r="O337" s="83"/>
      <c r="U337" s="1"/>
      <c r="V337" s="1"/>
      <c r="W337" s="1"/>
      <c r="X337" s="1"/>
      <c r="AC337" s="1">
        <v>3536</v>
      </c>
      <c r="AD337" s="1">
        <v>65660.000000053304</v>
      </c>
      <c r="AG337">
        <v>3536</v>
      </c>
      <c r="AH337">
        <v>6625452.9999961602</v>
      </c>
    </row>
    <row r="338" spans="4:34">
      <c r="D338" s="78"/>
      <c r="E338" s="175"/>
      <c r="F338" s="175"/>
      <c r="G338" s="175"/>
      <c r="H338" s="175"/>
      <c r="I338" s="175"/>
      <c r="J338" s="78"/>
      <c r="K338" s="79"/>
      <c r="L338" s="83"/>
      <c r="M338" s="83"/>
      <c r="N338" s="83"/>
      <c r="O338" s="83"/>
      <c r="U338" s="1"/>
      <c r="V338" s="1"/>
      <c r="W338" s="1"/>
      <c r="X338" s="1"/>
      <c r="AC338" s="1">
        <v>3536.5</v>
      </c>
      <c r="AD338" s="1">
        <v>65853.249999897904</v>
      </c>
      <c r="AG338">
        <v>3536.5</v>
      </c>
      <c r="AH338">
        <v>6658331.3100008201</v>
      </c>
    </row>
    <row r="339" spans="4:34">
      <c r="D339" s="78"/>
      <c r="E339" s="175"/>
      <c r="F339" s="175"/>
      <c r="G339" s="175"/>
      <c r="H339" s="175"/>
      <c r="I339" s="175"/>
      <c r="J339" s="78"/>
      <c r="K339" s="79"/>
      <c r="L339" s="83"/>
      <c r="M339" s="83"/>
      <c r="N339" s="83"/>
      <c r="O339" s="83"/>
      <c r="U339" s="1"/>
      <c r="V339" s="1"/>
      <c r="W339" s="1"/>
      <c r="X339" s="1"/>
      <c r="AC339" s="1">
        <v>3537</v>
      </c>
      <c r="AD339" s="1">
        <v>66046.499999989595</v>
      </c>
      <c r="AG339">
        <v>3537</v>
      </c>
      <c r="AH339">
        <v>6691306.2499973997</v>
      </c>
    </row>
    <row r="340" spans="4:34">
      <c r="D340" s="78"/>
      <c r="E340" s="175"/>
      <c r="F340" s="175"/>
      <c r="G340" s="175"/>
      <c r="H340" s="175"/>
      <c r="I340" s="175"/>
      <c r="J340" s="78"/>
      <c r="K340" s="79"/>
      <c r="L340" s="83"/>
      <c r="M340" s="83"/>
      <c r="N340" s="83"/>
      <c r="O340" s="83"/>
      <c r="U340" s="1"/>
      <c r="V340" s="1"/>
      <c r="W340" s="1"/>
      <c r="X340" s="1"/>
      <c r="AC340" s="1">
        <v>3537.5</v>
      </c>
      <c r="AD340" s="1">
        <v>66239.750000081403</v>
      </c>
      <c r="AG340">
        <v>3537.5</v>
      </c>
      <c r="AH340">
        <v>6724377.8099979097</v>
      </c>
    </row>
    <row r="341" spans="4:34">
      <c r="D341" s="78"/>
      <c r="E341" s="175"/>
      <c r="F341" s="175"/>
      <c r="G341" s="175"/>
      <c r="H341" s="175"/>
      <c r="I341" s="175"/>
      <c r="J341" s="78"/>
      <c r="K341" s="79"/>
      <c r="L341" s="83"/>
      <c r="M341" s="83"/>
      <c r="N341" s="83"/>
      <c r="O341" s="83"/>
      <c r="U341" s="1"/>
      <c r="V341" s="1"/>
      <c r="W341" s="1"/>
      <c r="X341" s="1"/>
      <c r="AC341" s="1">
        <v>3538</v>
      </c>
      <c r="AD341" s="1">
        <v>66432.999999926004</v>
      </c>
      <c r="AG341">
        <v>3538</v>
      </c>
      <c r="AH341">
        <v>6757545.9999984596</v>
      </c>
    </row>
    <row r="342" spans="4:34">
      <c r="D342" s="78"/>
      <c r="E342" s="175"/>
      <c r="F342" s="175"/>
      <c r="G342" s="175"/>
      <c r="H342" s="175"/>
      <c r="I342" s="175"/>
      <c r="J342" s="78"/>
      <c r="K342" s="79"/>
      <c r="L342" s="83"/>
      <c r="M342" s="83"/>
      <c r="N342" s="83"/>
      <c r="O342" s="83"/>
      <c r="U342" s="1"/>
      <c r="V342" s="1"/>
      <c r="W342" s="1"/>
      <c r="X342" s="1"/>
      <c r="AC342" s="1">
        <v>3538.5</v>
      </c>
      <c r="AD342" s="1">
        <v>66626.250000017695</v>
      </c>
      <c r="AG342">
        <v>3538.5</v>
      </c>
      <c r="AH342">
        <v>6790810.8100029398</v>
      </c>
    </row>
    <row r="343" spans="4:34">
      <c r="D343" s="78"/>
      <c r="E343" s="175"/>
      <c r="F343" s="175"/>
      <c r="G343" s="175"/>
      <c r="H343" s="175"/>
      <c r="I343" s="175"/>
      <c r="J343" s="78"/>
      <c r="K343" s="79"/>
      <c r="L343" s="83"/>
      <c r="M343" s="83"/>
      <c r="N343" s="83"/>
      <c r="O343" s="83"/>
      <c r="U343" s="1"/>
      <c r="V343" s="1"/>
      <c r="W343" s="1"/>
      <c r="X343" s="1"/>
      <c r="AC343" s="1">
        <v>3539</v>
      </c>
      <c r="AD343" s="1">
        <v>66819.500000109401</v>
      </c>
      <c r="AG343">
        <v>3539</v>
      </c>
      <c r="AH343">
        <v>6824172.2499993499</v>
      </c>
    </row>
    <row r="344" spans="4:34">
      <c r="D344" s="78"/>
      <c r="E344" s="175"/>
      <c r="F344" s="175"/>
      <c r="G344" s="175"/>
      <c r="H344" s="175"/>
      <c r="I344" s="175"/>
      <c r="J344" s="78"/>
      <c r="K344" s="79"/>
      <c r="L344" s="83"/>
      <c r="M344" s="83"/>
      <c r="N344" s="83"/>
      <c r="O344" s="83"/>
      <c r="U344" s="1"/>
      <c r="V344" s="1"/>
      <c r="W344" s="1"/>
      <c r="X344" s="1"/>
      <c r="AC344" s="1">
        <v>3539.5</v>
      </c>
      <c r="AD344" s="1">
        <v>67012.749999954001</v>
      </c>
      <c r="AG344">
        <v>3539.5</v>
      </c>
      <c r="AH344">
        <v>6857630.3099996997</v>
      </c>
    </row>
    <row r="345" spans="4:34">
      <c r="D345" s="78"/>
      <c r="E345" s="175"/>
      <c r="F345" s="175"/>
      <c r="G345" s="175"/>
      <c r="H345" s="175"/>
      <c r="I345" s="175"/>
      <c r="J345" s="78"/>
      <c r="K345" s="79"/>
      <c r="L345" s="83"/>
      <c r="M345" s="83"/>
      <c r="N345" s="83"/>
      <c r="O345" s="83"/>
      <c r="U345" s="1"/>
      <c r="V345" s="1"/>
      <c r="W345" s="1"/>
      <c r="X345" s="1"/>
      <c r="AC345" s="1">
        <v>3540</v>
      </c>
      <c r="AD345" s="1">
        <v>67206.000000045795</v>
      </c>
      <c r="AG345">
        <v>3540</v>
      </c>
      <c r="AH345">
        <v>6891185.0000000698</v>
      </c>
    </row>
    <row r="346" spans="4:34">
      <c r="D346" s="78"/>
      <c r="E346" s="175"/>
      <c r="F346" s="175"/>
      <c r="G346" s="175"/>
      <c r="H346" s="175"/>
      <c r="I346" s="175"/>
      <c r="J346" s="78"/>
      <c r="K346" s="79"/>
      <c r="L346" s="83"/>
      <c r="M346" s="83"/>
      <c r="N346" s="83"/>
      <c r="O346" s="83"/>
      <c r="U346" s="1"/>
      <c r="V346" s="1"/>
      <c r="W346" s="1"/>
      <c r="X346" s="1"/>
      <c r="AC346" s="1">
        <v>3540.5</v>
      </c>
      <c r="AD346" s="1">
        <v>67425.369999951406</v>
      </c>
      <c r="AG346">
        <v>3540.5</v>
      </c>
      <c r="AH346">
        <v>6924842.8399991998</v>
      </c>
    </row>
    <row r="347" spans="4:34">
      <c r="D347" s="78"/>
      <c r="E347" s="175"/>
      <c r="F347" s="175"/>
      <c r="G347" s="175"/>
      <c r="H347" s="175"/>
      <c r="I347" s="175"/>
      <c r="J347" s="78"/>
      <c r="K347" s="79"/>
      <c r="L347" s="83"/>
      <c r="M347" s="83"/>
      <c r="N347" s="83"/>
      <c r="O347" s="83"/>
      <c r="U347" s="1"/>
      <c r="V347" s="1"/>
      <c r="W347" s="1"/>
      <c r="X347" s="1"/>
      <c r="AC347" s="1">
        <v>3541</v>
      </c>
      <c r="AD347" s="1">
        <v>67644.749999964697</v>
      </c>
      <c r="AG347">
        <v>3541</v>
      </c>
      <c r="AH347">
        <v>6958610.3699960802</v>
      </c>
    </row>
    <row r="348" spans="4:34">
      <c r="D348" s="78"/>
      <c r="E348" s="175"/>
      <c r="F348" s="175"/>
      <c r="G348" s="175"/>
      <c r="H348" s="175"/>
      <c r="I348" s="175"/>
      <c r="J348" s="78"/>
      <c r="K348" s="79"/>
      <c r="L348" s="83"/>
      <c r="M348" s="83"/>
      <c r="N348" s="83"/>
      <c r="O348" s="83"/>
      <c r="U348" s="1"/>
      <c r="V348" s="1"/>
      <c r="W348" s="1"/>
      <c r="X348" s="1"/>
      <c r="AC348" s="1">
        <v>3541.5</v>
      </c>
      <c r="AD348" s="1">
        <v>67864.120000117502</v>
      </c>
      <c r="AG348">
        <v>3541.5</v>
      </c>
      <c r="AH348">
        <v>6992487.5899988404</v>
      </c>
    </row>
    <row r="349" spans="4:34">
      <c r="D349" s="78"/>
      <c r="E349" s="175"/>
      <c r="F349" s="175"/>
      <c r="G349" s="175"/>
      <c r="H349" s="175"/>
      <c r="I349" s="175"/>
      <c r="J349" s="78"/>
      <c r="K349" s="79"/>
      <c r="L349" s="83"/>
      <c r="M349" s="83"/>
      <c r="N349" s="83"/>
      <c r="O349" s="83"/>
      <c r="U349" s="1"/>
      <c r="V349" s="1"/>
      <c r="W349" s="1"/>
      <c r="X349" s="1"/>
      <c r="AC349" s="1">
        <v>3542</v>
      </c>
      <c r="AD349" s="1">
        <v>68083.499999883701</v>
      </c>
      <c r="AG349">
        <v>3542</v>
      </c>
      <c r="AH349">
        <v>7026474.4999993499</v>
      </c>
    </row>
    <row r="350" spans="4:34">
      <c r="D350" s="78"/>
      <c r="E350" s="175"/>
      <c r="F350" s="175"/>
      <c r="G350" s="175"/>
      <c r="H350" s="175"/>
      <c r="I350" s="175"/>
      <c r="J350" s="78"/>
      <c r="K350" s="79"/>
      <c r="L350" s="83"/>
      <c r="M350" s="83"/>
      <c r="N350" s="83"/>
      <c r="O350" s="83"/>
      <c r="U350" s="1"/>
      <c r="V350" s="1"/>
      <c r="W350" s="1"/>
      <c r="X350" s="1"/>
      <c r="AC350" s="1">
        <v>3542.5</v>
      </c>
      <c r="AD350" s="1">
        <v>68302.870000036404</v>
      </c>
      <c r="AG350">
        <v>3542.5</v>
      </c>
      <c r="AH350">
        <v>7060571.0900015403</v>
      </c>
    </row>
    <row r="351" spans="4:34">
      <c r="D351" s="78"/>
      <c r="E351" s="175"/>
      <c r="F351" s="175"/>
      <c r="G351" s="175"/>
      <c r="H351" s="175"/>
      <c r="I351" s="175"/>
      <c r="J351" s="78"/>
      <c r="K351" s="79"/>
      <c r="L351" s="83"/>
      <c r="M351" s="83"/>
      <c r="N351" s="83"/>
      <c r="O351" s="83"/>
      <c r="U351" s="1"/>
      <c r="V351" s="1"/>
      <c r="W351" s="1"/>
      <c r="X351" s="1"/>
      <c r="AC351" s="1">
        <v>3543</v>
      </c>
      <c r="AD351" s="1">
        <v>68522.250000049695</v>
      </c>
      <c r="AG351">
        <v>3543</v>
      </c>
      <c r="AH351">
        <v>7094777.3700014902</v>
      </c>
    </row>
    <row r="352" spans="4:34">
      <c r="D352" s="78"/>
      <c r="E352" s="175"/>
      <c r="F352" s="175"/>
      <c r="G352" s="175"/>
      <c r="H352" s="175"/>
      <c r="I352" s="175"/>
      <c r="J352" s="78"/>
      <c r="K352" s="79"/>
      <c r="L352" s="83"/>
      <c r="M352" s="83"/>
      <c r="N352" s="83"/>
      <c r="O352" s="83"/>
      <c r="U352" s="1"/>
      <c r="V352" s="1"/>
      <c r="W352" s="1"/>
      <c r="X352" s="1"/>
      <c r="AC352" s="1">
        <v>3543.5</v>
      </c>
      <c r="AD352" s="1">
        <v>68741.619999955394</v>
      </c>
      <c r="AG352">
        <v>3543.5</v>
      </c>
      <c r="AH352">
        <v>7129093.3399991998</v>
      </c>
    </row>
    <row r="353" spans="4:34">
      <c r="D353" s="78"/>
      <c r="E353" s="175"/>
      <c r="F353" s="175"/>
      <c r="G353" s="175"/>
      <c r="H353" s="175"/>
      <c r="I353" s="175"/>
      <c r="J353" s="78"/>
      <c r="K353" s="79"/>
      <c r="L353" s="83"/>
      <c r="M353" s="83"/>
      <c r="N353" s="83"/>
      <c r="O353" s="83"/>
      <c r="U353" s="1"/>
      <c r="V353" s="1"/>
      <c r="W353" s="1"/>
      <c r="X353" s="1"/>
      <c r="AC353" s="1">
        <v>3544</v>
      </c>
      <c r="AD353" s="1">
        <v>68960.999999968699</v>
      </c>
      <c r="AG353">
        <v>3544</v>
      </c>
      <c r="AH353">
        <v>7163519.0000027698</v>
      </c>
    </row>
    <row r="354" spans="4:34">
      <c r="D354" s="78"/>
      <c r="E354" s="175"/>
      <c r="F354" s="175"/>
      <c r="G354" s="175"/>
      <c r="H354" s="175"/>
      <c r="I354" s="175"/>
      <c r="J354" s="78"/>
      <c r="K354" s="79"/>
      <c r="L354" s="83"/>
      <c r="M354" s="83"/>
      <c r="N354" s="83"/>
      <c r="O354" s="83"/>
      <c r="U354" s="1"/>
      <c r="V354" s="1"/>
      <c r="W354" s="1"/>
      <c r="X354" s="1"/>
      <c r="AC354" s="1">
        <v>3544.5</v>
      </c>
      <c r="AD354" s="1">
        <v>69180.370000121402</v>
      </c>
      <c r="AG354">
        <v>3544.5</v>
      </c>
      <c r="AH354">
        <v>7198054.3399999104</v>
      </c>
    </row>
    <row r="355" spans="4:34">
      <c r="D355" s="78"/>
      <c r="E355" s="175"/>
      <c r="F355" s="175"/>
      <c r="G355" s="175"/>
      <c r="H355" s="175"/>
      <c r="I355" s="175"/>
      <c r="J355" s="78"/>
      <c r="K355" s="79"/>
      <c r="L355" s="83"/>
      <c r="M355" s="83"/>
      <c r="N355" s="83"/>
      <c r="O355" s="83"/>
      <c r="U355" s="1"/>
      <c r="V355" s="1"/>
      <c r="W355" s="1"/>
      <c r="X355" s="1"/>
      <c r="AC355" s="1">
        <v>3545</v>
      </c>
      <c r="AD355" s="1">
        <v>69399.749999887601</v>
      </c>
      <c r="AG355">
        <v>3545</v>
      </c>
      <c r="AH355">
        <v>7232699.3700029198</v>
      </c>
    </row>
    <row r="356" spans="4:34">
      <c r="D356" s="78"/>
      <c r="E356" s="175"/>
      <c r="F356" s="175"/>
      <c r="G356" s="175"/>
      <c r="H356" s="175"/>
      <c r="I356" s="175"/>
      <c r="J356" s="78"/>
      <c r="K356" s="79"/>
      <c r="L356" s="83"/>
      <c r="M356" s="83"/>
      <c r="N356" s="83"/>
      <c r="O356" s="83"/>
      <c r="U356" s="1"/>
      <c r="V356" s="1"/>
      <c r="W356" s="1"/>
      <c r="X356" s="1"/>
      <c r="AC356" s="1">
        <v>3545.5</v>
      </c>
      <c r="AD356" s="1">
        <v>69619.120000040406</v>
      </c>
      <c r="AG356">
        <v>3545.5</v>
      </c>
      <c r="AH356">
        <v>7267454.0900036898</v>
      </c>
    </row>
    <row r="357" spans="4:34">
      <c r="D357" s="78"/>
      <c r="E357" s="175"/>
      <c r="F357" s="175"/>
      <c r="G357" s="175"/>
      <c r="H357" s="175"/>
      <c r="I357" s="175"/>
      <c r="J357" s="78"/>
      <c r="K357" s="79"/>
      <c r="L357" s="83"/>
      <c r="M357" s="83"/>
      <c r="N357" s="83"/>
      <c r="O357" s="83"/>
      <c r="U357" s="1"/>
      <c r="V357" s="1"/>
      <c r="W357" s="1"/>
      <c r="X357" s="1"/>
      <c r="AC357" s="1">
        <v>3546</v>
      </c>
      <c r="AD357" s="1">
        <v>69838.500000053697</v>
      </c>
      <c r="AG357">
        <v>3546</v>
      </c>
      <c r="AH357">
        <v>7302318.5000022203</v>
      </c>
    </row>
    <row r="358" spans="4:34">
      <c r="D358" s="78"/>
      <c r="E358" s="175"/>
      <c r="F358" s="175"/>
      <c r="G358" s="175"/>
      <c r="H358" s="175"/>
      <c r="I358" s="175"/>
      <c r="J358" s="78"/>
      <c r="K358" s="79"/>
      <c r="L358" s="83"/>
      <c r="M358" s="83"/>
      <c r="N358" s="83"/>
      <c r="O358" s="83"/>
      <c r="U358" s="1"/>
      <c r="V358" s="1"/>
      <c r="W358" s="1"/>
      <c r="X358" s="1"/>
      <c r="AC358" s="1">
        <v>3546.5</v>
      </c>
      <c r="AD358" s="1">
        <v>70057.869999959294</v>
      </c>
      <c r="AG358">
        <v>3546.5</v>
      </c>
      <c r="AH358">
        <v>7337292.5900024297</v>
      </c>
    </row>
    <row r="359" spans="4:34">
      <c r="D359" s="78"/>
      <c r="E359" s="175"/>
      <c r="F359" s="175"/>
      <c r="G359" s="175"/>
      <c r="H359" s="175"/>
      <c r="I359" s="175"/>
      <c r="J359" s="78"/>
      <c r="K359" s="79"/>
      <c r="L359" s="83"/>
      <c r="M359" s="83"/>
      <c r="N359" s="83"/>
      <c r="O359" s="83"/>
      <c r="U359" s="1"/>
      <c r="V359" s="1"/>
      <c r="W359" s="1"/>
      <c r="X359" s="1"/>
      <c r="AC359" s="1">
        <v>3547</v>
      </c>
      <c r="AD359" s="1">
        <v>70277.249999972599</v>
      </c>
      <c r="AG359">
        <v>3547</v>
      </c>
      <c r="AH359">
        <v>7372376.3700003903</v>
      </c>
    </row>
    <row r="360" spans="4:34">
      <c r="D360" s="78"/>
      <c r="E360" s="175"/>
      <c r="F360" s="175"/>
      <c r="G360" s="175"/>
      <c r="H360" s="175"/>
      <c r="I360" s="175"/>
      <c r="J360" s="78"/>
      <c r="K360" s="79"/>
      <c r="L360" s="83"/>
      <c r="M360" s="83"/>
      <c r="N360" s="83"/>
      <c r="O360" s="83"/>
      <c r="U360" s="1"/>
      <c r="V360" s="1"/>
      <c r="W360" s="1"/>
      <c r="X360" s="1"/>
      <c r="AC360" s="1">
        <v>3547.5</v>
      </c>
      <c r="AD360" s="1">
        <v>70496.619999878298</v>
      </c>
      <c r="AG360">
        <v>3547.5</v>
      </c>
      <c r="AH360">
        <v>7407569.8399961097</v>
      </c>
    </row>
    <row r="361" spans="4:34">
      <c r="D361" s="78"/>
      <c r="E361" s="175"/>
      <c r="F361" s="175"/>
      <c r="G361" s="175"/>
      <c r="H361" s="175"/>
      <c r="I361" s="175"/>
      <c r="J361" s="78"/>
      <c r="K361" s="79"/>
      <c r="L361" s="83"/>
      <c r="M361" s="83"/>
      <c r="N361" s="83"/>
      <c r="O361" s="83"/>
      <c r="U361" s="1"/>
      <c r="V361" s="1"/>
      <c r="W361" s="1"/>
      <c r="X361" s="1"/>
      <c r="AC361" s="1">
        <v>3548</v>
      </c>
      <c r="AD361" s="1">
        <v>70715.999999891603</v>
      </c>
      <c r="AG361">
        <v>3548</v>
      </c>
      <c r="AH361">
        <v>7442872.9999977099</v>
      </c>
    </row>
    <row r="362" spans="4:34">
      <c r="D362" s="78"/>
      <c r="E362" s="175"/>
      <c r="F362" s="175"/>
      <c r="G362" s="175"/>
      <c r="H362" s="175"/>
      <c r="I362" s="175"/>
      <c r="J362" s="78"/>
      <c r="K362" s="79"/>
      <c r="L362" s="83"/>
      <c r="M362" s="83"/>
      <c r="N362" s="83"/>
      <c r="O362" s="83"/>
      <c r="U362" s="1"/>
      <c r="V362" s="1"/>
      <c r="W362" s="1"/>
      <c r="X362" s="1"/>
      <c r="AC362" s="1">
        <v>3548.5</v>
      </c>
      <c r="AD362" s="1">
        <v>70935.370000044306</v>
      </c>
      <c r="AG362">
        <v>3548.5</v>
      </c>
      <c r="AH362">
        <v>7478285.8400009703</v>
      </c>
    </row>
    <row r="363" spans="4:34">
      <c r="D363" s="78"/>
      <c r="E363" s="175"/>
      <c r="F363" s="175"/>
      <c r="G363" s="175"/>
      <c r="H363" s="175"/>
      <c r="I363" s="175"/>
      <c r="J363" s="78"/>
      <c r="K363" s="79"/>
      <c r="L363" s="83"/>
      <c r="M363" s="83"/>
      <c r="N363" s="83"/>
      <c r="O363" s="83"/>
      <c r="U363" s="1"/>
      <c r="V363" s="1"/>
      <c r="W363" s="1"/>
      <c r="X363" s="1"/>
      <c r="AC363" s="1">
        <v>3549</v>
      </c>
      <c r="AD363" s="1">
        <v>71154.750000057596</v>
      </c>
      <c r="AG363">
        <v>3549</v>
      </c>
      <c r="AH363">
        <v>7513808.3700019903</v>
      </c>
    </row>
    <row r="364" spans="4:34">
      <c r="D364" s="78"/>
      <c r="E364" s="175"/>
      <c r="F364" s="175"/>
      <c r="G364" s="175"/>
      <c r="H364" s="175"/>
      <c r="I364" s="175"/>
      <c r="J364" s="78"/>
      <c r="K364" s="79"/>
      <c r="L364" s="83"/>
      <c r="M364" s="83"/>
      <c r="N364" s="83"/>
      <c r="O364" s="83"/>
      <c r="U364" s="1"/>
      <c r="V364" s="1"/>
      <c r="W364" s="1"/>
      <c r="X364" s="1"/>
      <c r="AC364" s="1">
        <v>3549.5</v>
      </c>
      <c r="AD364" s="1">
        <v>71374.119999963295</v>
      </c>
      <c r="AG364">
        <v>3549.5</v>
      </c>
      <c r="AH364">
        <v>7549440.5900007803</v>
      </c>
    </row>
    <row r="365" spans="4:34">
      <c r="D365" s="78"/>
      <c r="E365" s="175"/>
      <c r="F365" s="175"/>
      <c r="G365" s="175"/>
      <c r="H365" s="175"/>
      <c r="I365" s="175"/>
      <c r="J365" s="78"/>
      <c r="K365" s="79"/>
      <c r="L365" s="83"/>
      <c r="M365" s="83"/>
      <c r="N365" s="83"/>
      <c r="O365" s="83"/>
      <c r="U365" s="1"/>
      <c r="V365" s="1"/>
      <c r="W365" s="1"/>
      <c r="X365" s="1"/>
      <c r="AC365" s="1">
        <v>3550</v>
      </c>
      <c r="AD365" s="1">
        <v>71593.499999976601</v>
      </c>
      <c r="AG365">
        <v>3550</v>
      </c>
      <c r="AH365">
        <v>7585182.4999973299</v>
      </c>
    </row>
    <row r="366" spans="4:34">
      <c r="D366" s="78"/>
      <c r="E366" s="175"/>
      <c r="F366" s="175"/>
      <c r="G366" s="175"/>
      <c r="H366" s="175"/>
      <c r="I366" s="175"/>
      <c r="J366" s="78"/>
      <c r="K366" s="79"/>
      <c r="L366" s="83"/>
      <c r="M366" s="83"/>
      <c r="N366" s="83"/>
      <c r="O366" s="83"/>
      <c r="U366" s="1"/>
      <c r="V366" s="1"/>
      <c r="W366" s="1"/>
      <c r="X366" s="1"/>
      <c r="AC366" s="1">
        <v>3550.5</v>
      </c>
      <c r="AD366" s="1">
        <v>71812.869999882198</v>
      </c>
      <c r="AG366">
        <v>3550.5</v>
      </c>
      <c r="AH366">
        <v>7621034.0900036497</v>
      </c>
    </row>
    <row r="367" spans="4:34">
      <c r="D367" s="78"/>
      <c r="E367" s="175"/>
      <c r="F367" s="175"/>
      <c r="G367" s="175"/>
      <c r="H367" s="175"/>
      <c r="I367" s="175"/>
      <c r="J367" s="78"/>
      <c r="K367" s="79"/>
      <c r="L367" s="83"/>
      <c r="M367" s="83"/>
      <c r="N367" s="83"/>
      <c r="O367" s="83"/>
      <c r="U367" s="1"/>
      <c r="V367" s="1"/>
      <c r="W367" s="1"/>
      <c r="X367" s="1"/>
      <c r="AC367" s="1">
        <v>3551</v>
      </c>
      <c r="AD367" s="1">
        <v>72032.249999895503</v>
      </c>
      <c r="AG367">
        <v>3551</v>
      </c>
      <c r="AH367">
        <v>7656995.3699996304</v>
      </c>
    </row>
    <row r="368" spans="4:34">
      <c r="D368" s="78"/>
      <c r="E368" s="175"/>
      <c r="F368" s="175"/>
      <c r="G368" s="175"/>
      <c r="H368" s="175"/>
      <c r="I368" s="175"/>
      <c r="J368" s="78"/>
      <c r="K368" s="79"/>
      <c r="L368" s="83"/>
      <c r="M368" s="83"/>
      <c r="N368" s="83"/>
      <c r="O368" s="83"/>
      <c r="U368" s="1"/>
      <c r="V368" s="1"/>
      <c r="W368" s="1"/>
      <c r="X368" s="1"/>
      <c r="AC368" s="1">
        <v>3551.5</v>
      </c>
      <c r="AD368" s="1">
        <v>72251.620000048293</v>
      </c>
      <c r="AG368">
        <v>3551.5</v>
      </c>
      <c r="AH368">
        <v>7693066.3400014797</v>
      </c>
    </row>
    <row r="369" spans="4:34">
      <c r="D369" s="78"/>
      <c r="E369" s="175"/>
      <c r="F369" s="175"/>
      <c r="G369" s="175"/>
      <c r="H369" s="175"/>
      <c r="I369" s="175"/>
      <c r="J369" s="78"/>
      <c r="K369" s="79"/>
      <c r="L369" s="83"/>
      <c r="M369" s="83"/>
      <c r="N369" s="83"/>
      <c r="O369" s="83"/>
      <c r="U369" s="1"/>
      <c r="V369" s="1"/>
      <c r="W369" s="1"/>
      <c r="X369" s="1"/>
      <c r="AC369" s="1">
        <v>3552</v>
      </c>
      <c r="AD369" s="1">
        <v>72471.000000061598</v>
      </c>
      <c r="AG369">
        <v>3552</v>
      </c>
      <c r="AH369">
        <v>7729247.0000010803</v>
      </c>
    </row>
    <row r="370" spans="4:34">
      <c r="D370" s="78"/>
      <c r="E370" s="175"/>
      <c r="F370" s="175"/>
      <c r="G370" s="175"/>
      <c r="H370" s="175"/>
      <c r="I370" s="175"/>
      <c r="J370" s="78"/>
      <c r="K370" s="79"/>
      <c r="L370" s="83"/>
      <c r="M370" s="83"/>
      <c r="N370" s="83"/>
      <c r="O370" s="83"/>
      <c r="U370" s="1"/>
      <c r="V370" s="1"/>
      <c r="W370" s="1"/>
      <c r="X370" s="1"/>
      <c r="AC370" s="1">
        <v>3552.5</v>
      </c>
      <c r="AD370" s="1">
        <v>72690.369999967195</v>
      </c>
      <c r="AG370">
        <v>3552.5</v>
      </c>
      <c r="AH370">
        <v>7765537.3400023598</v>
      </c>
    </row>
    <row r="371" spans="4:34">
      <c r="D371" s="78"/>
      <c r="E371" s="175"/>
      <c r="F371" s="175"/>
      <c r="G371" s="175"/>
      <c r="H371" s="175"/>
      <c r="I371" s="175"/>
      <c r="J371" s="78"/>
      <c r="K371" s="79"/>
      <c r="L371" s="83"/>
      <c r="M371" s="83"/>
      <c r="N371" s="83"/>
      <c r="O371" s="83"/>
      <c r="U371" s="1"/>
      <c r="V371" s="1"/>
      <c r="W371" s="1"/>
      <c r="X371" s="1"/>
      <c r="AC371" s="1">
        <v>3553</v>
      </c>
      <c r="AD371" s="1">
        <v>72909.7499999805</v>
      </c>
      <c r="AG371">
        <v>3553</v>
      </c>
      <c r="AH371">
        <v>7801937.3700013999</v>
      </c>
    </row>
    <row r="372" spans="4:34">
      <c r="D372" s="78"/>
      <c r="E372" s="175"/>
      <c r="F372" s="175"/>
      <c r="G372" s="175"/>
      <c r="H372" s="175"/>
      <c r="I372" s="175"/>
      <c r="J372" s="78"/>
      <c r="K372" s="79"/>
      <c r="L372" s="83"/>
      <c r="M372" s="83"/>
      <c r="N372" s="83"/>
      <c r="O372" s="83"/>
      <c r="U372" s="1"/>
      <c r="V372" s="1"/>
      <c r="W372" s="1"/>
      <c r="X372" s="1"/>
      <c r="AC372" s="1">
        <v>3553.5</v>
      </c>
      <c r="AD372" s="1">
        <v>73129.119999886199</v>
      </c>
      <c r="AG372">
        <v>3553.5</v>
      </c>
      <c r="AH372">
        <v>7838447.0899981996</v>
      </c>
    </row>
    <row r="373" spans="4:34">
      <c r="D373" s="78"/>
      <c r="E373" s="175"/>
      <c r="F373" s="175"/>
      <c r="G373" s="175"/>
      <c r="H373" s="175"/>
      <c r="I373" s="175"/>
      <c r="J373" s="78"/>
      <c r="K373" s="79"/>
      <c r="L373" s="83"/>
      <c r="M373" s="83"/>
      <c r="N373" s="83"/>
      <c r="O373" s="83"/>
      <c r="U373" s="1"/>
      <c r="V373" s="1"/>
      <c r="W373" s="1"/>
      <c r="X373" s="1"/>
      <c r="AC373" s="1">
        <v>3554</v>
      </c>
      <c r="AD373" s="1">
        <v>73348.499999899504</v>
      </c>
      <c r="AG373">
        <v>3554</v>
      </c>
      <c r="AH373">
        <v>7875066.5000008699</v>
      </c>
    </row>
    <row r="374" spans="4:34">
      <c r="D374" s="78"/>
      <c r="E374" s="175"/>
      <c r="F374" s="175"/>
      <c r="G374" s="175"/>
      <c r="H374" s="175"/>
      <c r="I374" s="175"/>
      <c r="J374" s="78"/>
      <c r="K374" s="79"/>
      <c r="L374" s="83"/>
      <c r="M374" s="83"/>
      <c r="N374" s="83"/>
      <c r="O374" s="83"/>
      <c r="U374" s="1"/>
      <c r="V374" s="1"/>
      <c r="W374" s="1"/>
      <c r="X374" s="1"/>
      <c r="AC374" s="1">
        <v>3554.5</v>
      </c>
      <c r="AD374" s="1">
        <v>73567.870000052193</v>
      </c>
      <c r="AG374">
        <v>3554.5</v>
      </c>
      <c r="AH374">
        <v>7911795.5899970997</v>
      </c>
    </row>
    <row r="375" spans="4:34">
      <c r="D375" s="78"/>
      <c r="E375" s="175"/>
      <c r="F375" s="175"/>
      <c r="G375" s="175"/>
      <c r="H375" s="175"/>
      <c r="I375" s="175"/>
      <c r="J375" s="78"/>
      <c r="K375" s="79"/>
      <c r="L375" s="83"/>
      <c r="M375" s="83"/>
      <c r="N375" s="83"/>
      <c r="O375" s="83"/>
      <c r="U375" s="1"/>
      <c r="V375" s="1"/>
      <c r="W375" s="1"/>
      <c r="X375" s="1"/>
      <c r="AC375" s="1">
        <v>3555</v>
      </c>
      <c r="AD375" s="1">
        <v>73787.250000065498</v>
      </c>
      <c r="AG375">
        <v>3555</v>
      </c>
      <c r="AH375">
        <v>7948634.3699992104</v>
      </c>
    </row>
    <row r="376" spans="4:34">
      <c r="D376" s="78"/>
      <c r="E376" s="175"/>
      <c r="F376" s="175"/>
      <c r="G376" s="175"/>
      <c r="H376" s="175"/>
      <c r="I376" s="175"/>
      <c r="J376" s="78"/>
      <c r="K376" s="79"/>
      <c r="L376" s="83"/>
      <c r="M376" s="83"/>
      <c r="N376" s="83"/>
      <c r="O376" s="83"/>
      <c r="U376" s="1"/>
      <c r="V376" s="1"/>
      <c r="W376" s="1"/>
      <c r="X376" s="1"/>
      <c r="AC376" s="1">
        <v>3555.5</v>
      </c>
      <c r="AD376" s="1">
        <v>74006.619999971197</v>
      </c>
      <c r="AG376">
        <v>3555.5</v>
      </c>
      <c r="AH376">
        <v>7985582.8399990704</v>
      </c>
    </row>
    <row r="377" spans="4:34">
      <c r="D377" s="78"/>
      <c r="E377" s="175"/>
      <c r="F377" s="175"/>
      <c r="G377" s="175"/>
      <c r="H377" s="175"/>
      <c r="I377" s="175"/>
      <c r="J377" s="78"/>
      <c r="K377" s="79"/>
      <c r="L377" s="83"/>
      <c r="M377" s="83"/>
      <c r="N377" s="83"/>
      <c r="O377" s="83"/>
      <c r="U377" s="1"/>
      <c r="V377" s="1"/>
      <c r="W377" s="1"/>
      <c r="X377" s="1"/>
      <c r="AC377" s="1">
        <v>3556</v>
      </c>
      <c r="AD377" s="1">
        <v>74225.999999984502</v>
      </c>
      <c r="AG377">
        <v>3556</v>
      </c>
      <c r="AH377">
        <v>8022640.9999966901</v>
      </c>
    </row>
    <row r="378" spans="4:34">
      <c r="D378" s="78"/>
      <c r="E378" s="175"/>
      <c r="F378" s="175"/>
      <c r="G378" s="175"/>
      <c r="H378" s="175"/>
      <c r="I378" s="175"/>
      <c r="J378" s="78"/>
      <c r="K378" s="79"/>
      <c r="L378" s="83"/>
      <c r="M378" s="83"/>
      <c r="N378" s="83"/>
      <c r="O378" s="83"/>
      <c r="U378" s="1"/>
      <c r="V378" s="1"/>
      <c r="W378" s="1"/>
      <c r="X378" s="1"/>
      <c r="AC378" s="1">
        <v>3556.5</v>
      </c>
      <c r="AD378" s="1">
        <v>74445.369999890099</v>
      </c>
      <c r="AG378">
        <v>3556.5</v>
      </c>
      <c r="AH378">
        <v>8059808.8399959803</v>
      </c>
    </row>
    <row r="379" spans="4:34">
      <c r="D379" s="78"/>
      <c r="E379" s="175"/>
      <c r="F379" s="175"/>
      <c r="G379" s="175"/>
      <c r="H379" s="175"/>
      <c r="I379" s="175"/>
      <c r="J379" s="78"/>
      <c r="K379" s="79"/>
      <c r="L379" s="83"/>
      <c r="M379" s="83"/>
      <c r="N379" s="83"/>
      <c r="O379" s="83"/>
      <c r="U379" s="1"/>
      <c r="V379" s="1"/>
      <c r="W379" s="1"/>
      <c r="X379" s="1"/>
      <c r="AC379" s="1">
        <v>3557</v>
      </c>
      <c r="AD379" s="1">
        <v>74664.749999903404</v>
      </c>
      <c r="AG379">
        <v>3557</v>
      </c>
      <c r="AH379">
        <v>8097086.3700011503</v>
      </c>
    </row>
    <row r="380" spans="4:34">
      <c r="D380" s="78"/>
      <c r="E380" s="175"/>
      <c r="F380" s="175"/>
      <c r="G380" s="175"/>
      <c r="H380" s="175"/>
      <c r="I380" s="175"/>
      <c r="J380" s="78"/>
      <c r="K380" s="79"/>
      <c r="L380" s="83"/>
      <c r="M380" s="83"/>
      <c r="N380" s="83"/>
      <c r="O380" s="83"/>
      <c r="U380" s="1"/>
      <c r="V380" s="1"/>
      <c r="W380" s="1"/>
      <c r="X380" s="1"/>
      <c r="AC380" s="1">
        <v>3557.5</v>
      </c>
      <c r="AD380" s="1">
        <v>74884.120000056195</v>
      </c>
      <c r="AG380">
        <v>3557.5</v>
      </c>
      <c r="AH380">
        <v>8134473.5900202803</v>
      </c>
    </row>
    <row r="381" spans="4:34">
      <c r="D381" s="78"/>
      <c r="E381" s="175"/>
      <c r="F381" s="175"/>
      <c r="G381" s="175"/>
      <c r="H381" s="175"/>
      <c r="I381" s="175"/>
      <c r="J381" s="78"/>
      <c r="K381" s="79"/>
      <c r="L381" s="83"/>
      <c r="M381" s="83"/>
      <c r="N381" s="83"/>
      <c r="O381" s="83"/>
      <c r="U381" s="1"/>
      <c r="V381" s="1"/>
      <c r="W381" s="1"/>
      <c r="X381" s="1"/>
      <c r="AC381" s="1">
        <v>3558</v>
      </c>
      <c r="AD381" s="1">
        <v>75103.5000000695</v>
      </c>
      <c r="AG381">
        <v>3558</v>
      </c>
      <c r="AH381">
        <v>8171970.4999804404</v>
      </c>
    </row>
    <row r="382" spans="4:34">
      <c r="D382" s="78"/>
      <c r="E382" s="175"/>
      <c r="F382" s="175"/>
      <c r="G382" s="175"/>
      <c r="H382" s="175"/>
      <c r="I382" s="175"/>
      <c r="J382" s="78"/>
      <c r="K382" s="79"/>
      <c r="L382" s="83"/>
      <c r="M382" s="83"/>
      <c r="N382" s="83"/>
      <c r="O382" s="83"/>
      <c r="U382" s="1"/>
      <c r="V382" s="1"/>
      <c r="W382" s="1"/>
      <c r="X382" s="1"/>
      <c r="AC382" s="1">
        <v>3558.5</v>
      </c>
      <c r="AD382" s="1">
        <v>75322.869999975097</v>
      </c>
      <c r="AG382">
        <v>3558.5</v>
      </c>
      <c r="AH382">
        <v>8209577.0900314301</v>
      </c>
    </row>
    <row r="383" spans="4:34">
      <c r="D383" s="78"/>
      <c r="E383" s="175"/>
      <c r="F383" s="175"/>
      <c r="G383" s="175"/>
      <c r="H383" s="175"/>
      <c r="I383" s="175"/>
      <c r="J383" s="78"/>
      <c r="K383" s="79"/>
      <c r="L383" s="83"/>
      <c r="M383" s="83"/>
      <c r="N383" s="83"/>
      <c r="O383" s="83"/>
      <c r="U383" s="1"/>
      <c r="V383" s="1"/>
      <c r="W383" s="1"/>
      <c r="X383" s="1"/>
      <c r="AC383" s="1">
        <v>3559</v>
      </c>
      <c r="AD383" s="1">
        <v>75542.249999988402</v>
      </c>
      <c r="AG383">
        <v>3559</v>
      </c>
      <c r="AH383">
        <v>8247293.3699829001</v>
      </c>
    </row>
    <row r="384" spans="4:34">
      <c r="D384" s="78"/>
      <c r="E384" s="175"/>
      <c r="F384" s="175"/>
      <c r="G384" s="175"/>
      <c r="H384" s="175"/>
      <c r="I384" s="175"/>
      <c r="J384" s="78"/>
      <c r="K384" s="79"/>
      <c r="L384" s="83"/>
      <c r="M384" s="83"/>
      <c r="N384" s="83"/>
      <c r="O384" s="83"/>
      <c r="U384" s="1"/>
      <c r="V384" s="1"/>
      <c r="W384" s="1"/>
      <c r="X384" s="1"/>
      <c r="AC384" s="1">
        <v>3559.5</v>
      </c>
      <c r="AD384" s="1">
        <v>75761.619999894101</v>
      </c>
      <c r="AG384">
        <v>3559.5</v>
      </c>
      <c r="AH384">
        <v>8285119.3399970001</v>
      </c>
    </row>
    <row r="385" spans="4:34">
      <c r="D385" s="78"/>
      <c r="E385" s="175"/>
      <c r="F385" s="175"/>
      <c r="G385" s="175"/>
      <c r="H385" s="175"/>
      <c r="I385" s="175"/>
      <c r="J385" s="78"/>
      <c r="K385" s="79"/>
      <c r="L385" s="83"/>
      <c r="M385" s="83"/>
      <c r="N385" s="83"/>
      <c r="O385" s="83"/>
      <c r="U385" s="1"/>
      <c r="V385" s="1"/>
      <c r="W385" s="1"/>
      <c r="X385" s="1"/>
      <c r="AC385" s="1">
        <v>3560</v>
      </c>
      <c r="AD385" s="1">
        <v>75980.999999907406</v>
      </c>
      <c r="AG385">
        <v>3560</v>
      </c>
      <c r="AH385">
        <v>8323054.9999926398</v>
      </c>
    </row>
    <row r="386" spans="4:34">
      <c r="D386" s="78"/>
      <c r="E386" s="175"/>
      <c r="F386" s="175"/>
      <c r="G386" s="175"/>
      <c r="H386" s="175"/>
      <c r="I386" s="175"/>
      <c r="J386" s="78"/>
      <c r="K386" s="79"/>
      <c r="L386" s="83"/>
      <c r="M386" s="83"/>
      <c r="N386" s="83"/>
      <c r="O386" s="83"/>
      <c r="U386" s="1"/>
      <c r="V386" s="1"/>
      <c r="W386" s="1"/>
      <c r="X386" s="1"/>
      <c r="AC386" s="1">
        <v>3560.5</v>
      </c>
      <c r="AD386" s="1">
        <v>76223.149999985399</v>
      </c>
      <c r="AG386">
        <v>3560.5</v>
      </c>
      <c r="AH386">
        <v>8361106.0399603797</v>
      </c>
    </row>
    <row r="387" spans="4:34">
      <c r="D387" s="78"/>
      <c r="E387" s="175"/>
      <c r="F387" s="175"/>
      <c r="G387" s="175"/>
      <c r="H387" s="175"/>
      <c r="I387" s="175"/>
      <c r="J387" s="78"/>
      <c r="K387" s="79"/>
      <c r="L387" s="83"/>
      <c r="M387" s="83"/>
      <c r="N387" s="83"/>
      <c r="O387" s="83"/>
      <c r="U387" s="1"/>
      <c r="V387" s="1"/>
      <c r="W387" s="1"/>
      <c r="X387" s="1"/>
      <c r="AC387" s="1">
        <v>3561</v>
      </c>
      <c r="AD387" s="1">
        <v>76465.300000063493</v>
      </c>
      <c r="AG387">
        <v>3561</v>
      </c>
      <c r="AH387">
        <v>8399278.1499718409</v>
      </c>
    </row>
    <row r="388" spans="4:34">
      <c r="D388" s="78"/>
      <c r="E388" s="175"/>
      <c r="F388" s="175"/>
      <c r="G388" s="175"/>
      <c r="H388" s="175"/>
      <c r="I388" s="175"/>
      <c r="J388" s="78"/>
      <c r="K388" s="79"/>
      <c r="L388" s="83"/>
      <c r="M388" s="83"/>
      <c r="N388" s="83"/>
      <c r="O388" s="83"/>
      <c r="U388" s="1"/>
      <c r="V388" s="1"/>
      <c r="W388" s="1"/>
      <c r="X388" s="1"/>
      <c r="AC388" s="1">
        <v>3561.5</v>
      </c>
      <c r="AD388" s="1">
        <v>76707.449999894394</v>
      </c>
      <c r="AG388">
        <v>3561.5</v>
      </c>
      <c r="AH388">
        <v>8437571.3399987891</v>
      </c>
    </row>
    <row r="389" spans="4:34">
      <c r="D389" s="78"/>
      <c r="E389" s="175"/>
      <c r="F389" s="175"/>
      <c r="G389" s="175"/>
      <c r="H389" s="175"/>
      <c r="I389" s="175"/>
      <c r="J389" s="78"/>
      <c r="K389" s="79"/>
      <c r="L389" s="83"/>
      <c r="M389" s="83"/>
      <c r="N389" s="83"/>
      <c r="O389" s="83"/>
      <c r="U389" s="1"/>
      <c r="V389" s="1"/>
      <c r="W389" s="1"/>
      <c r="X389" s="1"/>
      <c r="AC389" s="1">
        <v>3562</v>
      </c>
      <c r="AD389" s="1">
        <v>76949.599999972503</v>
      </c>
      <c r="AG389">
        <v>3562</v>
      </c>
      <c r="AH389">
        <v>8475985.5999883898</v>
      </c>
    </row>
    <row r="390" spans="4:34">
      <c r="D390" s="78"/>
      <c r="E390" s="175"/>
      <c r="F390" s="175"/>
      <c r="G390" s="175"/>
      <c r="H390" s="175"/>
      <c r="I390" s="175"/>
      <c r="J390" s="78"/>
      <c r="K390" s="79"/>
      <c r="L390" s="83"/>
      <c r="M390" s="83"/>
      <c r="N390" s="83"/>
      <c r="O390" s="83"/>
      <c r="U390" s="1"/>
      <c r="V390" s="1"/>
      <c r="W390" s="1"/>
      <c r="X390" s="1"/>
      <c r="AC390" s="1">
        <v>3562.5</v>
      </c>
      <c r="AD390" s="1">
        <v>77191.750000050495</v>
      </c>
      <c r="AG390">
        <v>3562.5</v>
      </c>
      <c r="AH390">
        <v>8514520.9399934802</v>
      </c>
    </row>
    <row r="391" spans="4:34">
      <c r="D391" s="78"/>
      <c r="E391" s="175"/>
      <c r="F391" s="175"/>
      <c r="G391" s="175"/>
      <c r="H391" s="175"/>
      <c r="I391" s="175"/>
      <c r="J391" s="78"/>
      <c r="K391" s="79"/>
      <c r="L391" s="83"/>
      <c r="M391" s="83"/>
      <c r="N391" s="83"/>
      <c r="O391" s="83"/>
      <c r="U391" s="1"/>
      <c r="V391" s="1"/>
      <c r="W391" s="1"/>
      <c r="X391" s="1"/>
      <c r="AC391" s="1">
        <v>3563</v>
      </c>
      <c r="AD391" s="1">
        <v>77433.899999881396</v>
      </c>
      <c r="AG391">
        <v>3563</v>
      </c>
      <c r="AH391">
        <v>8553177.3499612194</v>
      </c>
    </row>
    <row r="392" spans="4:34">
      <c r="D392" s="78"/>
      <c r="E392" s="175"/>
      <c r="F392" s="175"/>
      <c r="G392" s="175"/>
      <c r="H392" s="175"/>
      <c r="I392" s="175"/>
      <c r="J392" s="78"/>
      <c r="K392" s="79"/>
      <c r="L392" s="83"/>
      <c r="M392" s="83"/>
      <c r="N392" s="83"/>
      <c r="O392" s="83"/>
      <c r="U392" s="1"/>
      <c r="V392" s="1"/>
      <c r="W392" s="1"/>
      <c r="X392" s="1"/>
      <c r="AC392" s="1">
        <v>3563.5</v>
      </c>
      <c r="AD392" s="1">
        <v>77676.049999959505</v>
      </c>
      <c r="AG392">
        <v>3563.5</v>
      </c>
      <c r="AH392">
        <v>8591954.8400255293</v>
      </c>
    </row>
    <row r="393" spans="4:34">
      <c r="D393" s="78"/>
      <c r="E393" s="175"/>
      <c r="F393" s="175"/>
      <c r="G393" s="175"/>
      <c r="H393" s="175"/>
      <c r="I393" s="175"/>
      <c r="J393" s="78"/>
      <c r="K393" s="79"/>
      <c r="L393" s="83"/>
      <c r="M393" s="83"/>
      <c r="N393" s="83"/>
      <c r="O393" s="83"/>
      <c r="U393" s="1"/>
      <c r="V393" s="1"/>
      <c r="W393" s="1"/>
      <c r="X393" s="1"/>
      <c r="AC393" s="1">
        <v>3564</v>
      </c>
      <c r="AD393" s="1">
        <v>77918.200000037497</v>
      </c>
      <c r="AG393">
        <v>3564</v>
      </c>
      <c r="AH393">
        <v>8630853.3999714106</v>
      </c>
    </row>
    <row r="394" spans="4:34">
      <c r="D394" s="78"/>
      <c r="E394" s="175"/>
      <c r="F394" s="175"/>
      <c r="G394" s="175"/>
      <c r="H394" s="175"/>
      <c r="I394" s="175"/>
      <c r="J394" s="78"/>
      <c r="K394" s="79"/>
      <c r="L394" s="83"/>
      <c r="M394" s="83"/>
      <c r="N394" s="83"/>
      <c r="O394" s="83"/>
      <c r="U394" s="1"/>
      <c r="V394" s="1"/>
      <c r="W394" s="1"/>
      <c r="X394" s="1"/>
      <c r="AC394" s="1">
        <v>3564.5</v>
      </c>
      <c r="AD394" s="1">
        <v>78160.350000115606</v>
      </c>
      <c r="AG394">
        <v>3564.5</v>
      </c>
      <c r="AH394">
        <v>8669873.0400138609</v>
      </c>
    </row>
    <row r="395" spans="4:34">
      <c r="D395" s="78"/>
      <c r="E395" s="175"/>
      <c r="F395" s="175"/>
      <c r="G395" s="175"/>
      <c r="H395" s="175"/>
      <c r="I395" s="175"/>
      <c r="J395" s="78"/>
      <c r="K395" s="79"/>
      <c r="L395" s="83"/>
      <c r="M395" s="83"/>
      <c r="N395" s="83"/>
      <c r="O395" s="83"/>
      <c r="U395" s="1"/>
      <c r="V395" s="1"/>
      <c r="W395" s="1"/>
      <c r="X395" s="1"/>
      <c r="AC395" s="1">
        <v>3565</v>
      </c>
      <c r="AD395" s="1">
        <v>78402.499999946507</v>
      </c>
      <c r="AG395">
        <v>3565</v>
      </c>
      <c r="AH395">
        <v>8709013.7500189506</v>
      </c>
    </row>
    <row r="396" spans="4:34">
      <c r="D396" s="78"/>
      <c r="E396" s="175"/>
      <c r="F396" s="175"/>
      <c r="G396" s="175"/>
      <c r="H396" s="175"/>
      <c r="I396" s="175"/>
      <c r="J396" s="78"/>
      <c r="K396" s="79"/>
      <c r="L396" s="83"/>
      <c r="M396" s="83"/>
      <c r="N396" s="83"/>
      <c r="O396" s="83"/>
      <c r="U396" s="1"/>
      <c r="V396" s="1"/>
      <c r="W396" s="1"/>
      <c r="X396" s="1"/>
      <c r="AC396" s="1">
        <v>3565.5</v>
      </c>
      <c r="AD396" s="1">
        <v>78644.650000024601</v>
      </c>
      <c r="AG396">
        <v>3565.5</v>
      </c>
      <c r="AH396">
        <v>8748275.5400395393</v>
      </c>
    </row>
    <row r="397" spans="4:34">
      <c r="D397" s="78"/>
      <c r="E397" s="175"/>
      <c r="F397" s="175"/>
      <c r="G397" s="175"/>
      <c r="H397" s="175"/>
      <c r="I397" s="175"/>
      <c r="J397" s="78"/>
      <c r="K397" s="79"/>
      <c r="L397" s="83"/>
      <c r="M397" s="83"/>
      <c r="N397" s="83"/>
      <c r="O397" s="83"/>
      <c r="U397" s="1"/>
      <c r="V397" s="1"/>
      <c r="W397" s="1"/>
      <c r="X397" s="1"/>
      <c r="AC397" s="1">
        <v>3566</v>
      </c>
      <c r="AD397" s="1">
        <v>78886.800000102594</v>
      </c>
      <c r="AG397">
        <v>3566</v>
      </c>
      <c r="AH397">
        <v>8787658.4000227693</v>
      </c>
    </row>
    <row r="398" spans="4:34">
      <c r="D398" s="78"/>
      <c r="E398" s="175"/>
      <c r="F398" s="175"/>
      <c r="G398" s="175"/>
      <c r="H398" s="175"/>
      <c r="I398" s="175"/>
      <c r="J398" s="78"/>
      <c r="K398" s="79"/>
      <c r="L398" s="83"/>
      <c r="M398" s="83"/>
      <c r="N398" s="83"/>
      <c r="O398" s="83"/>
      <c r="U398" s="1"/>
      <c r="V398" s="1"/>
      <c r="W398" s="1"/>
      <c r="X398" s="1"/>
      <c r="AC398" s="1">
        <v>3566.5</v>
      </c>
      <c r="AD398" s="1">
        <v>79128.949999933597</v>
      </c>
      <c r="AG398">
        <v>3566.5</v>
      </c>
      <c r="AH398">
        <v>8827162.3400215004</v>
      </c>
    </row>
    <row r="399" spans="4:34">
      <c r="D399" s="78"/>
      <c r="E399" s="175"/>
      <c r="F399" s="175"/>
      <c r="G399" s="175"/>
      <c r="H399" s="175"/>
      <c r="I399" s="175"/>
      <c r="J399" s="78"/>
      <c r="K399" s="79"/>
      <c r="L399" s="83"/>
      <c r="M399" s="83"/>
      <c r="N399" s="83"/>
      <c r="O399" s="83"/>
      <c r="U399" s="1"/>
      <c r="V399" s="1"/>
      <c r="W399" s="1"/>
      <c r="X399" s="1"/>
      <c r="AC399" s="1">
        <v>3567</v>
      </c>
      <c r="AD399" s="1">
        <v>79371.100000011604</v>
      </c>
      <c r="AG399">
        <v>3567</v>
      </c>
      <c r="AH399">
        <v>8866787.3499828801</v>
      </c>
    </row>
    <row r="400" spans="4:34">
      <c r="D400" s="78"/>
      <c r="E400" s="175"/>
      <c r="F400" s="175"/>
      <c r="G400" s="175"/>
      <c r="H400" s="175"/>
      <c r="I400" s="175"/>
      <c r="J400" s="78"/>
      <c r="K400" s="79"/>
      <c r="L400" s="83"/>
      <c r="M400" s="83"/>
      <c r="N400" s="83"/>
      <c r="O400" s="83"/>
      <c r="U400" s="1"/>
      <c r="V400" s="1"/>
      <c r="W400" s="1"/>
      <c r="X400" s="1"/>
      <c r="AC400" s="1">
        <v>3567.5</v>
      </c>
      <c r="AD400" s="1">
        <v>79613.250000089596</v>
      </c>
      <c r="AG400">
        <v>3567.5</v>
      </c>
      <c r="AH400">
        <v>8906533.4399597608</v>
      </c>
    </row>
    <row r="401" spans="4:34">
      <c r="D401" s="78"/>
      <c r="E401" s="175"/>
      <c r="F401" s="175"/>
      <c r="G401" s="175"/>
      <c r="H401" s="175"/>
      <c r="I401" s="175"/>
      <c r="J401" s="78"/>
      <c r="K401" s="79"/>
      <c r="L401" s="83"/>
      <c r="M401" s="83"/>
      <c r="N401" s="83"/>
      <c r="O401" s="83"/>
      <c r="U401" s="1"/>
      <c r="V401" s="1"/>
      <c r="W401" s="1"/>
      <c r="X401" s="1"/>
      <c r="AC401" s="1">
        <v>3568</v>
      </c>
      <c r="AD401" s="1">
        <v>79855.399999920599</v>
      </c>
      <c r="AG401">
        <v>3568</v>
      </c>
      <c r="AH401">
        <v>8946400.5999803394</v>
      </c>
    </row>
    <row r="402" spans="4:34">
      <c r="D402" s="78"/>
      <c r="E402" s="175"/>
      <c r="F402" s="175"/>
      <c r="G402" s="175"/>
      <c r="H402" s="175"/>
      <c r="I402" s="175"/>
      <c r="J402" s="78"/>
      <c r="K402" s="79"/>
      <c r="L402" s="83"/>
      <c r="M402" s="83"/>
      <c r="N402" s="83"/>
      <c r="O402" s="83"/>
      <c r="U402" s="1"/>
      <c r="V402" s="1"/>
      <c r="W402" s="1"/>
      <c r="X402" s="1"/>
      <c r="AC402" s="1">
        <v>3568.5</v>
      </c>
      <c r="AD402" s="1">
        <v>80097.549999998606</v>
      </c>
      <c r="AG402">
        <v>3568.5</v>
      </c>
      <c r="AH402">
        <v>8986388.8400164302</v>
      </c>
    </row>
    <row r="403" spans="4:34">
      <c r="D403" s="78"/>
      <c r="E403" s="175"/>
      <c r="F403" s="175"/>
      <c r="G403" s="175"/>
      <c r="H403" s="175"/>
      <c r="I403" s="175"/>
      <c r="J403" s="78"/>
      <c r="K403" s="79"/>
      <c r="L403" s="83"/>
      <c r="M403" s="83"/>
      <c r="N403" s="83"/>
      <c r="O403" s="83"/>
      <c r="U403" s="1"/>
      <c r="V403" s="1"/>
      <c r="W403" s="1"/>
      <c r="X403" s="1"/>
      <c r="AC403" s="1">
        <v>3569</v>
      </c>
      <c r="AD403" s="1">
        <v>80339.7000000767</v>
      </c>
      <c r="AG403">
        <v>3569</v>
      </c>
      <c r="AH403">
        <v>9026498.1500151604</v>
      </c>
    </row>
    <row r="404" spans="4:34">
      <c r="D404" s="78"/>
      <c r="E404" s="175"/>
      <c r="F404" s="175"/>
      <c r="G404" s="175"/>
      <c r="H404" s="175"/>
      <c r="I404" s="175"/>
      <c r="J404" s="78"/>
      <c r="K404" s="79"/>
      <c r="L404" s="83"/>
      <c r="M404" s="83"/>
      <c r="N404" s="83"/>
      <c r="O404" s="83"/>
      <c r="U404" s="1"/>
      <c r="V404" s="1"/>
      <c r="W404" s="1"/>
      <c r="X404" s="1"/>
      <c r="AC404" s="1">
        <v>3569.5</v>
      </c>
      <c r="AD404" s="1">
        <v>80581.849999907601</v>
      </c>
      <c r="AG404">
        <v>3569.5</v>
      </c>
      <c r="AH404">
        <v>9066728.5400293898</v>
      </c>
    </row>
    <row r="405" spans="4:34">
      <c r="D405" s="78"/>
      <c r="E405" s="175"/>
      <c r="F405" s="175"/>
      <c r="G405" s="175"/>
      <c r="H405" s="175"/>
      <c r="I405" s="175"/>
      <c r="J405" s="78"/>
      <c r="K405" s="79"/>
      <c r="L405" s="83"/>
      <c r="M405" s="83"/>
      <c r="N405" s="83"/>
      <c r="O405" s="83"/>
      <c r="U405" s="1"/>
      <c r="V405" s="1"/>
      <c r="W405" s="1"/>
      <c r="X405" s="1"/>
      <c r="AC405" s="1">
        <v>3570</v>
      </c>
      <c r="AD405" s="1">
        <v>80823.999999985695</v>
      </c>
      <c r="AG405">
        <v>3570</v>
      </c>
      <c r="AH405">
        <v>9107080.0000062604</v>
      </c>
    </row>
    <row r="406" spans="4:34">
      <c r="D406" s="78"/>
      <c r="E406" s="175"/>
      <c r="F406" s="175"/>
      <c r="G406" s="175"/>
      <c r="H406" s="175"/>
      <c r="I406" s="175"/>
      <c r="J406" s="78"/>
      <c r="K406" s="79"/>
      <c r="L406" s="83"/>
      <c r="M406" s="83"/>
      <c r="N406" s="83"/>
      <c r="O406" s="83"/>
      <c r="U406" s="1"/>
      <c r="V406" s="1"/>
      <c r="W406" s="1"/>
      <c r="X406" s="1"/>
      <c r="AC406" s="1">
        <v>3570.5</v>
      </c>
      <c r="AD406" s="1">
        <v>81066.150000063702</v>
      </c>
      <c r="AG406">
        <v>3570.5</v>
      </c>
      <c r="AH406">
        <v>9147552.5399986301</v>
      </c>
    </row>
    <row r="407" spans="4:34">
      <c r="D407" s="78"/>
      <c r="E407" s="175"/>
      <c r="F407" s="175"/>
      <c r="G407" s="175"/>
      <c r="H407" s="175"/>
      <c r="I407" s="175"/>
      <c r="J407" s="78"/>
      <c r="K407" s="79"/>
      <c r="L407" s="83"/>
      <c r="M407" s="83"/>
      <c r="N407" s="83"/>
      <c r="O407" s="83"/>
      <c r="U407" s="1"/>
      <c r="V407" s="1"/>
      <c r="W407" s="1"/>
      <c r="X407" s="1"/>
      <c r="AC407" s="1">
        <v>3571</v>
      </c>
      <c r="AD407" s="1">
        <v>81308.299999894603</v>
      </c>
      <c r="AG407">
        <v>3571</v>
      </c>
      <c r="AH407">
        <v>9188146.1500347108</v>
      </c>
    </row>
    <row r="408" spans="4:34">
      <c r="D408" s="78"/>
      <c r="E408" s="175"/>
      <c r="F408" s="175"/>
      <c r="G408" s="175"/>
      <c r="H408" s="175"/>
      <c r="I408" s="175"/>
      <c r="J408" s="78"/>
      <c r="K408" s="79"/>
      <c r="L408" s="83"/>
      <c r="M408" s="83"/>
      <c r="N408" s="83"/>
      <c r="O408" s="83"/>
      <c r="U408" s="1"/>
      <c r="V408" s="1"/>
      <c r="W408" s="1"/>
      <c r="X408" s="1"/>
      <c r="AC408" s="1">
        <v>3571.5</v>
      </c>
      <c r="AD408" s="1">
        <v>81550.449999972698</v>
      </c>
      <c r="AG408">
        <v>3571.5</v>
      </c>
      <c r="AH408">
        <v>9228860.8400052208</v>
      </c>
    </row>
    <row r="409" spans="4:34">
      <c r="D409" s="78"/>
      <c r="E409" s="175"/>
      <c r="F409" s="175"/>
      <c r="G409" s="175"/>
      <c r="H409" s="175"/>
      <c r="I409" s="175"/>
      <c r="J409" s="78"/>
      <c r="K409" s="79"/>
      <c r="L409" s="83"/>
      <c r="M409" s="83"/>
      <c r="N409" s="83"/>
      <c r="O409" s="83"/>
      <c r="U409" s="1"/>
      <c r="V409" s="1"/>
      <c r="W409" s="1"/>
      <c r="X409" s="1"/>
      <c r="AC409" s="1">
        <v>3572</v>
      </c>
      <c r="AD409" s="1">
        <v>81792.600000050705</v>
      </c>
      <c r="AG409">
        <v>3572</v>
      </c>
      <c r="AH409">
        <v>9269696.6000194494</v>
      </c>
    </row>
    <row r="410" spans="4:34">
      <c r="D410" s="78"/>
      <c r="E410" s="175"/>
      <c r="F410" s="175"/>
      <c r="G410" s="175"/>
      <c r="H410" s="175"/>
      <c r="I410" s="175"/>
      <c r="J410" s="78"/>
      <c r="K410" s="79"/>
      <c r="L410" s="83"/>
      <c r="M410" s="83"/>
      <c r="N410" s="83"/>
      <c r="O410" s="83"/>
      <c r="U410" s="1"/>
      <c r="V410" s="1"/>
      <c r="W410" s="1"/>
      <c r="X410" s="1"/>
      <c r="AC410" s="1">
        <v>3572.5</v>
      </c>
      <c r="AD410" s="1">
        <v>82034.749999881693</v>
      </c>
      <c r="AG410">
        <v>3572.5</v>
      </c>
      <c r="AH410">
        <v>9310653.4399680998</v>
      </c>
    </row>
    <row r="411" spans="4:34">
      <c r="D411" s="78"/>
      <c r="E411" s="175"/>
      <c r="F411" s="175"/>
      <c r="G411" s="175"/>
      <c r="H411" s="175"/>
      <c r="I411" s="175"/>
      <c r="J411" s="78"/>
      <c r="K411" s="79"/>
      <c r="L411" s="83"/>
      <c r="M411" s="83"/>
      <c r="N411" s="83"/>
      <c r="O411" s="83"/>
      <c r="U411" s="1"/>
      <c r="V411" s="1"/>
      <c r="W411" s="1"/>
      <c r="X411" s="1"/>
      <c r="AC411" s="1">
        <v>3573</v>
      </c>
      <c r="AD411" s="1">
        <v>82276.8999999597</v>
      </c>
      <c r="AG411">
        <v>3573</v>
      </c>
      <c r="AH411">
        <v>9351731.3499604706</v>
      </c>
    </row>
    <row r="412" spans="4:34">
      <c r="D412" s="78"/>
      <c r="E412" s="175"/>
      <c r="F412" s="175"/>
      <c r="G412" s="175"/>
      <c r="H412" s="175"/>
      <c r="I412" s="175"/>
      <c r="J412" s="78"/>
      <c r="K412" s="79"/>
      <c r="L412" s="83"/>
      <c r="M412" s="83"/>
      <c r="N412" s="83"/>
      <c r="O412" s="83"/>
      <c r="U412" s="1"/>
      <c r="V412" s="1"/>
      <c r="W412" s="1"/>
      <c r="X412" s="1"/>
      <c r="AC412" s="1">
        <v>3573.5</v>
      </c>
      <c r="AD412" s="1">
        <v>82519.050000037794</v>
      </c>
      <c r="AG412">
        <v>3573.5</v>
      </c>
      <c r="AH412">
        <v>9392930.3399683293</v>
      </c>
    </row>
    <row r="413" spans="4:34">
      <c r="D413" s="78"/>
      <c r="E413" s="175"/>
      <c r="F413" s="175"/>
      <c r="G413" s="175"/>
      <c r="H413" s="175"/>
      <c r="I413" s="175"/>
      <c r="J413" s="78"/>
      <c r="K413" s="79"/>
      <c r="L413" s="83"/>
      <c r="M413" s="83"/>
      <c r="N413" s="83"/>
      <c r="O413" s="83"/>
      <c r="U413" s="1"/>
      <c r="V413" s="1"/>
      <c r="W413" s="1"/>
      <c r="X413" s="1"/>
      <c r="AC413" s="1">
        <v>3574</v>
      </c>
      <c r="AD413" s="1">
        <v>82761.200000115801</v>
      </c>
      <c r="AG413">
        <v>3574</v>
      </c>
      <c r="AH413">
        <v>9434250.4000199195</v>
      </c>
    </row>
    <row r="414" spans="4:34">
      <c r="D414" s="78"/>
      <c r="E414" s="175"/>
      <c r="F414" s="175"/>
      <c r="G414" s="175"/>
      <c r="H414" s="175"/>
      <c r="I414" s="175"/>
      <c r="J414" s="78"/>
      <c r="K414" s="79"/>
      <c r="L414" s="83"/>
      <c r="M414" s="83"/>
      <c r="N414" s="83"/>
      <c r="O414" s="83"/>
      <c r="U414" s="1"/>
      <c r="V414" s="1"/>
      <c r="W414" s="1"/>
      <c r="X414" s="1"/>
      <c r="AC414" s="1">
        <v>3574.5</v>
      </c>
      <c r="AD414" s="1">
        <v>83003.349999946702</v>
      </c>
      <c r="AG414">
        <v>3574.5</v>
      </c>
      <c r="AH414">
        <v>9475691.5400059205</v>
      </c>
    </row>
    <row r="415" spans="4:34">
      <c r="D415" s="78"/>
      <c r="E415" s="175"/>
      <c r="F415" s="175"/>
      <c r="G415" s="175"/>
      <c r="H415" s="175"/>
      <c r="I415" s="175"/>
      <c r="J415" s="78"/>
      <c r="K415" s="79"/>
      <c r="L415" s="83"/>
      <c r="M415" s="83"/>
      <c r="N415" s="83"/>
      <c r="O415" s="83"/>
      <c r="U415" s="1"/>
      <c r="V415" s="1"/>
      <c r="W415" s="1"/>
      <c r="X415" s="1"/>
      <c r="AC415" s="1">
        <v>3575</v>
      </c>
      <c r="AD415" s="1">
        <v>83245.500000024796</v>
      </c>
      <c r="AG415">
        <v>3575</v>
      </c>
      <c r="AH415">
        <v>9517253.7500356399</v>
      </c>
    </row>
    <row r="416" spans="4:34">
      <c r="D416" s="78"/>
      <c r="E416" s="175"/>
      <c r="F416" s="175"/>
      <c r="G416" s="175"/>
      <c r="H416" s="175"/>
      <c r="I416" s="175"/>
      <c r="J416" s="78"/>
      <c r="K416" s="79"/>
      <c r="L416" s="83"/>
      <c r="M416" s="83"/>
      <c r="N416" s="83"/>
      <c r="O416" s="83"/>
      <c r="U416" s="1"/>
      <c r="V416" s="1"/>
      <c r="W416" s="1"/>
      <c r="X416" s="1"/>
      <c r="AC416" s="1">
        <v>3575.5</v>
      </c>
      <c r="AD416" s="1">
        <v>83487.650000102803</v>
      </c>
      <c r="AG416">
        <v>3575.5</v>
      </c>
      <c r="AH416">
        <v>9558937.0399997905</v>
      </c>
    </row>
    <row r="417" spans="4:34">
      <c r="D417" s="78"/>
      <c r="E417" s="175"/>
      <c r="F417" s="175"/>
      <c r="G417" s="175"/>
      <c r="H417" s="175"/>
      <c r="I417" s="175"/>
      <c r="J417" s="78"/>
      <c r="K417" s="79"/>
      <c r="L417" s="83"/>
      <c r="M417" s="83"/>
      <c r="N417" s="83"/>
      <c r="O417" s="83"/>
      <c r="U417" s="1"/>
      <c r="V417" s="1"/>
      <c r="W417" s="1"/>
      <c r="X417" s="1"/>
      <c r="AC417" s="1">
        <v>3576</v>
      </c>
      <c r="AD417" s="1">
        <v>83729.799999933806</v>
      </c>
      <c r="AG417">
        <v>3576</v>
      </c>
      <c r="AH417">
        <v>9600741.4000076503</v>
      </c>
    </row>
    <row r="418" spans="4:34">
      <c r="D418" s="78"/>
      <c r="E418" s="175"/>
      <c r="F418" s="175"/>
      <c r="G418" s="175"/>
      <c r="H418" s="175"/>
      <c r="I418" s="175"/>
      <c r="J418" s="78"/>
      <c r="K418" s="79"/>
      <c r="L418" s="83"/>
      <c r="M418" s="83"/>
      <c r="N418" s="83"/>
      <c r="O418" s="83"/>
      <c r="U418" s="1"/>
      <c r="V418" s="1"/>
      <c r="W418" s="1"/>
      <c r="X418" s="1"/>
      <c r="AC418" s="1">
        <v>3576.5</v>
      </c>
      <c r="AD418" s="1">
        <v>83971.950000011799</v>
      </c>
      <c r="AG418">
        <v>3576.5</v>
      </c>
      <c r="AH418">
        <v>9642666.8400310092</v>
      </c>
    </row>
    <row r="419" spans="4:34">
      <c r="D419" s="78"/>
      <c r="E419" s="175"/>
      <c r="F419" s="175"/>
      <c r="G419" s="175"/>
      <c r="H419" s="175"/>
      <c r="I419" s="175"/>
      <c r="J419" s="78"/>
      <c r="K419" s="79"/>
      <c r="L419" s="83"/>
      <c r="M419" s="83"/>
      <c r="N419" s="83"/>
      <c r="O419" s="83"/>
      <c r="U419" s="1"/>
      <c r="V419" s="1"/>
      <c r="W419" s="1"/>
      <c r="X419" s="1"/>
      <c r="AC419" s="1">
        <v>3577</v>
      </c>
      <c r="AD419" s="1">
        <v>84214.100000089893</v>
      </c>
      <c r="AG419">
        <v>3577</v>
      </c>
      <c r="AH419">
        <v>9684713.3500170205</v>
      </c>
    </row>
    <row r="420" spans="4:34">
      <c r="D420" s="78"/>
      <c r="E420" s="175"/>
      <c r="F420" s="175"/>
      <c r="G420" s="175"/>
      <c r="H420" s="175"/>
      <c r="I420" s="175"/>
      <c r="J420" s="78"/>
      <c r="K420" s="79"/>
      <c r="L420" s="83"/>
      <c r="M420" s="83"/>
      <c r="N420" s="83"/>
      <c r="O420" s="83"/>
      <c r="U420" s="1"/>
      <c r="V420" s="1"/>
      <c r="W420" s="1"/>
      <c r="X420" s="1"/>
      <c r="AC420" s="1">
        <v>3577.5</v>
      </c>
      <c r="AD420" s="1">
        <v>84456.249999920794</v>
      </c>
      <c r="AG420">
        <v>3577.5</v>
      </c>
      <c r="AH420">
        <v>9726880.9400185198</v>
      </c>
    </row>
    <row r="421" spans="4:34">
      <c r="D421" s="78"/>
      <c r="E421" s="175"/>
      <c r="F421" s="175"/>
      <c r="G421" s="175"/>
      <c r="H421" s="175"/>
      <c r="I421" s="175"/>
      <c r="J421" s="78"/>
      <c r="K421" s="79"/>
      <c r="L421" s="83"/>
      <c r="M421" s="83"/>
      <c r="N421" s="83"/>
      <c r="O421" s="83"/>
      <c r="U421" s="1"/>
      <c r="V421" s="1"/>
      <c r="W421" s="1"/>
      <c r="X421" s="1"/>
      <c r="AC421" s="1">
        <v>3578</v>
      </c>
      <c r="AD421" s="1">
        <v>84698.399999998903</v>
      </c>
      <c r="AG421">
        <v>3578</v>
      </c>
      <c r="AH421">
        <v>9769169.5999826696</v>
      </c>
    </row>
    <row r="422" spans="4:34">
      <c r="D422" s="78"/>
      <c r="E422" s="175"/>
      <c r="F422" s="175"/>
      <c r="G422" s="175"/>
      <c r="H422" s="175"/>
      <c r="I422" s="175"/>
      <c r="J422" s="78"/>
      <c r="K422" s="79"/>
      <c r="L422" s="83"/>
      <c r="M422" s="83"/>
      <c r="N422" s="83"/>
      <c r="O422" s="83"/>
      <c r="U422" s="1"/>
      <c r="V422" s="1"/>
      <c r="W422" s="1"/>
      <c r="X422" s="1"/>
      <c r="AC422" s="1">
        <v>3578.5</v>
      </c>
      <c r="AD422" s="1">
        <v>84940.550000076895</v>
      </c>
      <c r="AG422">
        <v>3578.5</v>
      </c>
      <c r="AH422">
        <v>9811579.3399623092</v>
      </c>
    </row>
    <row r="423" spans="4:34">
      <c r="D423" s="78"/>
      <c r="E423" s="175"/>
      <c r="F423" s="175"/>
      <c r="G423" s="175"/>
      <c r="H423" s="175"/>
      <c r="I423" s="175"/>
      <c r="J423" s="78"/>
      <c r="K423" s="79"/>
      <c r="L423" s="83"/>
      <c r="M423" s="83"/>
      <c r="N423" s="83"/>
      <c r="O423" s="83"/>
      <c r="U423" s="1"/>
      <c r="V423" s="1"/>
      <c r="W423" s="1"/>
      <c r="X423" s="1"/>
      <c r="AC423" s="1">
        <v>3579</v>
      </c>
      <c r="AD423" s="1">
        <v>85182.699999907796</v>
      </c>
      <c r="AG423">
        <v>3579</v>
      </c>
      <c r="AH423">
        <v>9854110.1499856692</v>
      </c>
    </row>
    <row r="424" spans="4:34">
      <c r="D424" s="78"/>
      <c r="E424" s="175"/>
      <c r="F424" s="175"/>
      <c r="G424" s="175"/>
      <c r="H424" s="175"/>
      <c r="I424" s="175"/>
      <c r="J424" s="78"/>
      <c r="K424" s="79"/>
      <c r="L424" s="83"/>
      <c r="M424" s="83"/>
      <c r="N424" s="83"/>
      <c r="O424" s="83"/>
      <c r="U424" s="1"/>
      <c r="V424" s="1"/>
      <c r="W424" s="1"/>
      <c r="X424" s="1"/>
      <c r="AC424" s="1">
        <v>3579.5</v>
      </c>
      <c r="AD424" s="1">
        <v>85424.849999985905</v>
      </c>
      <c r="AG424">
        <v>3579.5</v>
      </c>
      <c r="AH424">
        <v>9896762.0400245208</v>
      </c>
    </row>
    <row r="425" spans="4:34">
      <c r="D425" s="78"/>
      <c r="E425" s="175"/>
      <c r="F425" s="175"/>
      <c r="G425" s="175"/>
      <c r="H425" s="175"/>
      <c r="I425" s="175"/>
      <c r="J425" s="78"/>
      <c r="K425" s="79"/>
      <c r="L425" s="83"/>
      <c r="M425" s="83"/>
      <c r="N425" s="83"/>
      <c r="O425" s="83"/>
      <c r="U425" s="1"/>
      <c r="V425" s="1"/>
      <c r="W425" s="1"/>
      <c r="X425" s="1"/>
      <c r="AC425" s="1">
        <v>3580</v>
      </c>
      <c r="AD425" s="1">
        <v>85667.000000063897</v>
      </c>
      <c r="AG425">
        <v>3580</v>
      </c>
      <c r="AH425">
        <v>9939535.0000260305</v>
      </c>
    </row>
    <row r="426" spans="4:34">
      <c r="D426" s="78"/>
      <c r="E426" s="175"/>
      <c r="F426" s="175"/>
      <c r="G426" s="175"/>
      <c r="H426" s="175"/>
      <c r="I426" s="175"/>
      <c r="J426" s="78"/>
      <c r="K426" s="79"/>
      <c r="L426" s="83"/>
      <c r="M426" s="83"/>
      <c r="N426" s="83"/>
      <c r="O426" s="83"/>
      <c r="U426" s="1"/>
      <c r="V426" s="1"/>
      <c r="W426" s="1"/>
      <c r="X426" s="1"/>
      <c r="AC426" s="1">
        <v>3580.5</v>
      </c>
      <c r="AD426" s="1">
        <v>85909.999999905005</v>
      </c>
      <c r="AG426">
        <v>3580.5</v>
      </c>
      <c r="AH426">
        <v>9982429.2500177398</v>
      </c>
    </row>
    <row r="427" spans="4:34">
      <c r="D427" s="78"/>
      <c r="E427" s="175"/>
      <c r="F427" s="175"/>
      <c r="G427" s="175"/>
      <c r="H427" s="175"/>
      <c r="I427" s="175"/>
      <c r="J427" s="78"/>
      <c r="K427" s="79"/>
      <c r="L427" s="83"/>
      <c r="M427" s="83"/>
      <c r="N427" s="83"/>
      <c r="O427" s="83"/>
      <c r="U427" s="1"/>
      <c r="V427" s="1"/>
      <c r="W427" s="1"/>
      <c r="X427" s="1"/>
      <c r="AC427" s="1">
        <v>3581</v>
      </c>
      <c r="AD427" s="1">
        <v>86152.999999993204</v>
      </c>
      <c r="AG427">
        <v>3581</v>
      </c>
      <c r="AH427">
        <v>10025444.9999744</v>
      </c>
    </row>
    <row r="428" spans="4:34">
      <c r="D428" s="78"/>
      <c r="E428" s="175"/>
      <c r="F428" s="175"/>
      <c r="G428" s="175"/>
      <c r="H428" s="175"/>
      <c r="I428" s="175"/>
      <c r="J428" s="78"/>
      <c r="K428" s="79"/>
      <c r="L428" s="83"/>
      <c r="M428" s="83"/>
      <c r="N428" s="83"/>
      <c r="O428" s="83"/>
      <c r="U428" s="1"/>
      <c r="V428" s="1"/>
      <c r="W428" s="1"/>
      <c r="X428" s="1"/>
      <c r="AC428" s="1">
        <v>3581.5</v>
      </c>
      <c r="AD428" s="1">
        <v>86396.000000081302</v>
      </c>
      <c r="AG428">
        <v>3581.5</v>
      </c>
      <c r="AH428">
        <v>10068582.249977</v>
      </c>
    </row>
    <row r="429" spans="4:34">
      <c r="D429" s="78"/>
      <c r="E429" s="175"/>
      <c r="F429" s="175"/>
      <c r="G429" s="175"/>
      <c r="H429" s="175"/>
      <c r="I429" s="175"/>
      <c r="J429" s="78"/>
      <c r="K429" s="79"/>
      <c r="L429" s="83"/>
      <c r="M429" s="83"/>
      <c r="N429" s="83"/>
      <c r="O429" s="83"/>
      <c r="U429" s="1"/>
      <c r="V429" s="1"/>
      <c r="W429" s="1"/>
      <c r="X429" s="1"/>
      <c r="AC429" s="1">
        <v>3582</v>
      </c>
      <c r="AD429" s="1">
        <v>86638.999999922395</v>
      </c>
      <c r="AG429">
        <v>3582</v>
      </c>
      <c r="AH429">
        <v>10111841.000025701</v>
      </c>
    </row>
    <row r="430" spans="4:34">
      <c r="D430" s="78"/>
      <c r="E430" s="175"/>
      <c r="F430" s="175"/>
      <c r="G430" s="175"/>
      <c r="H430" s="175"/>
      <c r="I430" s="175"/>
      <c r="J430" s="78"/>
      <c r="K430" s="79"/>
      <c r="L430" s="83"/>
      <c r="M430" s="83"/>
      <c r="N430" s="83"/>
      <c r="O430" s="83"/>
      <c r="U430" s="1"/>
      <c r="V430" s="1"/>
      <c r="W430" s="1"/>
      <c r="X430" s="1"/>
      <c r="AC430" s="1">
        <v>3582.5</v>
      </c>
      <c r="AD430" s="1">
        <v>86882.000000010594</v>
      </c>
      <c r="AG430">
        <v>3582.5</v>
      </c>
      <c r="AH430">
        <v>10155221.250039199</v>
      </c>
    </row>
    <row r="431" spans="4:34">
      <c r="D431" s="78"/>
      <c r="E431" s="175"/>
      <c r="F431" s="175"/>
      <c r="G431" s="175"/>
      <c r="H431" s="175"/>
      <c r="I431" s="175"/>
      <c r="J431" s="78"/>
      <c r="K431" s="79"/>
      <c r="L431" s="83"/>
      <c r="M431" s="83"/>
      <c r="N431" s="83"/>
      <c r="O431" s="83"/>
      <c r="U431" s="1"/>
      <c r="V431" s="1"/>
      <c r="W431" s="1"/>
      <c r="X431" s="1"/>
      <c r="AC431" s="1">
        <v>3583</v>
      </c>
      <c r="AD431" s="1">
        <v>87125.000000098706</v>
      </c>
      <c r="AG431">
        <v>3583</v>
      </c>
      <c r="AH431">
        <v>10198723.000017701</v>
      </c>
    </row>
    <row r="432" spans="4:34">
      <c r="D432" s="78"/>
      <c r="E432" s="175"/>
      <c r="F432" s="175"/>
      <c r="G432" s="175"/>
      <c r="H432" s="175"/>
      <c r="I432" s="175"/>
      <c r="J432" s="78"/>
      <c r="K432" s="79"/>
      <c r="L432" s="83"/>
      <c r="M432" s="83"/>
      <c r="N432" s="83"/>
      <c r="O432" s="83"/>
      <c r="U432" s="1"/>
      <c r="V432" s="1"/>
      <c r="W432" s="1"/>
      <c r="X432" s="1"/>
      <c r="AC432" s="1">
        <v>3583.5</v>
      </c>
      <c r="AD432" s="1">
        <v>87367.999999939799</v>
      </c>
      <c r="AG432">
        <v>3583.5</v>
      </c>
      <c r="AH432">
        <v>10242346.249961101</v>
      </c>
    </row>
    <row r="433" spans="4:34">
      <c r="D433" s="78"/>
      <c r="E433" s="175"/>
      <c r="F433" s="175"/>
      <c r="G433" s="175"/>
      <c r="H433" s="175"/>
      <c r="I433" s="175"/>
      <c r="J433" s="78"/>
      <c r="K433" s="79"/>
      <c r="L433" s="83"/>
      <c r="M433" s="83"/>
      <c r="N433" s="83"/>
      <c r="O433" s="83"/>
      <c r="U433" s="1"/>
      <c r="V433" s="1"/>
      <c r="W433" s="1"/>
      <c r="X433" s="1"/>
      <c r="AC433" s="1">
        <v>3584</v>
      </c>
      <c r="AD433" s="1">
        <v>87611.000000027998</v>
      </c>
      <c r="AG433">
        <v>3584</v>
      </c>
      <c r="AH433">
        <v>10286091.0000316</v>
      </c>
    </row>
    <row r="434" spans="4:34">
      <c r="D434" s="78"/>
      <c r="E434" s="175"/>
      <c r="F434" s="175"/>
      <c r="G434" s="175"/>
      <c r="H434" s="175"/>
      <c r="I434" s="175"/>
      <c r="J434" s="78"/>
      <c r="K434" s="79"/>
      <c r="L434" s="83"/>
      <c r="M434" s="83"/>
      <c r="N434" s="83"/>
      <c r="O434" s="83"/>
      <c r="U434" s="1"/>
      <c r="V434" s="1"/>
      <c r="W434" s="1"/>
      <c r="X434" s="1"/>
      <c r="AC434" s="1">
        <v>3584.5</v>
      </c>
      <c r="AD434" s="1">
        <v>87854.000000116095</v>
      </c>
      <c r="AG434">
        <v>3584.5</v>
      </c>
      <c r="AH434">
        <v>10329957.2499859</v>
      </c>
    </row>
    <row r="435" spans="4:34">
      <c r="D435" s="78"/>
      <c r="E435" s="175"/>
      <c r="F435" s="175"/>
      <c r="G435" s="175"/>
      <c r="H435" s="175"/>
      <c r="I435" s="175"/>
      <c r="J435" s="78"/>
      <c r="K435" s="79"/>
      <c r="L435" s="83"/>
      <c r="M435" s="83"/>
      <c r="N435" s="83"/>
      <c r="O435" s="83"/>
      <c r="U435" s="1"/>
      <c r="V435" s="1"/>
      <c r="W435" s="1"/>
      <c r="X435" s="1"/>
      <c r="AC435" s="1">
        <v>3585</v>
      </c>
      <c r="AD435" s="1">
        <v>88096.999999957203</v>
      </c>
      <c r="AG435">
        <v>3585</v>
      </c>
      <c r="AH435">
        <v>10373944.9999863</v>
      </c>
    </row>
    <row r="436" spans="4:34">
      <c r="D436" s="78"/>
      <c r="E436" s="175"/>
      <c r="F436" s="175"/>
      <c r="G436" s="175"/>
      <c r="H436" s="175"/>
      <c r="I436" s="175"/>
      <c r="J436" s="78"/>
      <c r="K436" s="79"/>
      <c r="L436" s="83"/>
      <c r="M436" s="83"/>
      <c r="N436" s="83"/>
      <c r="O436" s="83"/>
      <c r="U436" s="1"/>
      <c r="V436" s="1"/>
      <c r="W436" s="1"/>
      <c r="X436" s="1"/>
      <c r="AC436" s="1">
        <v>3585.5</v>
      </c>
      <c r="AD436" s="1">
        <v>88340.0000000453</v>
      </c>
      <c r="AG436">
        <v>3585.5</v>
      </c>
      <c r="AH436">
        <v>10418054.2500326</v>
      </c>
    </row>
    <row r="437" spans="4:34">
      <c r="D437" s="78"/>
      <c r="E437" s="175"/>
      <c r="F437" s="175"/>
      <c r="G437" s="175"/>
      <c r="H437" s="175"/>
      <c r="I437" s="175"/>
      <c r="J437" s="78"/>
      <c r="K437" s="79"/>
      <c r="L437" s="83"/>
      <c r="M437" s="83"/>
      <c r="N437" s="83"/>
      <c r="O437" s="83"/>
      <c r="U437" s="1"/>
      <c r="V437" s="1"/>
      <c r="W437" s="1"/>
      <c r="X437" s="1"/>
      <c r="AC437" s="1">
        <v>3586</v>
      </c>
      <c r="AD437" s="1">
        <v>88582.999999886393</v>
      </c>
      <c r="AG437">
        <v>3586</v>
      </c>
      <c r="AH437">
        <v>10462284.999962799</v>
      </c>
    </row>
    <row r="438" spans="4:34">
      <c r="D438" s="78"/>
      <c r="E438" s="175"/>
      <c r="F438" s="175"/>
      <c r="G438" s="175"/>
      <c r="H438" s="175"/>
      <c r="I438" s="175"/>
      <c r="J438" s="78"/>
      <c r="K438" s="79"/>
      <c r="L438" s="83"/>
      <c r="M438" s="83"/>
      <c r="N438" s="83"/>
      <c r="O438" s="83"/>
      <c r="U438" s="1"/>
      <c r="V438" s="1"/>
      <c r="W438" s="1"/>
      <c r="X438" s="1"/>
      <c r="AC438" s="1">
        <v>3586.5</v>
      </c>
      <c r="AD438" s="1">
        <v>88825.999999974607</v>
      </c>
      <c r="AG438">
        <v>3586.5</v>
      </c>
      <c r="AH438">
        <v>10506637.2500201</v>
      </c>
    </row>
    <row r="439" spans="4:34">
      <c r="D439" s="78"/>
      <c r="E439" s="175"/>
      <c r="F439" s="175"/>
      <c r="G439" s="175"/>
      <c r="H439" s="175"/>
      <c r="I439" s="175"/>
      <c r="J439" s="78"/>
      <c r="K439" s="79"/>
      <c r="L439" s="83"/>
      <c r="M439" s="83"/>
      <c r="N439" s="83"/>
      <c r="O439" s="83"/>
      <c r="U439" s="1"/>
      <c r="V439" s="1"/>
      <c r="W439" s="1"/>
      <c r="X439" s="1"/>
      <c r="AC439" s="1">
        <v>3587</v>
      </c>
      <c r="AD439" s="1">
        <v>89069.000000062704</v>
      </c>
      <c r="AG439">
        <v>3587</v>
      </c>
      <c r="AH439">
        <v>10551110.999961199</v>
      </c>
    </row>
    <row r="440" spans="4:34">
      <c r="D440" s="78"/>
      <c r="E440" s="175"/>
      <c r="F440" s="175"/>
      <c r="G440" s="175"/>
      <c r="H440" s="175"/>
      <c r="I440" s="175"/>
      <c r="J440" s="78"/>
      <c r="K440" s="79"/>
      <c r="L440" s="83"/>
      <c r="M440" s="83"/>
      <c r="N440" s="83"/>
      <c r="O440" s="83"/>
      <c r="U440" s="1"/>
      <c r="V440" s="1"/>
      <c r="W440" s="1"/>
      <c r="X440" s="1"/>
      <c r="AC440" s="1">
        <v>3587.5</v>
      </c>
      <c r="AD440" s="1">
        <v>89311.999999903797</v>
      </c>
      <c r="AG440">
        <v>3587.5</v>
      </c>
      <c r="AH440">
        <v>10595706.2500294</v>
      </c>
    </row>
    <row r="441" spans="4:34">
      <c r="D441" s="78"/>
      <c r="E441" s="175"/>
      <c r="F441" s="175"/>
      <c r="G441" s="175"/>
      <c r="H441" s="175"/>
      <c r="I441" s="175"/>
      <c r="J441" s="78"/>
      <c r="K441" s="79"/>
      <c r="L441" s="83"/>
      <c r="M441" s="83"/>
      <c r="N441" s="83"/>
      <c r="O441" s="83"/>
      <c r="U441" s="1"/>
      <c r="V441" s="1"/>
      <c r="W441" s="1"/>
      <c r="X441" s="1"/>
      <c r="AC441" s="1">
        <v>3588</v>
      </c>
      <c r="AD441" s="1">
        <v>89554.999999991996</v>
      </c>
      <c r="AG441">
        <v>3588</v>
      </c>
      <c r="AH441">
        <v>10640422.9999814</v>
      </c>
    </row>
    <row r="442" spans="4:34">
      <c r="D442" s="78"/>
      <c r="E442" s="175"/>
      <c r="F442" s="175"/>
      <c r="G442" s="175"/>
      <c r="H442" s="175"/>
      <c r="I442" s="175"/>
      <c r="J442" s="78"/>
      <c r="K442" s="79"/>
      <c r="L442" s="83"/>
      <c r="M442" s="83"/>
      <c r="N442" s="83"/>
      <c r="O442" s="83"/>
      <c r="U442" s="1"/>
      <c r="V442" s="1"/>
      <c r="W442" s="1"/>
      <c r="X442" s="1"/>
      <c r="AC442" s="1">
        <v>3588.5</v>
      </c>
      <c r="AD442" s="1">
        <v>89798.000000080094</v>
      </c>
      <c r="AG442">
        <v>3588.5</v>
      </c>
      <c r="AH442">
        <v>10685261.2499795</v>
      </c>
    </row>
    <row r="443" spans="4:34">
      <c r="D443" s="78"/>
      <c r="E443" s="175"/>
      <c r="F443" s="175"/>
      <c r="G443" s="175"/>
      <c r="H443" s="175"/>
      <c r="I443" s="175"/>
      <c r="J443" s="78"/>
      <c r="K443" s="79"/>
      <c r="L443" s="83"/>
      <c r="M443" s="83"/>
      <c r="N443" s="83"/>
      <c r="O443" s="83"/>
      <c r="U443" s="1"/>
      <c r="V443" s="1"/>
      <c r="W443" s="1"/>
      <c r="X443" s="1"/>
      <c r="AC443" s="1">
        <v>3589</v>
      </c>
      <c r="AD443" s="1">
        <v>90040.999999921201</v>
      </c>
      <c r="AG443">
        <v>3589</v>
      </c>
      <c r="AH443">
        <v>10730221.000023499</v>
      </c>
    </row>
    <row r="444" spans="4:34">
      <c r="D444" s="78"/>
      <c r="E444" s="175"/>
      <c r="F444" s="175"/>
      <c r="G444" s="175"/>
      <c r="H444" s="175"/>
      <c r="I444" s="175"/>
      <c r="J444" s="78"/>
      <c r="K444" s="79"/>
      <c r="L444" s="83"/>
      <c r="M444" s="83"/>
      <c r="N444" s="83"/>
      <c r="O444" s="83"/>
      <c r="U444" s="1"/>
      <c r="V444" s="1"/>
      <c r="W444" s="1"/>
      <c r="X444" s="1"/>
      <c r="AC444" s="1">
        <v>3589.5</v>
      </c>
      <c r="AD444" s="1">
        <v>90284.000000009401</v>
      </c>
      <c r="AG444">
        <v>3589.5</v>
      </c>
      <c r="AH444">
        <v>10775302.250032499</v>
      </c>
    </row>
    <row r="445" spans="4:34">
      <c r="D445" s="78"/>
      <c r="E445" s="175"/>
      <c r="F445" s="175"/>
      <c r="G445" s="175"/>
      <c r="H445" s="175"/>
      <c r="I445" s="175"/>
      <c r="J445" s="78"/>
      <c r="K445" s="79"/>
      <c r="L445" s="83"/>
      <c r="M445" s="83"/>
      <c r="N445" s="83"/>
      <c r="O445" s="83"/>
      <c r="U445" s="1"/>
      <c r="V445" s="1"/>
      <c r="W445" s="1"/>
      <c r="X445" s="1"/>
      <c r="AC445" s="1">
        <v>3590</v>
      </c>
      <c r="AD445" s="1">
        <v>90527.000000097498</v>
      </c>
      <c r="AG445">
        <v>3590</v>
      </c>
      <c r="AH445">
        <v>10820505.0000064</v>
      </c>
    </row>
    <row r="446" spans="4:34">
      <c r="D446" s="78"/>
      <c r="E446" s="175"/>
      <c r="F446" s="175"/>
      <c r="G446" s="175"/>
      <c r="H446" s="175"/>
      <c r="I446" s="175"/>
      <c r="J446" s="78"/>
      <c r="K446" s="79"/>
      <c r="L446" s="83"/>
      <c r="M446" s="83"/>
      <c r="N446" s="83"/>
      <c r="O446" s="83"/>
      <c r="U446" s="1"/>
      <c r="V446" s="1"/>
      <c r="W446" s="1"/>
      <c r="X446" s="1"/>
      <c r="AC446" s="1">
        <v>3590.5</v>
      </c>
      <c r="AD446" s="1">
        <v>90769.999999938605</v>
      </c>
      <c r="AG446">
        <v>3590.5</v>
      </c>
      <c r="AH446">
        <v>10865829.250026301</v>
      </c>
    </row>
    <row r="447" spans="4:34">
      <c r="D447" s="78"/>
      <c r="E447" s="175"/>
      <c r="F447" s="175"/>
      <c r="G447" s="175"/>
      <c r="H447" s="175"/>
      <c r="I447" s="175"/>
      <c r="J447" s="78"/>
      <c r="K447" s="79"/>
      <c r="L447" s="83"/>
      <c r="M447" s="83"/>
      <c r="N447" s="83"/>
      <c r="O447" s="83"/>
      <c r="U447" s="1"/>
      <c r="V447" s="1"/>
      <c r="W447" s="1"/>
      <c r="X447" s="1"/>
      <c r="AC447" s="1">
        <v>3591</v>
      </c>
      <c r="AD447" s="1">
        <v>91013.000000026805</v>
      </c>
      <c r="AG447">
        <v>3591</v>
      </c>
      <c r="AH447">
        <v>10911275.0000111</v>
      </c>
    </row>
    <row r="448" spans="4:34">
      <c r="D448" s="78"/>
      <c r="E448" s="175"/>
      <c r="F448" s="175"/>
      <c r="G448" s="175"/>
      <c r="H448" s="175"/>
      <c r="I448" s="175"/>
      <c r="J448" s="78"/>
      <c r="K448" s="79"/>
      <c r="L448" s="83"/>
      <c r="M448" s="83"/>
      <c r="N448" s="83"/>
      <c r="O448" s="83"/>
      <c r="U448" s="1"/>
      <c r="V448" s="1"/>
      <c r="W448" s="1"/>
      <c r="X448" s="1"/>
      <c r="AC448" s="1">
        <v>3591.5</v>
      </c>
      <c r="AD448" s="1">
        <v>91256.000000114902</v>
      </c>
      <c r="AG448">
        <v>3591.5</v>
      </c>
      <c r="AH448">
        <v>10956842.249960801</v>
      </c>
    </row>
    <row r="449" spans="4:34">
      <c r="D449" s="78"/>
      <c r="E449" s="175"/>
      <c r="F449" s="175"/>
      <c r="G449" s="175"/>
      <c r="H449" s="175"/>
      <c r="I449" s="175"/>
      <c r="J449" s="78"/>
      <c r="K449" s="79"/>
      <c r="L449" s="83"/>
      <c r="M449" s="83"/>
      <c r="N449" s="83"/>
      <c r="O449" s="83"/>
      <c r="U449" s="1"/>
      <c r="V449" s="1"/>
      <c r="W449" s="1"/>
      <c r="X449" s="1"/>
      <c r="AC449" s="1">
        <v>3592</v>
      </c>
      <c r="AD449" s="1">
        <v>91498.999999955995</v>
      </c>
      <c r="AG449">
        <v>3592</v>
      </c>
      <c r="AH449">
        <v>11002531.000037599</v>
      </c>
    </row>
    <row r="450" spans="4:34">
      <c r="D450" s="78"/>
      <c r="E450" s="175"/>
      <c r="F450" s="175"/>
      <c r="G450" s="175"/>
      <c r="H450" s="175"/>
      <c r="I450" s="175"/>
      <c r="J450" s="78"/>
      <c r="K450" s="79"/>
      <c r="L450" s="83"/>
      <c r="M450" s="83"/>
      <c r="N450" s="83"/>
      <c r="O450" s="83"/>
      <c r="U450" s="1"/>
      <c r="V450" s="1"/>
      <c r="W450" s="1"/>
      <c r="X450" s="1"/>
      <c r="AC450" s="1">
        <v>3592.5</v>
      </c>
      <c r="AD450" s="1">
        <v>91742.000000044194</v>
      </c>
      <c r="AG450">
        <v>3592.5</v>
      </c>
      <c r="AH450">
        <v>11048341.249998299</v>
      </c>
    </row>
    <row r="451" spans="4:34">
      <c r="D451" s="78"/>
      <c r="E451" s="175"/>
      <c r="F451" s="175"/>
      <c r="G451" s="175"/>
      <c r="H451" s="175"/>
      <c r="I451" s="175"/>
      <c r="J451" s="78"/>
      <c r="K451" s="79"/>
      <c r="L451" s="83"/>
      <c r="M451" s="83"/>
      <c r="N451" s="83"/>
      <c r="O451" s="83"/>
      <c r="U451" s="1"/>
      <c r="V451" s="1"/>
      <c r="W451" s="1"/>
      <c r="X451" s="1"/>
      <c r="AC451" s="1">
        <v>3593</v>
      </c>
      <c r="AD451" s="1">
        <v>91984.9999998852</v>
      </c>
      <c r="AG451">
        <v>3593</v>
      </c>
      <c r="AH451">
        <v>11094273.000004999</v>
      </c>
    </row>
    <row r="452" spans="4:34">
      <c r="D452" s="78"/>
      <c r="E452" s="175"/>
      <c r="F452" s="175"/>
      <c r="G452" s="175"/>
      <c r="H452" s="175"/>
      <c r="I452" s="175"/>
      <c r="J452" s="78"/>
      <c r="K452" s="79"/>
      <c r="L452" s="83"/>
      <c r="M452" s="83"/>
      <c r="N452" s="83"/>
      <c r="O452" s="83"/>
      <c r="U452" s="1"/>
      <c r="V452" s="1"/>
      <c r="W452" s="1"/>
      <c r="X452" s="1"/>
      <c r="AC452" s="1">
        <v>3593.5</v>
      </c>
      <c r="AD452" s="1">
        <v>92227.999999973399</v>
      </c>
      <c r="AG452">
        <v>3593.5</v>
      </c>
      <c r="AH452">
        <v>11140326.2499766</v>
      </c>
    </row>
    <row r="453" spans="4:34">
      <c r="D453" s="78"/>
      <c r="E453" s="175"/>
      <c r="F453" s="175"/>
      <c r="G453" s="175"/>
      <c r="H453" s="175"/>
      <c r="I453" s="175"/>
      <c r="J453" s="78"/>
      <c r="K453" s="79"/>
      <c r="L453" s="83"/>
      <c r="M453" s="83"/>
      <c r="N453" s="83"/>
      <c r="O453" s="83"/>
      <c r="U453" s="1"/>
      <c r="V453" s="1"/>
      <c r="W453" s="1"/>
      <c r="X453" s="1"/>
      <c r="AC453" s="1">
        <v>3594</v>
      </c>
      <c r="AD453" s="1">
        <v>92471.000000061598</v>
      </c>
      <c r="AG453">
        <v>3594</v>
      </c>
      <c r="AH453">
        <v>11186500.9999942</v>
      </c>
    </row>
    <row r="454" spans="4:34">
      <c r="D454" s="78"/>
      <c r="E454" s="175"/>
      <c r="F454" s="175"/>
      <c r="G454" s="175"/>
      <c r="H454" s="175"/>
      <c r="I454" s="175"/>
      <c r="J454" s="78"/>
      <c r="K454" s="79"/>
      <c r="L454" s="83"/>
      <c r="M454" s="83"/>
      <c r="N454" s="83"/>
      <c r="O454" s="83"/>
      <c r="U454" s="1"/>
      <c r="V454" s="1"/>
      <c r="W454" s="1"/>
      <c r="X454" s="1"/>
      <c r="AC454" s="1">
        <v>3594.5</v>
      </c>
      <c r="AD454" s="1">
        <v>92713.999999902604</v>
      </c>
      <c r="AG454">
        <v>3594.5</v>
      </c>
      <c r="AH454">
        <v>11232797.2499767</v>
      </c>
    </row>
    <row r="455" spans="4:34">
      <c r="D455" s="78"/>
      <c r="E455" s="175"/>
      <c r="F455" s="175"/>
      <c r="G455" s="175"/>
      <c r="H455" s="175"/>
      <c r="I455" s="175"/>
      <c r="J455" s="78"/>
      <c r="K455" s="79"/>
      <c r="L455" s="83"/>
      <c r="M455" s="83"/>
      <c r="N455" s="83"/>
      <c r="O455" s="83"/>
      <c r="U455" s="1"/>
      <c r="V455" s="1"/>
      <c r="W455" s="1"/>
      <c r="X455" s="1"/>
      <c r="AC455" s="1">
        <v>3595</v>
      </c>
      <c r="AD455" s="1">
        <v>92956.999999990803</v>
      </c>
      <c r="AG455">
        <v>3595</v>
      </c>
      <c r="AH455">
        <v>11279215.000005201</v>
      </c>
    </row>
    <row r="456" spans="4:34">
      <c r="D456" s="78"/>
      <c r="E456" s="175"/>
      <c r="F456" s="175"/>
      <c r="G456" s="175"/>
      <c r="H456" s="175"/>
      <c r="I456" s="175"/>
      <c r="J456" s="78"/>
      <c r="K456" s="79"/>
      <c r="L456" s="83"/>
      <c r="M456" s="83"/>
      <c r="N456" s="83"/>
      <c r="O456" s="83"/>
      <c r="U456" s="1"/>
      <c r="V456" s="1"/>
      <c r="W456" s="1"/>
      <c r="X456" s="1"/>
      <c r="AC456" s="1">
        <v>3595.5</v>
      </c>
      <c r="AD456" s="1">
        <v>93200.0000000789</v>
      </c>
      <c r="AG456">
        <v>3595.5</v>
      </c>
      <c r="AH456">
        <v>11325754.2499987</v>
      </c>
    </row>
    <row r="457" spans="4:34">
      <c r="D457" s="78"/>
      <c r="E457" s="175"/>
      <c r="F457" s="175"/>
      <c r="G457" s="175"/>
      <c r="H457" s="175"/>
      <c r="I457" s="175"/>
      <c r="J457" s="78"/>
      <c r="K457" s="79"/>
      <c r="L457" s="83"/>
      <c r="M457" s="83"/>
      <c r="N457" s="83"/>
      <c r="O457" s="83"/>
      <c r="U457" s="1"/>
      <c r="V457" s="1"/>
      <c r="W457" s="1"/>
      <c r="X457" s="1"/>
      <c r="AC457" s="1">
        <v>3596</v>
      </c>
      <c r="AD457" s="1">
        <v>93442.999999919994</v>
      </c>
      <c r="AG457">
        <v>3596</v>
      </c>
      <c r="AH457">
        <v>11372415.0000381</v>
      </c>
    </row>
    <row r="458" spans="4:34">
      <c r="D458" s="78"/>
      <c r="E458" s="175"/>
      <c r="F458" s="175"/>
      <c r="G458" s="175"/>
      <c r="H458" s="175"/>
      <c r="I458" s="175"/>
      <c r="J458" s="78"/>
      <c r="K458" s="79"/>
      <c r="L458" s="83"/>
      <c r="M458" s="83"/>
      <c r="N458" s="83"/>
      <c r="O458" s="83"/>
      <c r="U458" s="1"/>
      <c r="V458" s="1"/>
      <c r="W458" s="1"/>
      <c r="X458" s="1"/>
      <c r="AC458" s="1">
        <v>3596.5</v>
      </c>
      <c r="AD458" s="1">
        <v>93686.000000008207</v>
      </c>
      <c r="AG458">
        <v>3596.5</v>
      </c>
      <c r="AH458">
        <v>11419197.2499614</v>
      </c>
    </row>
    <row r="459" spans="4:34">
      <c r="D459" s="78"/>
      <c r="E459" s="175"/>
      <c r="F459" s="175"/>
      <c r="G459" s="175"/>
      <c r="H459" s="175"/>
      <c r="I459" s="175"/>
      <c r="J459" s="78"/>
      <c r="K459" s="79"/>
      <c r="L459" s="83"/>
      <c r="M459" s="83"/>
      <c r="N459" s="83"/>
      <c r="O459" s="83"/>
      <c r="U459" s="1"/>
      <c r="V459" s="1"/>
      <c r="W459" s="1"/>
      <c r="X459" s="1"/>
      <c r="AC459" s="1">
        <v>3597</v>
      </c>
      <c r="AD459" s="1">
        <v>93929.000000096305</v>
      </c>
      <c r="AG459">
        <v>3597</v>
      </c>
      <c r="AH459">
        <v>11466101.0000118</v>
      </c>
    </row>
    <row r="460" spans="4:34">
      <c r="D460" s="78"/>
      <c r="E460" s="175"/>
      <c r="F460" s="175"/>
      <c r="G460" s="175"/>
      <c r="H460" s="175"/>
      <c r="I460" s="175"/>
      <c r="J460" s="78"/>
      <c r="K460" s="79"/>
      <c r="L460" s="83"/>
      <c r="M460" s="83"/>
      <c r="N460" s="83"/>
      <c r="O460" s="83"/>
      <c r="U460" s="1"/>
      <c r="V460" s="1"/>
      <c r="W460" s="1"/>
      <c r="X460" s="1"/>
      <c r="AC460" s="1">
        <v>3597.5</v>
      </c>
      <c r="AD460" s="1">
        <v>94171.999999937398</v>
      </c>
      <c r="AG460">
        <v>3597.5</v>
      </c>
      <c r="AH460">
        <v>11513126.2500271</v>
      </c>
    </row>
    <row r="461" spans="4:34">
      <c r="D461" s="78"/>
      <c r="E461" s="175"/>
      <c r="F461" s="175"/>
      <c r="G461" s="175"/>
      <c r="H461" s="175"/>
      <c r="I461" s="175"/>
      <c r="J461" s="78"/>
      <c r="K461" s="79"/>
      <c r="L461" s="83"/>
      <c r="M461" s="83"/>
      <c r="N461" s="83"/>
      <c r="O461" s="83"/>
      <c r="U461" s="1"/>
      <c r="V461" s="1"/>
      <c r="W461" s="1"/>
      <c r="X461" s="1"/>
      <c r="AC461" s="1">
        <v>3598</v>
      </c>
      <c r="AD461" s="1">
        <v>94415.000000025597</v>
      </c>
      <c r="AG461">
        <v>3598</v>
      </c>
      <c r="AH461">
        <v>11560273.0000073</v>
      </c>
    </row>
    <row r="462" spans="4:34">
      <c r="D462" s="78"/>
      <c r="E462" s="175"/>
      <c r="F462" s="175"/>
      <c r="G462" s="175"/>
      <c r="H462" s="175"/>
      <c r="I462" s="175"/>
      <c r="J462" s="78"/>
      <c r="K462" s="79"/>
      <c r="L462" s="83"/>
      <c r="M462" s="83"/>
      <c r="N462" s="83"/>
      <c r="O462" s="83"/>
      <c r="U462" s="1"/>
      <c r="V462" s="1"/>
      <c r="W462" s="1"/>
      <c r="X462" s="1"/>
      <c r="AC462" s="1">
        <v>3598.5</v>
      </c>
      <c r="AD462" s="1">
        <v>94658.000000113694</v>
      </c>
      <c r="AG462">
        <v>3598.5</v>
      </c>
      <c r="AH462">
        <v>11607541.2500335</v>
      </c>
    </row>
    <row r="463" spans="4:34">
      <c r="D463" s="78"/>
      <c r="E463" s="175"/>
      <c r="F463" s="175"/>
      <c r="G463" s="175"/>
      <c r="H463" s="175"/>
      <c r="I463" s="175"/>
      <c r="J463" s="78"/>
      <c r="K463" s="79"/>
      <c r="L463" s="83"/>
      <c r="M463" s="83"/>
      <c r="N463" s="83"/>
      <c r="O463" s="83"/>
      <c r="U463" s="1"/>
      <c r="V463" s="1"/>
      <c r="W463" s="1"/>
      <c r="X463" s="1"/>
      <c r="AC463" s="1">
        <v>3599</v>
      </c>
      <c r="AD463" s="1">
        <v>94900.999999954802</v>
      </c>
      <c r="AG463">
        <v>3599</v>
      </c>
      <c r="AH463">
        <v>11654931.000024701</v>
      </c>
    </row>
    <row r="464" spans="4:34">
      <c r="D464" s="78"/>
      <c r="E464" s="175"/>
      <c r="F464" s="175"/>
      <c r="G464" s="175"/>
      <c r="H464" s="175"/>
      <c r="I464" s="175"/>
      <c r="J464" s="78"/>
      <c r="K464" s="79"/>
      <c r="L464" s="83"/>
      <c r="M464" s="83"/>
      <c r="N464" s="83"/>
      <c r="O464" s="83"/>
      <c r="U464" s="1"/>
      <c r="V464" s="1"/>
      <c r="W464" s="1"/>
      <c r="X464" s="1"/>
      <c r="AC464" s="1">
        <v>3599.5</v>
      </c>
      <c r="AD464" s="1">
        <v>95144.000000043001</v>
      </c>
      <c r="AG464">
        <v>3599.5</v>
      </c>
      <c r="AH464">
        <v>11702442.249980699</v>
      </c>
    </row>
    <row r="465" spans="4:34">
      <c r="D465" s="78"/>
      <c r="E465" s="175"/>
      <c r="F465" s="175"/>
      <c r="G465" s="175"/>
      <c r="H465" s="175"/>
      <c r="I465" s="175"/>
      <c r="J465" s="78"/>
      <c r="K465" s="79"/>
      <c r="L465" s="83"/>
      <c r="M465" s="83"/>
      <c r="N465" s="83"/>
      <c r="O465" s="83"/>
      <c r="U465" s="1"/>
      <c r="V465" s="1"/>
      <c r="W465" s="1"/>
      <c r="X465" s="1"/>
      <c r="AC465" s="1">
        <v>3600</v>
      </c>
      <c r="AD465" s="1">
        <v>95386.999999884007</v>
      </c>
      <c r="AG465">
        <v>3600</v>
      </c>
      <c r="AH465">
        <v>11750074.9999828</v>
      </c>
    </row>
    <row r="466" spans="4:34">
      <c r="D466" s="78"/>
      <c r="E466" s="175"/>
      <c r="F466" s="175"/>
      <c r="G466" s="175"/>
      <c r="H466" s="175"/>
      <c r="I466" s="175"/>
      <c r="J466" s="78"/>
      <c r="K466" s="79"/>
      <c r="L466" s="83"/>
      <c r="M466" s="83"/>
      <c r="N466" s="83"/>
      <c r="O466" s="83"/>
      <c r="U466" s="1"/>
      <c r="V466" s="1"/>
      <c r="W466" s="1"/>
      <c r="X466" s="1"/>
      <c r="AC466" s="1">
        <v>3600.5</v>
      </c>
      <c r="AD466" s="1">
        <v>95650.5500001006</v>
      </c>
      <c r="AG466">
        <v>3600.5</v>
      </c>
      <c r="AH466">
        <v>11797834.390033601</v>
      </c>
    </row>
    <row r="467" spans="4:34">
      <c r="D467" s="78"/>
      <c r="E467" s="175"/>
      <c r="F467" s="175"/>
      <c r="G467" s="175"/>
      <c r="H467" s="175"/>
      <c r="I467" s="175"/>
      <c r="J467" s="78"/>
      <c r="K467" s="79"/>
      <c r="L467" s="83"/>
      <c r="M467" s="83"/>
      <c r="N467" s="83"/>
      <c r="O467" s="83"/>
      <c r="U467" s="1"/>
      <c r="V467" s="1"/>
      <c r="W467" s="1"/>
      <c r="X467" s="1"/>
      <c r="AC467" s="1">
        <v>3601</v>
      </c>
      <c r="AD467" s="1">
        <v>95914.100000070102</v>
      </c>
      <c r="AG467">
        <v>3601</v>
      </c>
      <c r="AH467">
        <v>11845725.550001901</v>
      </c>
    </row>
    <row r="468" spans="4:34">
      <c r="D468" s="78"/>
      <c r="E468" s="175"/>
      <c r="F468" s="175"/>
      <c r="G468" s="175"/>
      <c r="H468" s="175"/>
      <c r="I468" s="175"/>
      <c r="J468" s="78"/>
      <c r="K468" s="79"/>
      <c r="L468" s="83"/>
      <c r="M468" s="83"/>
      <c r="N468" s="83"/>
      <c r="O468" s="83"/>
      <c r="U468" s="1"/>
      <c r="V468" s="1"/>
      <c r="W468" s="1"/>
      <c r="X468" s="1"/>
      <c r="AC468" s="1">
        <v>3601.5</v>
      </c>
      <c r="AD468" s="1">
        <v>96177.650000039604</v>
      </c>
      <c r="AG468">
        <v>3601.5</v>
      </c>
      <c r="AH468">
        <v>11893748.4900217</v>
      </c>
    </row>
    <row r="469" spans="4:34">
      <c r="D469" s="78"/>
      <c r="E469" s="175"/>
      <c r="F469" s="175"/>
      <c r="G469" s="175"/>
      <c r="H469" s="175"/>
      <c r="I469" s="175"/>
      <c r="J469" s="78"/>
      <c r="K469" s="79"/>
      <c r="L469" s="83"/>
      <c r="M469" s="83"/>
      <c r="N469" s="83"/>
      <c r="O469" s="83"/>
      <c r="U469" s="1"/>
      <c r="V469" s="1"/>
      <c r="W469" s="1"/>
      <c r="X469" s="1"/>
      <c r="AC469" s="1">
        <v>3602</v>
      </c>
      <c r="AD469" s="1">
        <v>96441.200000009005</v>
      </c>
      <c r="AG469">
        <v>3602</v>
      </c>
      <c r="AH469">
        <v>11941903.20004</v>
      </c>
    </row>
    <row r="470" spans="4:34">
      <c r="D470" s="78"/>
      <c r="E470" s="175"/>
      <c r="F470" s="175"/>
      <c r="G470" s="175"/>
      <c r="H470" s="175"/>
      <c r="I470" s="175"/>
      <c r="J470" s="78"/>
      <c r="K470" s="79"/>
      <c r="L470" s="83"/>
      <c r="M470" s="83"/>
      <c r="N470" s="83"/>
      <c r="O470" s="83"/>
      <c r="U470" s="1"/>
      <c r="V470" s="1"/>
      <c r="W470" s="1"/>
      <c r="X470" s="1"/>
      <c r="AC470" s="1">
        <v>3602.5</v>
      </c>
      <c r="AD470" s="1">
        <v>96704.749999978507</v>
      </c>
      <c r="AG470">
        <v>3602.5</v>
      </c>
      <c r="AH470">
        <v>11990189.690028699</v>
      </c>
    </row>
    <row r="471" spans="4:34">
      <c r="D471" s="78"/>
      <c r="E471" s="175"/>
      <c r="F471" s="175"/>
      <c r="G471" s="175"/>
      <c r="H471" s="175"/>
      <c r="I471" s="175"/>
      <c r="J471" s="78"/>
      <c r="K471" s="79"/>
      <c r="L471" s="83"/>
      <c r="M471" s="83"/>
      <c r="N471" s="83"/>
      <c r="O471" s="83"/>
      <c r="U471" s="1"/>
      <c r="V471" s="1"/>
      <c r="W471" s="1"/>
      <c r="X471" s="1"/>
      <c r="AC471" s="1">
        <v>3603</v>
      </c>
      <c r="AD471" s="1">
        <v>96968.299999947994</v>
      </c>
      <c r="AG471">
        <v>3603</v>
      </c>
      <c r="AH471">
        <v>12038607.9500161</v>
      </c>
    </row>
    <row r="472" spans="4:34">
      <c r="D472" s="78"/>
      <c r="E472" s="175"/>
      <c r="F472" s="175"/>
      <c r="G472" s="175"/>
      <c r="H472" s="175"/>
      <c r="I472" s="175"/>
      <c r="J472" s="78"/>
      <c r="K472" s="79"/>
      <c r="L472" s="83"/>
      <c r="M472" s="83"/>
      <c r="N472" s="83"/>
      <c r="O472" s="83"/>
      <c r="U472" s="1"/>
      <c r="V472" s="1"/>
      <c r="W472" s="1"/>
      <c r="X472" s="1"/>
      <c r="AC472" s="1">
        <v>3603.5</v>
      </c>
      <c r="AD472" s="1">
        <v>97231.849999917496</v>
      </c>
      <c r="AG472">
        <v>3603.5</v>
      </c>
      <c r="AH472">
        <v>12087157.9899737</v>
      </c>
    </row>
    <row r="473" spans="4:34">
      <c r="D473" s="78"/>
      <c r="E473" s="175"/>
      <c r="F473" s="175"/>
      <c r="G473" s="175"/>
      <c r="H473" s="175"/>
      <c r="I473" s="175"/>
      <c r="J473" s="78"/>
      <c r="K473" s="79"/>
      <c r="L473" s="83"/>
      <c r="M473" s="83"/>
      <c r="N473" s="83"/>
      <c r="O473" s="83"/>
      <c r="U473" s="1"/>
      <c r="V473" s="1"/>
      <c r="W473" s="1"/>
      <c r="X473" s="1"/>
      <c r="AC473" s="1">
        <v>3604</v>
      </c>
      <c r="AD473" s="1">
        <v>97495.399999886897</v>
      </c>
      <c r="AG473">
        <v>3604</v>
      </c>
      <c r="AH473">
        <v>12135839.8000111</v>
      </c>
    </row>
    <row r="474" spans="4:34">
      <c r="D474" s="78"/>
      <c r="E474" s="175"/>
      <c r="F474" s="175"/>
      <c r="G474" s="175"/>
      <c r="H474" s="175"/>
      <c r="I474" s="175"/>
      <c r="J474" s="78"/>
      <c r="K474" s="79"/>
      <c r="L474" s="83"/>
      <c r="M474" s="83"/>
      <c r="N474" s="83"/>
      <c r="O474" s="83"/>
      <c r="U474" s="1"/>
      <c r="V474" s="1"/>
      <c r="W474" s="1"/>
      <c r="X474" s="1"/>
      <c r="AC474" s="1">
        <v>3604.5</v>
      </c>
      <c r="AD474" s="1">
        <v>97758.950000103505</v>
      </c>
      <c r="AG474">
        <v>3604.5</v>
      </c>
      <c r="AH474">
        <v>12184653.3900188</v>
      </c>
    </row>
    <row r="475" spans="4:34">
      <c r="D475" s="78"/>
      <c r="E475" s="175"/>
      <c r="F475" s="175"/>
      <c r="G475" s="175"/>
      <c r="H475" s="175"/>
      <c r="I475" s="175"/>
      <c r="J475" s="78"/>
      <c r="K475" s="79"/>
      <c r="L475" s="83"/>
      <c r="M475" s="83"/>
      <c r="N475" s="83"/>
      <c r="O475" s="83"/>
      <c r="U475" s="1"/>
      <c r="V475" s="1"/>
      <c r="W475" s="1"/>
      <c r="X475" s="1"/>
      <c r="AC475" s="1">
        <v>3605</v>
      </c>
      <c r="AD475" s="1">
        <v>98022.500000073007</v>
      </c>
      <c r="AG475">
        <v>3605</v>
      </c>
      <c r="AH475">
        <v>12233598.750025099</v>
      </c>
    </row>
    <row r="476" spans="4:34">
      <c r="D476" s="78"/>
      <c r="E476" s="175"/>
      <c r="F476" s="175"/>
      <c r="G476" s="175"/>
      <c r="H476" s="175"/>
      <c r="I476" s="175"/>
      <c r="J476" s="78"/>
      <c r="K476" s="79"/>
      <c r="L476" s="83"/>
      <c r="M476" s="83"/>
      <c r="N476" s="83"/>
      <c r="O476" s="83"/>
      <c r="U476" s="1"/>
      <c r="V476" s="1"/>
      <c r="W476" s="1"/>
      <c r="X476" s="1"/>
      <c r="AC476" s="1">
        <v>3605.5</v>
      </c>
      <c r="AD476" s="1">
        <v>98286.050000042495</v>
      </c>
      <c r="AG476">
        <v>3605.5</v>
      </c>
      <c r="AH476">
        <v>12282675.8900018</v>
      </c>
    </row>
    <row r="477" spans="4:34">
      <c r="D477" s="78"/>
      <c r="E477" s="175"/>
      <c r="F477" s="175"/>
      <c r="G477" s="175"/>
      <c r="H477" s="175"/>
      <c r="I477" s="175"/>
      <c r="J477" s="78"/>
      <c r="K477" s="79"/>
      <c r="L477" s="83"/>
      <c r="M477" s="83"/>
      <c r="N477" s="83"/>
      <c r="O477" s="83"/>
      <c r="U477" s="1"/>
      <c r="V477" s="1"/>
      <c r="W477" s="1"/>
      <c r="X477" s="1"/>
      <c r="AC477" s="1">
        <v>3606</v>
      </c>
      <c r="AD477" s="1">
        <v>98549.600000011997</v>
      </c>
      <c r="AG477">
        <v>3606</v>
      </c>
      <c r="AH477">
        <v>12331884.799977001</v>
      </c>
    </row>
    <row r="478" spans="4:34">
      <c r="D478" s="78"/>
      <c r="E478" s="175"/>
      <c r="F478" s="175"/>
      <c r="G478" s="175"/>
      <c r="H478" s="175"/>
      <c r="I478" s="175"/>
      <c r="J478" s="78"/>
      <c r="K478" s="79"/>
      <c r="L478" s="83"/>
      <c r="M478" s="83"/>
      <c r="N478" s="83"/>
      <c r="O478" s="83"/>
      <c r="U478" s="1"/>
      <c r="V478" s="1"/>
      <c r="W478" s="1"/>
      <c r="X478" s="1"/>
      <c r="AC478" s="1">
        <v>3606.5</v>
      </c>
      <c r="AD478" s="1">
        <v>98813.149999981397</v>
      </c>
      <c r="AG478">
        <v>3606.5</v>
      </c>
      <c r="AH478">
        <v>12381225.490003699</v>
      </c>
    </row>
    <row r="479" spans="4:34">
      <c r="D479" s="78"/>
      <c r="E479" s="175"/>
      <c r="F479" s="175"/>
      <c r="G479" s="175"/>
      <c r="H479" s="175"/>
      <c r="I479" s="175"/>
      <c r="J479" s="78"/>
      <c r="K479" s="79"/>
      <c r="L479" s="83"/>
      <c r="M479" s="83"/>
      <c r="N479" s="83"/>
      <c r="O479" s="83"/>
      <c r="U479" s="1"/>
      <c r="V479" s="1"/>
      <c r="W479" s="1"/>
      <c r="X479" s="1"/>
      <c r="AC479" s="1">
        <v>3607</v>
      </c>
      <c r="AD479" s="1">
        <v>99076.699999950899</v>
      </c>
      <c r="AG479">
        <v>3607</v>
      </c>
      <c r="AH479">
        <v>12430697.950029001</v>
      </c>
    </row>
    <row r="480" spans="4:34">
      <c r="D480" s="78"/>
      <c r="E480" s="175"/>
      <c r="F480" s="175"/>
      <c r="G480" s="175"/>
      <c r="H480" s="175"/>
      <c r="I480" s="175"/>
      <c r="J480" s="78"/>
      <c r="K480" s="79"/>
      <c r="L480" s="83"/>
      <c r="M480" s="83"/>
      <c r="N480" s="83"/>
      <c r="O480" s="83"/>
      <c r="U480" s="1"/>
      <c r="V480" s="1"/>
      <c r="W480" s="1"/>
      <c r="X480" s="1"/>
      <c r="AC480" s="1">
        <v>3607.5</v>
      </c>
      <c r="AD480" s="1">
        <v>99340.249999920401</v>
      </c>
      <c r="AG480">
        <v>3607.5</v>
      </c>
      <c r="AH480">
        <v>12480302.1900247</v>
      </c>
    </row>
    <row r="481" spans="4:34">
      <c r="D481" s="78"/>
      <c r="E481" s="175"/>
      <c r="F481" s="175"/>
      <c r="G481" s="175"/>
      <c r="H481" s="175"/>
      <c r="I481" s="175"/>
      <c r="J481" s="78"/>
      <c r="K481" s="79"/>
      <c r="L481" s="83"/>
      <c r="M481" s="83"/>
      <c r="N481" s="83"/>
      <c r="O481" s="83"/>
      <c r="U481" s="1"/>
      <c r="V481" s="1"/>
      <c r="W481" s="1"/>
      <c r="X481" s="1"/>
      <c r="AC481" s="1">
        <v>3608</v>
      </c>
      <c r="AD481" s="1">
        <v>99603.799999889903</v>
      </c>
      <c r="AG481">
        <v>3608</v>
      </c>
      <c r="AH481">
        <v>12530038.2000189</v>
      </c>
    </row>
    <row r="482" spans="4:34">
      <c r="D482" s="78"/>
      <c r="E482" s="175"/>
      <c r="F482" s="175"/>
      <c r="G482" s="175"/>
      <c r="H482" s="175"/>
      <c r="I482" s="175"/>
      <c r="J482" s="78"/>
      <c r="K482" s="79"/>
      <c r="L482" s="83"/>
      <c r="M482" s="83"/>
      <c r="N482" s="83"/>
      <c r="O482" s="83"/>
      <c r="U482" s="1"/>
      <c r="V482" s="1"/>
      <c r="W482" s="1"/>
      <c r="X482" s="1"/>
      <c r="AC482" s="1">
        <v>3608.5</v>
      </c>
      <c r="AD482" s="1">
        <v>99867.350000106497</v>
      </c>
      <c r="AG482">
        <v>3608.5</v>
      </c>
      <c r="AH482">
        <v>12579905.9899836</v>
      </c>
    </row>
    <row r="483" spans="4:34">
      <c r="D483" s="78"/>
      <c r="E483" s="175"/>
      <c r="F483" s="175"/>
      <c r="G483" s="175"/>
      <c r="H483" s="175"/>
      <c r="I483" s="175"/>
      <c r="J483" s="78"/>
      <c r="K483" s="79"/>
      <c r="L483" s="83"/>
      <c r="M483" s="83"/>
      <c r="N483" s="83"/>
      <c r="O483" s="83"/>
      <c r="U483" s="1"/>
      <c r="V483" s="1"/>
      <c r="W483" s="1"/>
      <c r="X483" s="1"/>
      <c r="AC483" s="1">
        <v>3609</v>
      </c>
      <c r="AD483" s="1">
        <v>100130.900000076</v>
      </c>
      <c r="AG483">
        <v>3609</v>
      </c>
      <c r="AH483">
        <v>12629905.550027899</v>
      </c>
    </row>
    <row r="484" spans="4:34">
      <c r="D484" s="78"/>
      <c r="E484" s="175"/>
      <c r="F484" s="175"/>
      <c r="G484" s="175"/>
      <c r="H484" s="175"/>
      <c r="I484" s="175"/>
      <c r="J484" s="78"/>
      <c r="K484" s="79"/>
      <c r="L484" s="83"/>
      <c r="M484" s="83"/>
      <c r="N484" s="83"/>
      <c r="O484" s="83"/>
      <c r="U484" s="1"/>
      <c r="V484" s="1"/>
      <c r="W484" s="1"/>
      <c r="X484" s="1"/>
      <c r="AC484" s="1">
        <v>3609.5</v>
      </c>
      <c r="AD484" s="1">
        <v>100394.45000004501</v>
      </c>
      <c r="AG484">
        <v>3609.5</v>
      </c>
      <c r="AH484">
        <v>12680036.889961399</v>
      </c>
    </row>
    <row r="485" spans="4:34">
      <c r="D485" s="78"/>
      <c r="E485" s="175"/>
      <c r="F485" s="175"/>
      <c r="G485" s="175"/>
      <c r="H485" s="175"/>
      <c r="I485" s="175"/>
      <c r="J485" s="78"/>
      <c r="K485" s="79"/>
      <c r="L485" s="83"/>
      <c r="M485" s="83"/>
      <c r="N485" s="83"/>
      <c r="O485" s="83"/>
      <c r="U485" s="1"/>
      <c r="V485" s="1"/>
      <c r="W485" s="1"/>
      <c r="X485" s="1"/>
      <c r="AC485" s="1">
        <v>3610</v>
      </c>
      <c r="AD485" s="1">
        <v>100658.000000015</v>
      </c>
      <c r="AG485">
        <v>3610</v>
      </c>
      <c r="AH485">
        <v>12730299.9999747</v>
      </c>
    </row>
    <row r="486" spans="4:34">
      <c r="D486" s="78"/>
      <c r="E486" s="175"/>
      <c r="F486" s="175"/>
      <c r="G486" s="175"/>
      <c r="H486" s="175"/>
      <c r="I486" s="175"/>
      <c r="J486" s="78"/>
      <c r="K486" s="79"/>
      <c r="L486" s="83"/>
      <c r="M486" s="83"/>
      <c r="N486" s="83"/>
      <c r="O486" s="83"/>
      <c r="U486" s="1"/>
      <c r="V486" s="1"/>
      <c r="W486" s="1"/>
      <c r="X486" s="1"/>
      <c r="AC486" s="1">
        <v>3610.5</v>
      </c>
      <c r="AD486" s="1">
        <v>100921.549999984</v>
      </c>
      <c r="AG486">
        <v>3610.5</v>
      </c>
      <c r="AH486">
        <v>12780694.890039399</v>
      </c>
    </row>
    <row r="487" spans="4:34">
      <c r="D487" s="78"/>
      <c r="E487" s="175"/>
      <c r="F487" s="175"/>
      <c r="G487" s="175"/>
      <c r="H487" s="175"/>
      <c r="I487" s="175"/>
      <c r="J487" s="78"/>
      <c r="K487" s="79"/>
      <c r="L487" s="83"/>
      <c r="M487" s="83"/>
      <c r="N487" s="83"/>
      <c r="O487" s="83"/>
      <c r="U487" s="1"/>
      <c r="V487" s="1"/>
      <c r="W487" s="1"/>
      <c r="X487" s="1"/>
      <c r="AC487" s="1">
        <v>3611</v>
      </c>
      <c r="AD487" s="1">
        <v>101185.09999995401</v>
      </c>
      <c r="AG487">
        <v>3611</v>
      </c>
      <c r="AH487">
        <v>12831221.5500216</v>
      </c>
    </row>
    <row r="488" spans="4:34">
      <c r="D488" s="78"/>
      <c r="E488" s="175"/>
      <c r="F488" s="175"/>
      <c r="G488" s="175"/>
      <c r="H488" s="175"/>
      <c r="I488" s="175"/>
      <c r="J488" s="78"/>
      <c r="K488" s="79"/>
      <c r="L488" s="83"/>
      <c r="M488" s="83"/>
      <c r="N488" s="83"/>
      <c r="O488" s="83"/>
      <c r="U488" s="1"/>
      <c r="V488" s="1"/>
      <c r="W488" s="1"/>
      <c r="X488" s="1"/>
      <c r="AC488" s="1">
        <v>3611.5</v>
      </c>
      <c r="AD488" s="1">
        <v>101448.649999923</v>
      </c>
      <c r="AG488">
        <v>3611.5</v>
      </c>
      <c r="AH488">
        <v>12881879.989974201</v>
      </c>
    </row>
    <row r="489" spans="4:34">
      <c r="D489" s="78"/>
      <c r="E489" s="175"/>
      <c r="F489" s="175"/>
      <c r="G489" s="175"/>
      <c r="H489" s="175"/>
      <c r="I489" s="175"/>
      <c r="J489" s="78"/>
      <c r="K489" s="79"/>
      <c r="L489" s="83"/>
      <c r="M489" s="83"/>
      <c r="N489" s="83"/>
      <c r="O489" s="83"/>
      <c r="U489" s="1"/>
      <c r="V489" s="1"/>
      <c r="W489" s="1"/>
      <c r="X489" s="1"/>
      <c r="AC489" s="1">
        <v>3612</v>
      </c>
      <c r="AD489" s="1">
        <v>101712.199999893</v>
      </c>
      <c r="AG489">
        <v>3612</v>
      </c>
      <c r="AH489">
        <v>12932670.200006399</v>
      </c>
    </row>
    <row r="490" spans="4:34">
      <c r="D490" s="78"/>
      <c r="E490" s="175"/>
      <c r="F490" s="175"/>
      <c r="G490" s="175"/>
      <c r="H490" s="175"/>
      <c r="I490" s="175"/>
      <c r="J490" s="78"/>
      <c r="K490" s="79"/>
      <c r="L490" s="83"/>
      <c r="M490" s="83"/>
      <c r="N490" s="83"/>
      <c r="O490" s="83"/>
      <c r="U490" s="1"/>
      <c r="V490" s="1"/>
      <c r="W490" s="1"/>
      <c r="X490" s="1"/>
      <c r="AC490" s="1">
        <v>3612.5</v>
      </c>
      <c r="AD490" s="1">
        <v>101975.75000010899</v>
      </c>
      <c r="AG490">
        <v>3612.5</v>
      </c>
      <c r="AH490">
        <v>12983592.190009</v>
      </c>
    </row>
    <row r="491" spans="4:34">
      <c r="D491" s="78"/>
      <c r="E491" s="175"/>
      <c r="F491" s="175"/>
      <c r="G491" s="175"/>
      <c r="H491" s="175"/>
      <c r="I491" s="175"/>
      <c r="J491" s="78"/>
      <c r="K491" s="79"/>
      <c r="L491" s="83"/>
      <c r="M491" s="83"/>
      <c r="N491" s="83"/>
      <c r="O491" s="83"/>
      <c r="U491" s="1"/>
      <c r="V491" s="1"/>
      <c r="W491" s="1"/>
      <c r="X491" s="1"/>
      <c r="AC491" s="1">
        <v>3613</v>
      </c>
      <c r="AD491" s="1">
        <v>102239.30000007901</v>
      </c>
      <c r="AG491">
        <v>3613</v>
      </c>
      <c r="AH491">
        <v>13034645.9500103</v>
      </c>
    </row>
    <row r="492" spans="4:34">
      <c r="D492" s="78"/>
      <c r="E492" s="175"/>
      <c r="F492" s="175"/>
      <c r="G492" s="175"/>
      <c r="H492" s="175"/>
      <c r="I492" s="175"/>
      <c r="J492" s="78"/>
      <c r="K492" s="79"/>
      <c r="L492" s="83"/>
      <c r="M492" s="83"/>
      <c r="N492" s="83"/>
      <c r="O492" s="83"/>
      <c r="U492" s="1"/>
      <c r="V492" s="1"/>
      <c r="W492" s="1"/>
      <c r="X492" s="1"/>
      <c r="AC492" s="1">
        <v>3613.5</v>
      </c>
      <c r="AD492" s="1">
        <v>102502.850000048</v>
      </c>
      <c r="AG492">
        <v>3613.5</v>
      </c>
      <c r="AH492">
        <v>13085831.4899818</v>
      </c>
    </row>
    <row r="493" spans="4:34">
      <c r="D493" s="78"/>
      <c r="E493" s="175"/>
      <c r="F493" s="175"/>
      <c r="G493" s="175"/>
      <c r="H493" s="175"/>
      <c r="I493" s="175"/>
      <c r="J493" s="78"/>
      <c r="K493" s="79"/>
      <c r="L493" s="83"/>
      <c r="M493" s="83"/>
      <c r="N493" s="83"/>
      <c r="O493" s="83"/>
      <c r="U493" s="1"/>
      <c r="V493" s="1"/>
      <c r="W493" s="1"/>
      <c r="X493" s="1"/>
      <c r="AC493" s="1">
        <v>3614</v>
      </c>
      <c r="AD493" s="1">
        <v>102766.40000001799</v>
      </c>
      <c r="AG493">
        <v>3614</v>
      </c>
      <c r="AH493">
        <v>13137148.8000331</v>
      </c>
    </row>
    <row r="494" spans="4:34">
      <c r="D494" s="78"/>
      <c r="E494" s="175"/>
      <c r="F494" s="175"/>
      <c r="G494" s="175"/>
      <c r="H494" s="175"/>
      <c r="I494" s="175"/>
      <c r="J494" s="78"/>
      <c r="K494" s="79"/>
      <c r="L494" s="83"/>
      <c r="M494" s="83"/>
      <c r="N494" s="83"/>
      <c r="O494" s="83"/>
      <c r="U494" s="1"/>
      <c r="V494" s="1"/>
      <c r="W494" s="1"/>
      <c r="X494" s="1"/>
      <c r="AC494" s="1">
        <v>3614.5</v>
      </c>
      <c r="AD494" s="1">
        <v>103029.949999987</v>
      </c>
      <c r="AG494">
        <v>3614.5</v>
      </c>
      <c r="AH494">
        <v>13188597.889973599</v>
      </c>
    </row>
    <row r="495" spans="4:34">
      <c r="D495" s="78"/>
      <c r="E495" s="175"/>
      <c r="F495" s="175"/>
      <c r="G495" s="175"/>
      <c r="H495" s="175"/>
      <c r="I495" s="175"/>
      <c r="J495" s="78"/>
      <c r="K495" s="79"/>
      <c r="L495" s="83"/>
      <c r="M495" s="83"/>
      <c r="N495" s="83"/>
      <c r="O495" s="83"/>
      <c r="U495" s="1"/>
      <c r="V495" s="1"/>
      <c r="W495" s="1"/>
      <c r="X495" s="1"/>
      <c r="AC495" s="1">
        <v>3615</v>
      </c>
      <c r="AD495" s="1">
        <v>103293.499999957</v>
      </c>
      <c r="AG495">
        <v>3615</v>
      </c>
      <c r="AH495">
        <v>13240178.749993799</v>
      </c>
    </row>
    <row r="496" spans="4:34">
      <c r="D496" s="78"/>
      <c r="E496" s="175"/>
      <c r="F496" s="175"/>
      <c r="G496" s="175"/>
      <c r="H496" s="175"/>
      <c r="I496" s="175"/>
      <c r="J496" s="78"/>
      <c r="K496" s="79"/>
      <c r="L496" s="83"/>
      <c r="M496" s="83"/>
      <c r="N496" s="83"/>
      <c r="O496" s="83"/>
      <c r="U496" s="1"/>
      <c r="V496" s="1"/>
      <c r="W496" s="1"/>
      <c r="X496" s="1"/>
      <c r="AC496" s="1">
        <v>3615.5</v>
      </c>
      <c r="AD496" s="1">
        <v>103557.04999992601</v>
      </c>
      <c r="AG496">
        <v>3615.5</v>
      </c>
      <c r="AH496">
        <v>13291891.389984399</v>
      </c>
    </row>
    <row r="497" spans="4:34">
      <c r="D497" s="78"/>
      <c r="E497" s="175"/>
      <c r="F497" s="175"/>
      <c r="G497" s="175"/>
      <c r="H497" s="175"/>
      <c r="I497" s="175"/>
      <c r="J497" s="78"/>
      <c r="K497" s="79"/>
      <c r="L497" s="83"/>
      <c r="M497" s="83"/>
      <c r="N497" s="83"/>
      <c r="O497" s="83"/>
      <c r="U497" s="1"/>
      <c r="V497" s="1"/>
      <c r="W497" s="1"/>
      <c r="X497" s="1"/>
      <c r="AC497" s="1">
        <v>3616</v>
      </c>
      <c r="AD497" s="1">
        <v>103820.599999896</v>
      </c>
      <c r="AG497">
        <v>3616</v>
      </c>
      <c r="AH497">
        <v>13343735.799973501</v>
      </c>
    </row>
    <row r="498" spans="4:34">
      <c r="D498" s="78"/>
      <c r="E498" s="175"/>
      <c r="F498" s="175"/>
      <c r="G498" s="175"/>
      <c r="H498" s="175"/>
      <c r="I498" s="175"/>
      <c r="J498" s="78"/>
      <c r="K498" s="79"/>
      <c r="L498" s="83"/>
      <c r="M498" s="83"/>
      <c r="N498" s="83"/>
      <c r="O498" s="83"/>
      <c r="U498" s="1"/>
      <c r="V498" s="1"/>
      <c r="W498" s="1"/>
      <c r="X498" s="1"/>
      <c r="AC498" s="1">
        <v>3616.5</v>
      </c>
      <c r="AD498" s="1">
        <v>104084.150000112</v>
      </c>
      <c r="AG498">
        <v>3616.5</v>
      </c>
      <c r="AH498">
        <v>13395711.9900141</v>
      </c>
    </row>
    <row r="499" spans="4:34">
      <c r="D499" s="78"/>
      <c r="E499" s="175"/>
      <c r="F499" s="175"/>
      <c r="G499" s="175"/>
      <c r="H499" s="175"/>
      <c r="I499" s="175"/>
      <c r="J499" s="78"/>
      <c r="K499" s="79"/>
      <c r="L499" s="83"/>
      <c r="M499" s="83"/>
      <c r="N499" s="83"/>
      <c r="O499" s="83"/>
      <c r="U499" s="1"/>
      <c r="V499" s="1"/>
      <c r="W499" s="1"/>
      <c r="X499" s="1"/>
      <c r="AC499" s="1">
        <v>3617</v>
      </c>
      <c r="AD499" s="1">
        <v>104347.700000082</v>
      </c>
      <c r="AG499">
        <v>3617</v>
      </c>
      <c r="AH499">
        <v>13447819.9499723</v>
      </c>
    </row>
    <row r="500" spans="4:34">
      <c r="D500" s="78"/>
      <c r="E500" s="175"/>
      <c r="F500" s="175"/>
      <c r="G500" s="175"/>
      <c r="H500" s="175"/>
      <c r="I500" s="175"/>
      <c r="J500" s="78"/>
      <c r="K500" s="79"/>
      <c r="L500" s="83"/>
      <c r="M500" s="83"/>
      <c r="N500" s="83"/>
      <c r="O500" s="83"/>
      <c r="U500" s="1"/>
      <c r="V500" s="1"/>
      <c r="W500" s="1"/>
      <c r="X500" s="1"/>
      <c r="AC500" s="1">
        <v>3617.5</v>
      </c>
      <c r="AD500" s="1">
        <v>104611.250000051</v>
      </c>
      <c r="AG500">
        <v>3617.5</v>
      </c>
      <c r="AH500">
        <v>13500059.6899818</v>
      </c>
    </row>
    <row r="501" spans="4:34">
      <c r="D501" s="78"/>
      <c r="E501" s="175"/>
      <c r="F501" s="175"/>
      <c r="G501" s="175"/>
      <c r="H501" s="175"/>
      <c r="I501" s="175"/>
      <c r="J501" s="78"/>
      <c r="K501" s="79"/>
      <c r="L501" s="83"/>
      <c r="M501" s="83"/>
      <c r="N501" s="83"/>
      <c r="O501" s="83"/>
      <c r="U501" s="1"/>
      <c r="V501" s="1"/>
      <c r="W501" s="1"/>
      <c r="X501" s="1"/>
      <c r="AC501" s="1">
        <v>3618</v>
      </c>
      <c r="AD501" s="1">
        <v>104874.800000021</v>
      </c>
      <c r="AG501">
        <v>3618</v>
      </c>
      <c r="AH501">
        <v>13552431.199990001</v>
      </c>
    </row>
    <row r="502" spans="4:34">
      <c r="D502" s="78"/>
      <c r="E502" s="175"/>
      <c r="F502" s="175"/>
      <c r="G502" s="175"/>
      <c r="H502" s="175"/>
      <c r="I502" s="175"/>
      <c r="J502" s="78"/>
      <c r="K502" s="79"/>
      <c r="L502" s="83"/>
      <c r="M502" s="83"/>
      <c r="N502" s="83"/>
      <c r="O502" s="83"/>
      <c r="U502" s="1"/>
      <c r="V502" s="1"/>
      <c r="W502" s="1"/>
      <c r="X502" s="1"/>
      <c r="AC502" s="1">
        <v>3618.5</v>
      </c>
      <c r="AD502" s="1">
        <v>105138.34999998999</v>
      </c>
      <c r="AG502">
        <v>3618.5</v>
      </c>
      <c r="AH502">
        <v>13604934.489968499</v>
      </c>
    </row>
    <row r="503" spans="4:34">
      <c r="D503" s="78"/>
      <c r="E503" s="175"/>
      <c r="F503" s="175"/>
      <c r="G503" s="175"/>
      <c r="H503" s="175"/>
      <c r="I503" s="175"/>
      <c r="J503" s="78"/>
      <c r="K503" s="79"/>
      <c r="L503" s="83"/>
      <c r="M503" s="83"/>
      <c r="N503" s="83"/>
      <c r="O503" s="83"/>
      <c r="U503" s="1"/>
      <c r="V503" s="1"/>
      <c r="W503" s="1"/>
      <c r="X503" s="1"/>
      <c r="AC503" s="1">
        <v>3619</v>
      </c>
      <c r="AD503" s="1">
        <v>105401.89999996001</v>
      </c>
      <c r="AG503">
        <v>3619</v>
      </c>
      <c r="AH503">
        <v>13657569.5500267</v>
      </c>
    </row>
    <row r="504" spans="4:34">
      <c r="D504" s="78"/>
      <c r="E504" s="175"/>
      <c r="F504" s="175"/>
      <c r="G504" s="175"/>
      <c r="H504" s="175"/>
      <c r="I504" s="175"/>
      <c r="J504" s="78"/>
      <c r="K504" s="79"/>
      <c r="L504" s="83"/>
      <c r="M504" s="83"/>
      <c r="N504" s="83"/>
      <c r="O504" s="83"/>
      <c r="U504" s="1"/>
      <c r="V504" s="1"/>
      <c r="W504" s="1"/>
      <c r="X504" s="1"/>
      <c r="AC504" s="1">
        <v>3619.5</v>
      </c>
      <c r="AD504" s="1">
        <v>105665.449999929</v>
      </c>
      <c r="AG504">
        <v>3619.5</v>
      </c>
      <c r="AH504">
        <v>13710336.389974199</v>
      </c>
    </row>
    <row r="505" spans="4:34">
      <c r="D505" s="78"/>
      <c r="E505" s="175"/>
      <c r="F505" s="175"/>
      <c r="G505" s="175"/>
      <c r="H505" s="175"/>
      <c r="I505" s="175"/>
      <c r="J505" s="78"/>
      <c r="K505" s="79"/>
      <c r="L505" s="83"/>
      <c r="M505" s="83"/>
      <c r="N505" s="83"/>
      <c r="O505" s="83"/>
      <c r="U505" s="1"/>
      <c r="V505" s="1"/>
      <c r="W505" s="1"/>
      <c r="X505" s="1"/>
      <c r="AC505" s="1">
        <v>3620</v>
      </c>
      <c r="AD505" s="1">
        <v>105928.999999899</v>
      </c>
      <c r="AG505">
        <v>3620</v>
      </c>
      <c r="AH505">
        <v>13763235.0000013</v>
      </c>
    </row>
    <row r="506" spans="4:34">
      <c r="D506" s="78"/>
      <c r="E506" s="175"/>
      <c r="F506" s="175"/>
      <c r="G506" s="175"/>
      <c r="H506" s="175"/>
      <c r="I506" s="175"/>
      <c r="J506" s="78"/>
      <c r="K506" s="79"/>
      <c r="L506" s="83"/>
      <c r="M506" s="83"/>
      <c r="N506" s="83"/>
      <c r="O506" s="83"/>
      <c r="U506" s="1"/>
      <c r="V506" s="1"/>
      <c r="W506" s="1"/>
      <c r="X506" s="1"/>
      <c r="AC506" s="1">
        <v>3620.5</v>
      </c>
      <c r="AD506" s="1">
        <v>106232.119999958</v>
      </c>
      <c r="AG506">
        <v>3620.5</v>
      </c>
      <c r="AH506">
        <v>13816275.279970201</v>
      </c>
    </row>
    <row r="507" spans="4:34">
      <c r="D507" s="78"/>
      <c r="E507" s="175"/>
      <c r="F507" s="175"/>
      <c r="G507" s="175"/>
      <c r="H507" s="175"/>
      <c r="I507" s="175"/>
      <c r="J507" s="78"/>
      <c r="K507" s="79"/>
      <c r="L507" s="83"/>
      <c r="M507" s="83"/>
      <c r="N507" s="83"/>
      <c r="O507" s="83"/>
      <c r="U507" s="1"/>
      <c r="V507" s="1"/>
      <c r="W507" s="1"/>
      <c r="X507" s="1"/>
      <c r="AC507" s="1">
        <v>3621</v>
      </c>
      <c r="AD507" s="1">
        <v>106535.249999879</v>
      </c>
      <c r="AG507">
        <v>3621</v>
      </c>
      <c r="AH507">
        <v>13869467.1200142</v>
      </c>
    </row>
    <row r="508" spans="4:34">
      <c r="D508" s="78"/>
      <c r="E508" s="175"/>
      <c r="F508" s="175"/>
      <c r="G508" s="175"/>
      <c r="H508" s="175"/>
      <c r="I508" s="175"/>
      <c r="J508" s="78"/>
      <c r="K508" s="79"/>
      <c r="L508" s="83"/>
      <c r="M508" s="83"/>
      <c r="N508" s="83"/>
      <c r="O508" s="83"/>
      <c r="U508" s="1"/>
      <c r="V508" s="1"/>
      <c r="W508" s="1"/>
      <c r="X508" s="1"/>
      <c r="AC508" s="1">
        <v>3621.5</v>
      </c>
      <c r="AD508" s="1">
        <v>106838.36999993899</v>
      </c>
      <c r="AG508">
        <v>3621.5</v>
      </c>
      <c r="AH508">
        <v>13922810.530024</v>
      </c>
    </row>
    <row r="509" spans="4:34">
      <c r="D509" s="78"/>
      <c r="E509" s="175"/>
      <c r="F509" s="175"/>
      <c r="G509" s="175"/>
      <c r="H509" s="175"/>
      <c r="I509" s="175"/>
      <c r="J509" s="78"/>
      <c r="K509" s="79"/>
      <c r="L509" s="83"/>
      <c r="M509" s="83"/>
      <c r="N509" s="83"/>
      <c r="O509" s="83"/>
      <c r="U509" s="1"/>
      <c r="V509" s="1"/>
      <c r="W509" s="1"/>
      <c r="X509" s="1"/>
      <c r="AC509" s="1">
        <v>3622</v>
      </c>
      <c r="AD509" s="1">
        <v>107141.500000106</v>
      </c>
      <c r="AG509">
        <v>3622</v>
      </c>
      <c r="AH509">
        <v>13976305.500027999</v>
      </c>
    </row>
    <row r="510" spans="4:34">
      <c r="D510" s="78"/>
      <c r="E510" s="175"/>
      <c r="F510" s="175"/>
      <c r="G510" s="175"/>
      <c r="H510" s="175"/>
      <c r="I510" s="175"/>
      <c r="J510" s="78"/>
      <c r="K510" s="79"/>
      <c r="L510" s="83"/>
      <c r="M510" s="83"/>
      <c r="N510" s="83"/>
      <c r="O510" s="83"/>
      <c r="U510" s="1"/>
      <c r="V510" s="1"/>
      <c r="W510" s="1"/>
      <c r="X510" s="1"/>
      <c r="AC510" s="1">
        <v>3622.5</v>
      </c>
      <c r="AD510" s="1">
        <v>107444.619999919</v>
      </c>
      <c r="AG510">
        <v>3622.5</v>
      </c>
      <c r="AH510">
        <v>14029952.030026</v>
      </c>
    </row>
    <row r="511" spans="4:34">
      <c r="D511" s="78"/>
      <c r="E511" s="175"/>
      <c r="F511" s="175"/>
      <c r="G511" s="175"/>
      <c r="H511" s="175"/>
      <c r="I511" s="175"/>
      <c r="J511" s="78"/>
      <c r="K511" s="79"/>
      <c r="L511" s="83"/>
      <c r="M511" s="83"/>
      <c r="N511" s="83"/>
      <c r="O511" s="83"/>
      <c r="U511" s="1"/>
      <c r="V511" s="1"/>
      <c r="W511" s="1"/>
      <c r="X511" s="1"/>
      <c r="AC511" s="1">
        <v>3623</v>
      </c>
      <c r="AD511" s="1">
        <v>107747.750000086</v>
      </c>
      <c r="AG511">
        <v>3623</v>
      </c>
      <c r="AH511">
        <v>14083750.1200181</v>
      </c>
    </row>
    <row r="512" spans="4:34">
      <c r="D512" s="78"/>
      <c r="E512" s="175"/>
      <c r="F512" s="175"/>
      <c r="G512" s="175"/>
      <c r="H512" s="175"/>
      <c r="I512" s="175"/>
      <c r="J512" s="78"/>
      <c r="K512" s="79"/>
      <c r="L512" s="83"/>
      <c r="M512" s="83"/>
      <c r="N512" s="83"/>
      <c r="O512" s="83"/>
      <c r="U512" s="1"/>
      <c r="V512" s="1"/>
      <c r="W512" s="1"/>
      <c r="X512" s="1"/>
      <c r="AC512" s="1">
        <v>3623.5</v>
      </c>
      <c r="AD512" s="1">
        <v>108050.86999989901</v>
      </c>
      <c r="AG512">
        <v>3623.5</v>
      </c>
      <c r="AH512">
        <v>14137699.779975999</v>
      </c>
    </row>
    <row r="513" spans="4:34">
      <c r="D513" s="78"/>
      <c r="E513" s="175"/>
      <c r="F513" s="175"/>
      <c r="G513" s="175"/>
      <c r="H513" s="175"/>
      <c r="I513" s="175"/>
      <c r="J513" s="78"/>
      <c r="K513" s="79"/>
      <c r="L513" s="83"/>
      <c r="M513" s="83"/>
      <c r="N513" s="83"/>
      <c r="O513" s="83"/>
      <c r="U513" s="1"/>
      <c r="V513" s="1"/>
      <c r="W513" s="1"/>
      <c r="X513" s="1"/>
      <c r="AC513" s="1">
        <v>3624</v>
      </c>
      <c r="AD513" s="1">
        <v>108354.000000067</v>
      </c>
      <c r="AG513">
        <v>3624</v>
      </c>
      <c r="AH513">
        <v>14191801.000009101</v>
      </c>
    </row>
    <row r="514" spans="4:34">
      <c r="D514" s="78"/>
      <c r="E514" s="175"/>
      <c r="F514" s="175"/>
      <c r="G514" s="175"/>
      <c r="H514" s="175"/>
      <c r="I514" s="175"/>
      <c r="J514" s="78"/>
      <c r="K514" s="79"/>
      <c r="L514" s="83"/>
      <c r="M514" s="83"/>
      <c r="N514" s="83"/>
      <c r="O514" s="83"/>
      <c r="U514" s="1"/>
      <c r="V514" s="1"/>
      <c r="W514" s="1"/>
      <c r="X514" s="1"/>
      <c r="AC514" s="1">
        <v>3624.5</v>
      </c>
      <c r="AD514" s="1">
        <v>108657.119999879</v>
      </c>
      <c r="AG514">
        <v>3624.5</v>
      </c>
      <c r="AH514">
        <v>14246053.7800363</v>
      </c>
    </row>
    <row r="515" spans="4:34">
      <c r="D515" s="78"/>
      <c r="E515" s="175"/>
      <c r="F515" s="175"/>
      <c r="G515" s="175"/>
      <c r="H515" s="175"/>
      <c r="I515" s="175"/>
      <c r="J515" s="78"/>
      <c r="K515" s="79"/>
      <c r="L515" s="83"/>
      <c r="M515" s="83"/>
      <c r="N515" s="83"/>
      <c r="O515" s="83"/>
      <c r="U515" s="1"/>
      <c r="V515" s="1"/>
      <c r="W515" s="1"/>
      <c r="X515" s="1"/>
      <c r="AC515" s="1">
        <v>3625</v>
      </c>
      <c r="AD515" s="1">
        <v>108960.250000047</v>
      </c>
      <c r="AG515">
        <v>3625</v>
      </c>
      <c r="AH515">
        <v>14300458.1199765</v>
      </c>
    </row>
    <row r="516" spans="4:34">
      <c r="D516" s="78"/>
      <c r="E516" s="175"/>
      <c r="F516" s="175"/>
      <c r="G516" s="175"/>
      <c r="H516" s="175"/>
      <c r="I516" s="175"/>
      <c r="J516" s="78"/>
      <c r="K516" s="79"/>
      <c r="L516" s="83"/>
      <c r="M516" s="83"/>
      <c r="N516" s="83"/>
      <c r="O516" s="83"/>
      <c r="U516" s="1"/>
      <c r="V516" s="1"/>
      <c r="W516" s="1"/>
      <c r="X516" s="1"/>
      <c r="AC516" s="1">
        <v>3625.5</v>
      </c>
      <c r="AD516" s="1">
        <v>109263.370000107</v>
      </c>
      <c r="AG516">
        <v>3625.5</v>
      </c>
      <c r="AH516">
        <v>14355014.0299636</v>
      </c>
    </row>
    <row r="517" spans="4:34">
      <c r="D517" s="78"/>
      <c r="E517" s="175"/>
      <c r="F517" s="175"/>
      <c r="G517" s="175"/>
      <c r="H517" s="175"/>
      <c r="I517" s="175"/>
      <c r="J517" s="78"/>
      <c r="K517" s="79"/>
      <c r="L517" s="83"/>
      <c r="M517" s="83"/>
      <c r="N517" s="83"/>
      <c r="O517" s="83"/>
      <c r="U517" s="1"/>
      <c r="V517" s="1"/>
      <c r="W517" s="1"/>
      <c r="X517" s="1"/>
      <c r="AC517" s="1">
        <v>3626</v>
      </c>
      <c r="AD517" s="1">
        <v>109566.50000002699</v>
      </c>
      <c r="AG517">
        <v>3626</v>
      </c>
      <c r="AH517">
        <v>14409721.5000259</v>
      </c>
    </row>
    <row r="518" spans="4:34">
      <c r="D518" s="78"/>
      <c r="E518" s="175"/>
      <c r="F518" s="175"/>
      <c r="G518" s="175"/>
      <c r="H518" s="175"/>
      <c r="I518" s="175"/>
      <c r="J518" s="78"/>
      <c r="K518" s="79"/>
      <c r="L518" s="83"/>
      <c r="M518" s="83"/>
      <c r="N518" s="83"/>
      <c r="O518" s="83"/>
      <c r="U518" s="1"/>
      <c r="V518" s="1"/>
      <c r="W518" s="1"/>
      <c r="X518" s="1"/>
      <c r="AC518" s="1">
        <v>3626.5</v>
      </c>
      <c r="AD518" s="1">
        <v>109869.620000087</v>
      </c>
      <c r="AG518">
        <v>3626.5</v>
      </c>
      <c r="AH518">
        <v>14464580.530001201</v>
      </c>
    </row>
    <row r="519" spans="4:34">
      <c r="D519" s="78"/>
      <c r="E519" s="175"/>
      <c r="F519" s="175"/>
      <c r="G519" s="175"/>
      <c r="H519" s="175"/>
      <c r="I519" s="175"/>
      <c r="J519" s="78"/>
      <c r="K519" s="79"/>
      <c r="L519" s="83"/>
      <c r="M519" s="83"/>
      <c r="N519" s="83"/>
      <c r="O519" s="83"/>
      <c r="U519" s="1"/>
      <c r="V519" s="1"/>
      <c r="W519" s="1"/>
      <c r="X519" s="1"/>
      <c r="AC519" s="1">
        <v>3627</v>
      </c>
      <c r="AD519" s="1">
        <v>110172.750000007</v>
      </c>
      <c r="AG519">
        <v>3627</v>
      </c>
      <c r="AH519">
        <v>14519591.119970599</v>
      </c>
    </row>
    <row r="520" spans="4:34">
      <c r="D520" s="78"/>
      <c r="E520" s="175"/>
      <c r="F520" s="175"/>
      <c r="G520" s="175"/>
      <c r="H520" s="175"/>
      <c r="I520" s="175"/>
      <c r="J520" s="78"/>
      <c r="K520" s="79"/>
      <c r="L520" s="83"/>
      <c r="M520" s="83"/>
      <c r="N520" s="83"/>
      <c r="O520" s="83"/>
      <c r="U520" s="1"/>
      <c r="V520" s="1"/>
      <c r="W520" s="1"/>
      <c r="X520" s="1"/>
      <c r="AC520" s="1">
        <v>3627.5</v>
      </c>
      <c r="AD520" s="1">
        <v>110475.87000006701</v>
      </c>
      <c r="AG520">
        <v>3627.5</v>
      </c>
      <c r="AH520">
        <v>14574753.279986899</v>
      </c>
    </row>
    <row r="521" spans="4:34">
      <c r="D521" s="78"/>
      <c r="E521" s="175"/>
      <c r="F521" s="175"/>
      <c r="G521" s="175"/>
      <c r="H521" s="175"/>
      <c r="I521" s="175"/>
      <c r="J521" s="78"/>
      <c r="K521" s="79"/>
      <c r="L521" s="83"/>
      <c r="M521" s="83"/>
      <c r="N521" s="83"/>
      <c r="O521" s="83"/>
      <c r="U521" s="1"/>
      <c r="V521" s="1"/>
      <c r="W521" s="1"/>
      <c r="X521" s="1"/>
      <c r="AC521" s="1">
        <v>3628</v>
      </c>
      <c r="AD521" s="1">
        <v>110778.99999998799</v>
      </c>
      <c r="AG521">
        <v>3628</v>
      </c>
      <c r="AH521">
        <v>14630066.999997299</v>
      </c>
    </row>
    <row r="522" spans="4:34">
      <c r="D522" s="78"/>
      <c r="E522" s="175"/>
      <c r="F522" s="175"/>
      <c r="G522" s="175"/>
      <c r="H522" s="175"/>
      <c r="I522" s="175"/>
      <c r="J522" s="78"/>
      <c r="K522" s="79"/>
      <c r="L522" s="83"/>
      <c r="M522" s="83"/>
      <c r="N522" s="83"/>
      <c r="O522" s="83"/>
      <c r="U522" s="1"/>
      <c r="V522" s="1"/>
      <c r="W522" s="1"/>
      <c r="X522" s="1"/>
      <c r="AC522" s="1">
        <v>3628.5</v>
      </c>
      <c r="AD522" s="1">
        <v>111082.120000047</v>
      </c>
      <c r="AG522">
        <v>3628.5</v>
      </c>
      <c r="AH522">
        <v>14685532.280001801</v>
      </c>
    </row>
    <row r="523" spans="4:34">
      <c r="D523" s="78"/>
      <c r="E523" s="175"/>
      <c r="F523" s="175"/>
      <c r="G523" s="175"/>
      <c r="H523" s="175"/>
      <c r="I523" s="175"/>
      <c r="J523" s="78"/>
      <c r="K523" s="79"/>
      <c r="L523" s="83"/>
      <c r="M523" s="83"/>
      <c r="N523" s="83"/>
      <c r="O523" s="83"/>
      <c r="U523" s="1"/>
      <c r="V523" s="1"/>
      <c r="W523" s="1"/>
      <c r="X523" s="1"/>
      <c r="AC523" s="1">
        <v>3629</v>
      </c>
      <c r="AD523" s="1">
        <v>111385.249999968</v>
      </c>
      <c r="AG523">
        <v>3629</v>
      </c>
      <c r="AH523">
        <v>14741149.120000301</v>
      </c>
    </row>
    <row r="524" spans="4:34">
      <c r="D524" s="78"/>
      <c r="E524" s="175"/>
      <c r="F524" s="175"/>
      <c r="G524" s="175"/>
      <c r="H524" s="175"/>
      <c r="I524" s="175"/>
      <c r="J524" s="78"/>
      <c r="K524" s="79"/>
      <c r="L524" s="83"/>
      <c r="M524" s="83"/>
      <c r="N524" s="83"/>
      <c r="O524" s="83"/>
      <c r="U524" s="1"/>
      <c r="V524" s="1"/>
      <c r="W524" s="1"/>
      <c r="X524" s="1"/>
      <c r="AC524" s="1">
        <v>3629.5</v>
      </c>
      <c r="AD524" s="1">
        <v>111688.37000002799</v>
      </c>
      <c r="AG524">
        <v>3629.5</v>
      </c>
      <c r="AH524">
        <v>14796917.5299647</v>
      </c>
    </row>
    <row r="525" spans="4:34">
      <c r="D525" s="78"/>
      <c r="E525" s="175"/>
      <c r="F525" s="175"/>
      <c r="G525" s="175"/>
      <c r="H525" s="175"/>
      <c r="I525" s="175"/>
      <c r="J525" s="78"/>
      <c r="K525" s="79"/>
      <c r="L525" s="83"/>
      <c r="M525" s="83"/>
      <c r="N525" s="83"/>
      <c r="O525" s="83"/>
      <c r="U525" s="1"/>
      <c r="V525" s="1"/>
      <c r="W525" s="1"/>
      <c r="X525" s="1"/>
      <c r="AC525" s="1">
        <v>3630</v>
      </c>
      <c r="AD525" s="1">
        <v>111991.49999994801</v>
      </c>
      <c r="AG525">
        <v>3630</v>
      </c>
      <c r="AH525">
        <v>14852837.500004301</v>
      </c>
    </row>
    <row r="526" spans="4:34">
      <c r="D526" s="78"/>
      <c r="E526" s="175"/>
      <c r="F526" s="175"/>
      <c r="G526" s="175"/>
      <c r="H526" s="175"/>
      <c r="I526" s="175"/>
      <c r="J526" s="78"/>
      <c r="K526" s="79"/>
      <c r="L526" s="83"/>
      <c r="M526" s="83"/>
      <c r="N526" s="83"/>
      <c r="O526" s="83"/>
      <c r="U526" s="1"/>
      <c r="V526" s="1"/>
      <c r="W526" s="1"/>
      <c r="X526" s="1"/>
      <c r="AC526" s="1">
        <v>3630.5</v>
      </c>
      <c r="AD526" s="1">
        <v>112294.620000008</v>
      </c>
      <c r="AG526">
        <v>3630.5</v>
      </c>
      <c r="AH526">
        <v>14908909.0300379</v>
      </c>
    </row>
    <row r="527" spans="4:34">
      <c r="D527" s="78"/>
      <c r="E527" s="175"/>
      <c r="F527" s="175"/>
      <c r="G527" s="175"/>
      <c r="H527" s="175"/>
      <c r="I527" s="175"/>
      <c r="J527" s="78"/>
      <c r="K527" s="79"/>
      <c r="L527" s="83"/>
      <c r="M527" s="83"/>
      <c r="N527" s="83"/>
      <c r="O527" s="83"/>
      <c r="U527" s="1"/>
      <c r="V527" s="1"/>
      <c r="W527" s="1"/>
      <c r="X527" s="1"/>
      <c r="AC527" s="1">
        <v>3631</v>
      </c>
      <c r="AD527" s="1">
        <v>112597.749999928</v>
      </c>
      <c r="AG527">
        <v>3631</v>
      </c>
      <c r="AH527">
        <v>14965132.119984601</v>
      </c>
    </row>
    <row r="528" spans="4:34">
      <c r="D528" s="78"/>
      <c r="E528" s="175"/>
      <c r="F528" s="175"/>
      <c r="G528" s="175"/>
      <c r="H528" s="175"/>
      <c r="I528" s="175"/>
      <c r="J528" s="78"/>
      <c r="K528" s="79"/>
      <c r="L528" s="83"/>
      <c r="M528" s="83"/>
      <c r="N528" s="83"/>
      <c r="O528" s="83"/>
      <c r="U528" s="1"/>
      <c r="V528" s="1"/>
      <c r="W528" s="1"/>
      <c r="X528" s="1"/>
      <c r="AC528" s="1">
        <v>3631.5</v>
      </c>
      <c r="AD528" s="1">
        <v>112900.869999988</v>
      </c>
      <c r="AG528">
        <v>3631.5</v>
      </c>
      <c r="AH528">
        <v>15021506.779978201</v>
      </c>
    </row>
    <row r="529" spans="4:34">
      <c r="D529" s="78"/>
      <c r="E529" s="175"/>
      <c r="F529" s="175"/>
      <c r="G529" s="175"/>
      <c r="H529" s="175"/>
      <c r="I529" s="175"/>
      <c r="J529" s="78"/>
      <c r="K529" s="79"/>
      <c r="L529" s="83"/>
      <c r="M529" s="83"/>
      <c r="N529" s="83"/>
      <c r="O529" s="83"/>
      <c r="U529" s="1"/>
      <c r="V529" s="1"/>
      <c r="W529" s="1"/>
      <c r="X529" s="1"/>
      <c r="AC529" s="1">
        <v>3632</v>
      </c>
      <c r="AD529" s="1">
        <v>113203.99999990901</v>
      </c>
      <c r="AG529">
        <v>3632</v>
      </c>
      <c r="AH529">
        <v>15078032.9999658</v>
      </c>
    </row>
    <row r="530" spans="4:34">
      <c r="D530" s="78"/>
      <c r="E530" s="175"/>
      <c r="F530" s="175"/>
      <c r="G530" s="175"/>
      <c r="H530" s="175"/>
      <c r="I530" s="175"/>
      <c r="J530" s="78"/>
      <c r="K530" s="79"/>
      <c r="L530" s="83"/>
      <c r="M530" s="83"/>
      <c r="N530" s="83"/>
      <c r="O530" s="83"/>
      <c r="U530" s="1"/>
      <c r="V530" s="1"/>
      <c r="W530" s="1"/>
      <c r="X530" s="1"/>
      <c r="AC530" s="1">
        <v>3632.5</v>
      </c>
      <c r="AD530" s="1">
        <v>113507.119999968</v>
      </c>
      <c r="AG530">
        <v>3632.5</v>
      </c>
      <c r="AH530">
        <v>15134710.7800286</v>
      </c>
    </row>
    <row r="531" spans="4:34">
      <c r="D531" s="78"/>
      <c r="E531" s="175"/>
      <c r="F531" s="175"/>
      <c r="G531" s="175"/>
      <c r="H531" s="175"/>
      <c r="I531" s="175"/>
      <c r="J531" s="78"/>
      <c r="K531" s="79"/>
      <c r="L531" s="83"/>
      <c r="M531" s="83"/>
      <c r="N531" s="83"/>
      <c r="O531" s="83"/>
      <c r="U531" s="1"/>
      <c r="V531" s="1"/>
      <c r="W531" s="1"/>
      <c r="X531" s="1"/>
      <c r="AC531" s="1">
        <v>3633</v>
      </c>
      <c r="AD531" s="1">
        <v>113810.249999889</v>
      </c>
      <c r="AG531">
        <v>3633</v>
      </c>
      <c r="AH531">
        <v>15191540.120004499</v>
      </c>
    </row>
    <row r="532" spans="4:34">
      <c r="U532" s="1"/>
      <c r="V532" s="1"/>
      <c r="W532" s="1"/>
      <c r="X532" s="1"/>
      <c r="AC532" s="1">
        <v>3633.5</v>
      </c>
      <c r="AD532" s="1">
        <v>114113.36999994901</v>
      </c>
      <c r="AG532">
        <v>3633.5</v>
      </c>
      <c r="AH532">
        <v>15248521.0300272</v>
      </c>
    </row>
    <row r="533" spans="4:34">
      <c r="U533" s="1"/>
      <c r="V533" s="1"/>
      <c r="W533" s="1"/>
      <c r="X533" s="1"/>
      <c r="AC533" s="1">
        <v>3634</v>
      </c>
      <c r="AD533" s="1">
        <v>114416.50000011599</v>
      </c>
      <c r="AG533">
        <v>3634</v>
      </c>
      <c r="AH533">
        <v>15305653.499963</v>
      </c>
    </row>
    <row r="534" spans="4:34">
      <c r="U534" s="1"/>
      <c r="V534" s="1"/>
      <c r="W534" s="1"/>
      <c r="X534" s="1"/>
      <c r="AC534" s="1">
        <v>3634.5</v>
      </c>
      <c r="AD534" s="1">
        <v>114719.619999929</v>
      </c>
      <c r="AG534">
        <v>3634.5</v>
      </c>
      <c r="AH534">
        <v>15362937.5299739</v>
      </c>
    </row>
    <row r="535" spans="4:34">
      <c r="U535" s="1"/>
      <c r="V535" s="1"/>
      <c r="W535" s="1"/>
      <c r="X535" s="1"/>
      <c r="AC535" s="1">
        <v>3635</v>
      </c>
      <c r="AD535" s="1">
        <v>115022.750000096</v>
      </c>
      <c r="AG535">
        <v>3635</v>
      </c>
      <c r="AH535">
        <v>15420373.119978899</v>
      </c>
    </row>
    <row r="536" spans="4:34">
      <c r="U536" s="1"/>
      <c r="V536" s="1"/>
      <c r="W536" s="1"/>
      <c r="X536" s="1"/>
      <c r="AC536" s="1">
        <v>3635.5</v>
      </c>
      <c r="AD536" s="1">
        <v>115325.869999909</v>
      </c>
      <c r="AG536">
        <v>3635.5</v>
      </c>
      <c r="AH536">
        <v>15477960.280030901</v>
      </c>
    </row>
    <row r="537" spans="4:34">
      <c r="U537" s="1"/>
      <c r="V537" s="1"/>
      <c r="W537" s="1"/>
      <c r="X537" s="1"/>
      <c r="AC537" s="1">
        <v>3636</v>
      </c>
      <c r="AD537" s="1">
        <v>115629.00000007699</v>
      </c>
      <c r="AG537">
        <v>3636</v>
      </c>
      <c r="AH537">
        <v>15535698.9999958</v>
      </c>
    </row>
    <row r="538" spans="4:34">
      <c r="U538" s="1"/>
      <c r="V538" s="1"/>
      <c r="W538" s="1"/>
      <c r="X538" s="1"/>
      <c r="AC538" s="1">
        <v>3636.5</v>
      </c>
      <c r="AD538" s="1">
        <v>115932.11999988899</v>
      </c>
      <c r="AG538">
        <v>3636.5</v>
      </c>
      <c r="AH538">
        <v>15593589.2800359</v>
      </c>
    </row>
    <row r="539" spans="4:34">
      <c r="U539" s="1"/>
      <c r="V539" s="1"/>
      <c r="W539" s="1"/>
      <c r="X539" s="1"/>
      <c r="AC539" s="1">
        <v>3637</v>
      </c>
      <c r="AD539" s="1">
        <v>116235.250000057</v>
      </c>
      <c r="AG539">
        <v>3637</v>
      </c>
      <c r="AH539">
        <v>15651631.119989</v>
      </c>
    </row>
    <row r="540" spans="4:34">
      <c r="U540" s="1"/>
      <c r="V540" s="1"/>
      <c r="W540" s="1"/>
      <c r="X540" s="1"/>
      <c r="AC540" s="1">
        <v>3637.5</v>
      </c>
      <c r="AD540" s="1">
        <v>116538.37000011699</v>
      </c>
      <c r="AG540">
        <v>3637.5</v>
      </c>
      <c r="AH540">
        <v>15709824.529989</v>
      </c>
    </row>
    <row r="541" spans="4:34">
      <c r="U541" s="1"/>
      <c r="V541" s="1"/>
      <c r="W541" s="1"/>
      <c r="X541" s="1"/>
      <c r="AC541" s="1">
        <v>3638</v>
      </c>
      <c r="AD541" s="1">
        <v>116841.50000003701</v>
      </c>
      <c r="AG541">
        <v>3638</v>
      </c>
      <c r="AH541">
        <v>15768169.499983201</v>
      </c>
    </row>
    <row r="542" spans="4:34">
      <c r="U542" s="1"/>
      <c r="V542" s="1"/>
      <c r="W542" s="1"/>
      <c r="X542" s="1"/>
      <c r="AC542" s="1">
        <v>3638.5</v>
      </c>
      <c r="AD542" s="1">
        <v>117144.620000097</v>
      </c>
      <c r="AG542">
        <v>3638.5</v>
      </c>
      <c r="AH542">
        <v>15826666.0299714</v>
      </c>
    </row>
    <row r="543" spans="4:34">
      <c r="U543" s="1"/>
      <c r="V543" s="1"/>
      <c r="W543" s="1"/>
      <c r="X543" s="1"/>
      <c r="AC543" s="1">
        <v>3639</v>
      </c>
      <c r="AD543" s="1">
        <v>117447.750000017</v>
      </c>
      <c r="AG543">
        <v>3639</v>
      </c>
      <c r="AH543">
        <v>15885314.1200347</v>
      </c>
    </row>
    <row r="544" spans="4:34">
      <c r="U544" s="1"/>
      <c r="V544" s="1"/>
      <c r="W544" s="1"/>
      <c r="X544" s="1"/>
      <c r="AC544" s="1">
        <v>3639.5</v>
      </c>
      <c r="AD544" s="1">
        <v>117750.870000077</v>
      </c>
      <c r="AG544">
        <v>3639.5</v>
      </c>
      <c r="AH544">
        <v>15944113.7799829</v>
      </c>
    </row>
    <row r="545" spans="21:34">
      <c r="U545" s="1"/>
      <c r="V545" s="1"/>
      <c r="W545" s="1"/>
      <c r="X545" s="1"/>
      <c r="AC545" s="1">
        <v>3640</v>
      </c>
      <c r="AD545" s="1">
        <v>118053.999999997</v>
      </c>
      <c r="AG545">
        <v>3640</v>
      </c>
      <c r="AH545">
        <v>16003065.0000061</v>
      </c>
    </row>
    <row r="546" spans="21:34">
      <c r="U546" s="1"/>
      <c r="V546" s="1"/>
      <c r="W546" s="1"/>
      <c r="X546" s="1"/>
      <c r="AC546" s="1">
        <v>3640.5</v>
      </c>
      <c r="AD546" s="1">
        <v>118375.119999908</v>
      </c>
      <c r="AG546">
        <v>3640.5</v>
      </c>
      <c r="AH546">
        <v>16062172.2799682</v>
      </c>
    </row>
    <row r="547" spans="21:34">
      <c r="U547" s="1"/>
      <c r="V547" s="1"/>
      <c r="W547" s="1"/>
      <c r="X547" s="1"/>
      <c r="AC547" s="1">
        <v>3641</v>
      </c>
      <c r="AD547" s="1">
        <v>118696.24999992699</v>
      </c>
      <c r="AG547">
        <v>3641</v>
      </c>
      <c r="AH547">
        <v>16121440.119975699</v>
      </c>
    </row>
    <row r="548" spans="21:34">
      <c r="U548" s="1"/>
      <c r="V548" s="1"/>
      <c r="W548" s="1"/>
      <c r="X548" s="1"/>
      <c r="AC548" s="1">
        <v>3641.5</v>
      </c>
      <c r="AD548" s="1">
        <v>119017.37000008499</v>
      </c>
      <c r="AG548">
        <v>3641.5</v>
      </c>
      <c r="AH548">
        <v>16180868.530000599</v>
      </c>
    </row>
    <row r="549" spans="21:34">
      <c r="U549" s="1"/>
      <c r="V549" s="1"/>
      <c r="W549" s="1"/>
      <c r="X549" s="1"/>
      <c r="AC549" s="1">
        <v>3642</v>
      </c>
      <c r="AD549" s="1">
        <v>119338.500000103</v>
      </c>
      <c r="AG549">
        <v>3642</v>
      </c>
      <c r="AH549">
        <v>16240457.499989901</v>
      </c>
    </row>
    <row r="550" spans="21:34">
      <c r="U550" s="1"/>
      <c r="V550" s="1"/>
      <c r="W550" s="1"/>
      <c r="X550" s="1"/>
      <c r="AC550" s="1">
        <v>3642.5</v>
      </c>
      <c r="AD550" s="1">
        <v>119659.62000001399</v>
      </c>
      <c r="AG550">
        <v>3642.5</v>
      </c>
      <c r="AH550">
        <v>16300207.0300248</v>
      </c>
    </row>
    <row r="551" spans="21:34">
      <c r="U551" s="1"/>
      <c r="V551" s="1"/>
      <c r="W551" s="1"/>
      <c r="X551" s="1"/>
      <c r="AC551" s="1">
        <v>3643</v>
      </c>
      <c r="AD551" s="1">
        <v>119980.750000032</v>
      </c>
      <c r="AG551">
        <v>3643</v>
      </c>
      <c r="AH551">
        <v>16360117.1200241</v>
      </c>
    </row>
    <row r="552" spans="21:34">
      <c r="U552" s="1"/>
      <c r="V552" s="1"/>
      <c r="W552" s="1"/>
      <c r="X552" s="1"/>
      <c r="AC552" s="1">
        <v>3643.5</v>
      </c>
      <c r="AD552" s="1">
        <v>120301.869999943</v>
      </c>
      <c r="AG552">
        <v>3643.5</v>
      </c>
      <c r="AH552">
        <v>16420187.779959699</v>
      </c>
    </row>
    <row r="553" spans="21:34">
      <c r="U553" s="1"/>
      <c r="V553" s="1"/>
      <c r="W553" s="1"/>
      <c r="X553" s="1"/>
      <c r="AC553" s="1">
        <v>3644</v>
      </c>
      <c r="AD553" s="1">
        <v>120622.999999961</v>
      </c>
      <c r="AG553">
        <v>3644</v>
      </c>
      <c r="AH553">
        <v>16480419.0000218</v>
      </c>
    </row>
    <row r="554" spans="21:34">
      <c r="U554" s="1"/>
      <c r="V554" s="1"/>
      <c r="W554" s="1"/>
      <c r="X554" s="1"/>
      <c r="AC554" s="1">
        <v>3644.5</v>
      </c>
      <c r="AD554" s="1">
        <v>120944.120000119</v>
      </c>
      <c r="AG554">
        <v>3644.5</v>
      </c>
      <c r="AH554">
        <v>16540810.779967399</v>
      </c>
    </row>
    <row r="555" spans="21:34">
      <c r="U555" s="1"/>
      <c r="V555" s="1"/>
      <c r="W555" s="1"/>
      <c r="X555" s="1"/>
      <c r="AC555" s="1">
        <v>3645</v>
      </c>
      <c r="AD555" s="1">
        <v>121265.24999989101</v>
      </c>
      <c r="AG555">
        <v>3645</v>
      </c>
      <c r="AH555">
        <v>16601363.1200395</v>
      </c>
    </row>
    <row r="556" spans="21:34">
      <c r="U556" s="1"/>
      <c r="V556" s="1"/>
      <c r="W556" s="1"/>
      <c r="X556" s="1"/>
      <c r="AC556" s="1">
        <v>3645.5</v>
      </c>
      <c r="AD556" s="1">
        <v>121586.37000004901</v>
      </c>
      <c r="AG556">
        <v>3645.5</v>
      </c>
      <c r="AH556">
        <v>16662076.0299668</v>
      </c>
    </row>
    <row r="557" spans="21:34">
      <c r="U557" s="1"/>
      <c r="V557" s="1"/>
      <c r="W557" s="1"/>
      <c r="X557" s="1"/>
      <c r="AC557" s="1">
        <v>3646</v>
      </c>
      <c r="AD557" s="1">
        <v>121907.500000067</v>
      </c>
      <c r="AG557">
        <v>3646</v>
      </c>
      <c r="AH557">
        <v>16722949.5000208</v>
      </c>
    </row>
    <row r="558" spans="21:34">
      <c r="U558" s="1"/>
      <c r="V558" s="1"/>
      <c r="W558" s="1"/>
      <c r="X558" s="1"/>
      <c r="AC558" s="1">
        <v>3646.5</v>
      </c>
      <c r="AD558" s="1">
        <v>122228.61999997799</v>
      </c>
      <c r="AG558">
        <v>3646.5</v>
      </c>
      <c r="AH558">
        <v>16783983.530039102</v>
      </c>
    </row>
    <row r="559" spans="21:34">
      <c r="U559" s="1"/>
      <c r="V559" s="1"/>
      <c r="W559" s="1"/>
      <c r="X559" s="1"/>
      <c r="AC559" s="1">
        <v>3647</v>
      </c>
      <c r="AD559" s="1">
        <v>122549.749999996</v>
      </c>
      <c r="AG559">
        <v>3647</v>
      </c>
      <c r="AH559">
        <v>16845178.120021999</v>
      </c>
    </row>
    <row r="560" spans="21:34">
      <c r="U560" s="1"/>
      <c r="V560" s="1"/>
      <c r="W560" s="1"/>
      <c r="X560" s="1"/>
      <c r="AC560" s="1">
        <v>3647.5</v>
      </c>
      <c r="AD560" s="1">
        <v>122870.86999990699</v>
      </c>
      <c r="AG560">
        <v>3647.5</v>
      </c>
      <c r="AH560">
        <v>16906533.2800221</v>
      </c>
    </row>
    <row r="561" spans="21:34">
      <c r="U561" s="1"/>
      <c r="V561" s="1"/>
      <c r="W561" s="1"/>
      <c r="X561" s="1"/>
      <c r="AC561" s="1">
        <v>3648</v>
      </c>
      <c r="AD561" s="1">
        <v>123191.999999926</v>
      </c>
      <c r="AG561">
        <v>3648</v>
      </c>
      <c r="AH561">
        <v>16968048.999986701</v>
      </c>
    </row>
    <row r="562" spans="21:34">
      <c r="U562" s="1"/>
      <c r="V562" s="1"/>
      <c r="W562" s="1"/>
      <c r="X562" s="1"/>
      <c r="AC562" s="1">
        <v>3648.5</v>
      </c>
      <c r="AD562" s="1">
        <v>123513.120000083</v>
      </c>
      <c r="AG562">
        <v>3648.5</v>
      </c>
      <c r="AH562">
        <v>17029725.279996902</v>
      </c>
    </row>
    <row r="563" spans="21:34">
      <c r="U563" s="1"/>
      <c r="V563" s="1"/>
      <c r="W563" s="1"/>
      <c r="X563" s="1"/>
      <c r="AC563" s="1">
        <v>3649</v>
      </c>
      <c r="AD563" s="1">
        <v>123834.25000010199</v>
      </c>
      <c r="AG563">
        <v>3649</v>
      </c>
      <c r="AH563">
        <v>17091562.119971499</v>
      </c>
    </row>
    <row r="564" spans="21:34">
      <c r="U564" s="1"/>
      <c r="V564" s="1"/>
      <c r="W564" s="1"/>
      <c r="X564" s="1"/>
      <c r="AC564" s="1">
        <v>3649.5</v>
      </c>
      <c r="AD564" s="1">
        <v>124155.370000013</v>
      </c>
      <c r="AG564">
        <v>3649.5</v>
      </c>
      <c r="AH564">
        <v>17153559.5299634</v>
      </c>
    </row>
    <row r="565" spans="21:34">
      <c r="U565" s="1"/>
      <c r="V565" s="1"/>
      <c r="W565" s="1"/>
      <c r="X565" s="1"/>
      <c r="AC565" s="1">
        <v>3650</v>
      </c>
      <c r="AD565" s="1">
        <v>124476.500000031</v>
      </c>
      <c r="AG565">
        <v>3650</v>
      </c>
      <c r="AH565">
        <v>17215717.500000801</v>
      </c>
    </row>
    <row r="566" spans="21:34">
      <c r="U566" s="1"/>
      <c r="V566" s="1"/>
      <c r="W566" s="1"/>
      <c r="X566" s="1"/>
      <c r="AC566" s="1">
        <v>3650.5</v>
      </c>
      <c r="AD566" s="1">
        <v>124797.61999994201</v>
      </c>
      <c r="AG566">
        <v>3650.5</v>
      </c>
      <c r="AH566">
        <v>17278036.030002698</v>
      </c>
    </row>
    <row r="567" spans="21:34">
      <c r="U567" s="1"/>
      <c r="V567" s="1"/>
      <c r="W567" s="1"/>
      <c r="X567" s="1"/>
      <c r="AC567" s="1">
        <v>3651</v>
      </c>
      <c r="AD567" s="1">
        <v>125118.74999996</v>
      </c>
      <c r="AG567">
        <v>3651</v>
      </c>
      <c r="AH567">
        <v>17340515.1199691</v>
      </c>
    </row>
    <row r="568" spans="21:34">
      <c r="U568" s="1"/>
      <c r="V568" s="1"/>
      <c r="W568" s="1"/>
      <c r="X568" s="1"/>
      <c r="AC568" s="1">
        <v>3651.5</v>
      </c>
      <c r="AD568" s="1">
        <v>125439.870000118</v>
      </c>
      <c r="AG568">
        <v>3651.5</v>
      </c>
      <c r="AH568">
        <v>17403154.780033801</v>
      </c>
    </row>
    <row r="569" spans="21:34">
      <c r="U569" s="1"/>
      <c r="V569" s="1"/>
      <c r="W569" s="1"/>
      <c r="X569" s="1"/>
      <c r="AC569" s="1">
        <v>3652</v>
      </c>
      <c r="AD569" s="1">
        <v>125760.99999989</v>
      </c>
      <c r="AG569">
        <v>3652</v>
      </c>
      <c r="AH569">
        <v>17465954.999981899</v>
      </c>
    </row>
    <row r="570" spans="21:34">
      <c r="U570" s="1"/>
      <c r="V570" s="1"/>
      <c r="W570" s="1"/>
      <c r="X570" s="1"/>
      <c r="AC570" s="1">
        <v>3652.5</v>
      </c>
      <c r="AD570" s="1">
        <v>126082.120000047</v>
      </c>
      <c r="AG570">
        <v>3652.5</v>
      </c>
      <c r="AH570">
        <v>17528915.779975601</v>
      </c>
    </row>
    <row r="571" spans="21:34">
      <c r="U571" s="1"/>
      <c r="V571" s="1"/>
      <c r="W571" s="1"/>
      <c r="X571" s="1"/>
      <c r="AC571" s="1">
        <v>3653</v>
      </c>
      <c r="AD571" s="1">
        <v>126403.25000006599</v>
      </c>
      <c r="AG571">
        <v>3653</v>
      </c>
      <c r="AH571">
        <v>17592037.120014802</v>
      </c>
    </row>
    <row r="572" spans="21:34">
      <c r="U572" s="1"/>
      <c r="V572" s="1"/>
      <c r="W572" s="1"/>
      <c r="X572" s="1"/>
      <c r="AC572" s="1">
        <v>3653.5</v>
      </c>
      <c r="AD572" s="1">
        <v>126724.369999977</v>
      </c>
      <c r="AG572">
        <v>3653.5</v>
      </c>
      <c r="AH572">
        <v>17655319.0299902</v>
      </c>
    </row>
    <row r="573" spans="21:34">
      <c r="U573" s="1"/>
      <c r="V573" s="1"/>
      <c r="W573" s="1"/>
      <c r="X573" s="1"/>
      <c r="AC573" s="1">
        <v>3654</v>
      </c>
      <c r="AD573" s="1">
        <v>127045.49999999499</v>
      </c>
      <c r="AG573">
        <v>3654</v>
      </c>
      <c r="AH573">
        <v>17718761.500011101</v>
      </c>
    </row>
    <row r="574" spans="21:34">
      <c r="U574" s="1"/>
      <c r="V574" s="1"/>
      <c r="W574" s="1"/>
      <c r="X574" s="1"/>
      <c r="AC574" s="1">
        <v>3654.5</v>
      </c>
      <c r="AD574" s="1">
        <v>127366.619999906</v>
      </c>
      <c r="AG574">
        <v>3654.5</v>
      </c>
      <c r="AH574">
        <v>17782364.5299966</v>
      </c>
    </row>
    <row r="575" spans="21:34">
      <c r="U575" s="1"/>
      <c r="V575" s="1"/>
      <c r="W575" s="1"/>
      <c r="X575" s="1"/>
      <c r="AC575" s="1">
        <v>3655</v>
      </c>
      <c r="AD575" s="1">
        <v>127687.749999924</v>
      </c>
      <c r="AG575">
        <v>3655</v>
      </c>
      <c r="AH575">
        <v>17846128.120027501</v>
      </c>
    </row>
    <row r="576" spans="21:34">
      <c r="U576" s="1"/>
      <c r="V576" s="1"/>
      <c r="W576" s="1"/>
      <c r="X576" s="1"/>
      <c r="AC576" s="1">
        <v>3655.5</v>
      </c>
      <c r="AD576" s="1">
        <v>128008.870000082</v>
      </c>
      <c r="AG576">
        <v>3655.5</v>
      </c>
      <c r="AH576">
        <v>17910052.2799947</v>
      </c>
    </row>
    <row r="577" spans="21:34">
      <c r="U577" s="1"/>
      <c r="V577" s="1"/>
      <c r="W577" s="1"/>
      <c r="X577" s="1"/>
      <c r="AC577" s="1">
        <v>3656</v>
      </c>
      <c r="AD577" s="1">
        <v>128330.000000101</v>
      </c>
      <c r="AG577">
        <v>3656</v>
      </c>
      <c r="AH577">
        <v>17974137.000007398</v>
      </c>
    </row>
    <row r="578" spans="21:34">
      <c r="U578" s="1"/>
      <c r="V578" s="1"/>
      <c r="W578" s="1"/>
      <c r="X578" s="1"/>
      <c r="AC578" s="1">
        <v>3656.5</v>
      </c>
      <c r="AD578" s="1">
        <v>128651.120000011</v>
      </c>
      <c r="AG578">
        <v>3656.5</v>
      </c>
      <c r="AH578">
        <v>18038382.279984601</v>
      </c>
    </row>
    <row r="579" spans="21:34">
      <c r="U579" s="1"/>
      <c r="V579" s="1"/>
      <c r="W579" s="1"/>
      <c r="X579" s="1"/>
      <c r="AC579" s="1">
        <v>3657</v>
      </c>
      <c r="AD579" s="1">
        <v>128972.25000003001</v>
      </c>
      <c r="AG579">
        <v>3657</v>
      </c>
      <c r="AH579">
        <v>18102788.120007299</v>
      </c>
    </row>
    <row r="580" spans="21:34">
      <c r="U580" s="1"/>
      <c r="V580" s="1"/>
      <c r="W580" s="1"/>
      <c r="X580" s="1"/>
      <c r="AC580" s="1">
        <v>3657.5</v>
      </c>
      <c r="AD580" s="1">
        <v>129293.369999941</v>
      </c>
      <c r="AG580">
        <v>3657.5</v>
      </c>
      <c r="AH580">
        <v>18167354.529966202</v>
      </c>
    </row>
    <row r="581" spans="21:34">
      <c r="U581" s="1"/>
      <c r="V581" s="1"/>
      <c r="W581" s="1"/>
      <c r="X581" s="1"/>
      <c r="AC581" s="1">
        <v>3658</v>
      </c>
      <c r="AD581" s="1">
        <v>129614.49999995901</v>
      </c>
      <c r="AG581">
        <v>3658</v>
      </c>
      <c r="AH581">
        <v>18232081.499970701</v>
      </c>
    </row>
    <row r="582" spans="21:34">
      <c r="U582" s="1"/>
      <c r="V582" s="1"/>
      <c r="W582" s="1"/>
      <c r="X582" s="1"/>
      <c r="AC582" s="1">
        <v>3658.5</v>
      </c>
      <c r="AD582" s="1">
        <v>129935.62000011699</v>
      </c>
      <c r="AG582">
        <v>3658.5</v>
      </c>
      <c r="AH582">
        <v>18296969.030020699</v>
      </c>
    </row>
    <row r="583" spans="21:34">
      <c r="U583" s="1"/>
      <c r="V583" s="1"/>
      <c r="W583" s="1"/>
      <c r="X583" s="1"/>
      <c r="AC583" s="1">
        <v>3659</v>
      </c>
      <c r="AD583" s="1">
        <v>130256.74999988799</v>
      </c>
      <c r="AG583">
        <v>3659</v>
      </c>
      <c r="AH583">
        <v>18362017.120035201</v>
      </c>
    </row>
    <row r="584" spans="21:34">
      <c r="U584" s="1"/>
      <c r="V584" s="1"/>
      <c r="W584" s="1"/>
      <c r="X584" s="1"/>
      <c r="AC584" s="1">
        <v>3659.5</v>
      </c>
      <c r="AD584" s="1">
        <v>130577.87000004599</v>
      </c>
      <c r="AG584">
        <v>3659.5</v>
      </c>
      <c r="AH584">
        <v>18427225.779985901</v>
      </c>
    </row>
    <row r="585" spans="21:34">
      <c r="U585" s="1"/>
      <c r="V585" s="1"/>
      <c r="W585" s="1"/>
      <c r="X585" s="1"/>
      <c r="AC585" s="1">
        <v>3660</v>
      </c>
      <c r="AD585" s="1">
        <v>130899.000000065</v>
      </c>
      <c r="AG585">
        <v>3660</v>
      </c>
      <c r="AH585">
        <v>18492594.9999821</v>
      </c>
    </row>
    <row r="586" spans="21:34">
      <c r="U586" s="1"/>
      <c r="V586" s="1"/>
      <c r="W586" s="1"/>
      <c r="X586" s="1"/>
      <c r="AC586" s="1">
        <v>3660.5</v>
      </c>
      <c r="AD586" s="1">
        <v>131267.70000007999</v>
      </c>
      <c r="AG586">
        <v>3660.5</v>
      </c>
      <c r="AH586">
        <v>18558136.6700246</v>
      </c>
    </row>
    <row r="587" spans="21:34">
      <c r="U587" s="1"/>
      <c r="V587" s="1"/>
      <c r="W587" s="1"/>
      <c r="X587" s="1"/>
      <c r="AC587" s="1">
        <v>3661</v>
      </c>
      <c r="AD587" s="1">
        <v>131636.40000009499</v>
      </c>
      <c r="AG587">
        <v>3661</v>
      </c>
      <c r="AH587">
        <v>18623862.699976701</v>
      </c>
    </row>
    <row r="588" spans="21:34">
      <c r="U588" s="1"/>
      <c r="V588" s="1"/>
      <c r="W588" s="1"/>
      <c r="X588" s="1"/>
      <c r="AC588" s="1">
        <v>3661.5</v>
      </c>
      <c r="AD588" s="1">
        <v>132005.10000010999</v>
      </c>
      <c r="AG588">
        <v>3661.5</v>
      </c>
      <c r="AH588">
        <v>18689773.069975901</v>
      </c>
    </row>
    <row r="589" spans="21:34">
      <c r="U589" s="1"/>
      <c r="V589" s="1"/>
      <c r="W589" s="1"/>
      <c r="X589" s="1"/>
      <c r="AC589" s="1">
        <v>3662</v>
      </c>
      <c r="AD589" s="1">
        <v>132373.79999987801</v>
      </c>
      <c r="AG589">
        <v>3662</v>
      </c>
      <c r="AH589">
        <v>18755867.799965601</v>
      </c>
    </row>
    <row r="590" spans="21:34">
      <c r="U590" s="1"/>
      <c r="V590" s="1"/>
      <c r="W590" s="1"/>
      <c r="X590" s="1"/>
      <c r="AC590" s="1">
        <v>3662.5</v>
      </c>
      <c r="AD590" s="1">
        <v>132742.49999989301</v>
      </c>
      <c r="AG590">
        <v>3662.5</v>
      </c>
      <c r="AH590">
        <v>18822146.870002501</v>
      </c>
    </row>
    <row r="591" spans="21:34">
      <c r="U591" s="1"/>
      <c r="V591" s="1"/>
      <c r="W591" s="1"/>
      <c r="X591" s="1"/>
      <c r="AC591" s="1">
        <v>3663</v>
      </c>
      <c r="AD591" s="1">
        <v>133111.19999990801</v>
      </c>
      <c r="AG591">
        <v>3663</v>
      </c>
      <c r="AH591">
        <v>18888610.300030001</v>
      </c>
    </row>
    <row r="592" spans="21:34">
      <c r="U592" s="1"/>
      <c r="V592" s="1"/>
      <c r="W592" s="1"/>
      <c r="X592" s="1"/>
      <c r="AC592" s="1">
        <v>3663.5</v>
      </c>
      <c r="AD592" s="1">
        <v>133479.89999992301</v>
      </c>
      <c r="AG592">
        <v>3663.5</v>
      </c>
      <c r="AH592">
        <v>18955258.070023499</v>
      </c>
    </row>
    <row r="593" spans="16:34">
      <c r="U593" s="1"/>
      <c r="V593" s="1"/>
      <c r="W593" s="1"/>
      <c r="X593" s="1"/>
      <c r="AC593" s="1">
        <v>3664</v>
      </c>
      <c r="AD593" s="1">
        <v>133848.59999993799</v>
      </c>
      <c r="AG593">
        <v>3664</v>
      </c>
      <c r="AH593">
        <v>19022090.200007599</v>
      </c>
    </row>
    <row r="594" spans="16:34">
      <c r="U594" s="1"/>
      <c r="V594" s="1"/>
      <c r="W594" s="1"/>
      <c r="X594" s="1"/>
      <c r="AC594" s="1">
        <v>3664.5</v>
      </c>
      <c r="AD594" s="1">
        <v>134217.29999995299</v>
      </c>
      <c r="AG594">
        <v>3664.5</v>
      </c>
      <c r="AH594">
        <v>19089106.6700387</v>
      </c>
    </row>
    <row r="595" spans="16:34">
      <c r="P595" s="181"/>
      <c r="Q595" s="181"/>
      <c r="R595" s="181"/>
      <c r="U595" s="1"/>
      <c r="V595" s="1"/>
      <c r="W595" s="1"/>
      <c r="X595" s="1"/>
      <c r="AC595" s="1">
        <v>3665</v>
      </c>
      <c r="AD595" s="1">
        <v>134585.999999969</v>
      </c>
      <c r="AG595">
        <v>3665</v>
      </c>
      <c r="AH595">
        <v>19156307.499979399</v>
      </c>
    </row>
    <row r="596" spans="16:34">
      <c r="U596" s="1"/>
      <c r="V596" s="1"/>
      <c r="W596" s="1"/>
      <c r="X596" s="1"/>
      <c r="AC596" s="1">
        <v>3665.5</v>
      </c>
      <c r="AD596" s="1">
        <v>134954.699999984</v>
      </c>
      <c r="AG596">
        <v>3665.5</v>
      </c>
      <c r="AH596">
        <v>19223692.669967201</v>
      </c>
    </row>
    <row r="597" spans="16:34">
      <c r="U597" s="1"/>
      <c r="V597" s="1"/>
      <c r="W597" s="1"/>
      <c r="X597" s="1"/>
      <c r="AC597" s="1">
        <v>3666</v>
      </c>
      <c r="AD597" s="1">
        <v>135323.399999999</v>
      </c>
      <c r="AG597">
        <v>3666</v>
      </c>
      <c r="AH597">
        <v>19291262.200026698</v>
      </c>
    </row>
    <row r="598" spans="16:34">
      <c r="U598" s="1"/>
      <c r="V598" s="1"/>
      <c r="W598" s="1"/>
      <c r="X598" s="1"/>
      <c r="AC598" s="1">
        <v>3666.5</v>
      </c>
      <c r="AD598" s="1">
        <v>135692.100000014</v>
      </c>
      <c r="AG598">
        <v>3666.5</v>
      </c>
      <c r="AH598">
        <v>19359016.069971099</v>
      </c>
    </row>
    <row r="599" spans="16:34">
      <c r="U599" s="1"/>
      <c r="V599" s="1"/>
      <c r="W599" s="1"/>
      <c r="X599" s="1"/>
      <c r="AC599" s="1">
        <v>3667</v>
      </c>
      <c r="AD599" s="1">
        <v>136060.800000029</v>
      </c>
      <c r="AG599">
        <v>3667</v>
      </c>
      <c r="AH599">
        <v>19426954.299987301</v>
      </c>
    </row>
    <row r="600" spans="16:34">
      <c r="U600" s="1"/>
      <c r="V600" s="1"/>
      <c r="W600" s="1"/>
      <c r="X600" s="1"/>
      <c r="AC600" s="1">
        <v>3667.5</v>
      </c>
      <c r="AD600" s="1">
        <v>136429.500000044</v>
      </c>
      <c r="AG600">
        <v>3667.5</v>
      </c>
      <c r="AH600">
        <v>19495076.869969402</v>
      </c>
    </row>
    <row r="601" spans="16:34">
      <c r="U601" s="1"/>
      <c r="V601" s="1"/>
      <c r="W601" s="1"/>
      <c r="X601" s="1"/>
      <c r="AC601" s="1">
        <v>3668</v>
      </c>
      <c r="AD601" s="1">
        <v>136798.20000005901</v>
      </c>
      <c r="AG601">
        <v>3668</v>
      </c>
      <c r="AH601">
        <v>19563383.800023202</v>
      </c>
    </row>
    <row r="602" spans="16:34">
      <c r="U602" s="1"/>
      <c r="V602" s="1"/>
      <c r="W602" s="1"/>
      <c r="X602" s="1"/>
      <c r="AC602" s="1">
        <v>3668.5</v>
      </c>
      <c r="AD602" s="1">
        <v>137166.90000007401</v>
      </c>
      <c r="AG602">
        <v>3668.5</v>
      </c>
      <c r="AH602">
        <v>19631875.069961902</v>
      </c>
    </row>
    <row r="603" spans="16:34">
      <c r="U603" s="1"/>
      <c r="V603" s="1"/>
      <c r="W603" s="1"/>
      <c r="X603" s="1"/>
      <c r="AC603" s="1">
        <v>3669</v>
      </c>
      <c r="AD603" s="1">
        <v>137535.60000008901</v>
      </c>
      <c r="AG603">
        <v>3669</v>
      </c>
      <c r="AH603">
        <v>19700550.699972399</v>
      </c>
    </row>
    <row r="604" spans="16:34">
      <c r="U604" s="1"/>
      <c r="V604" s="1"/>
      <c r="W604" s="1"/>
      <c r="X604" s="1"/>
      <c r="AC604" s="1">
        <v>3669.5</v>
      </c>
      <c r="AD604" s="1">
        <v>137904.30000010499</v>
      </c>
      <c r="AG604">
        <v>3669.5</v>
      </c>
      <c r="AH604">
        <v>19769410.670029901</v>
      </c>
    </row>
    <row r="605" spans="16:34">
      <c r="U605" s="1"/>
      <c r="V605" s="1"/>
      <c r="W605" s="1"/>
      <c r="X605" s="1"/>
      <c r="AC605" s="1">
        <v>3670</v>
      </c>
      <c r="AD605" s="1">
        <v>138273.00000012</v>
      </c>
      <c r="AG605">
        <v>3670</v>
      </c>
      <c r="AH605">
        <v>19838454.999996901</v>
      </c>
    </row>
    <row r="606" spans="16:34">
      <c r="U606" s="1"/>
      <c r="V606" s="1"/>
      <c r="W606" s="1"/>
      <c r="X606" s="1"/>
      <c r="AC606" s="1">
        <v>3670.5</v>
      </c>
      <c r="AD606" s="1">
        <v>138641.69999988799</v>
      </c>
      <c r="AG606">
        <v>3670.5</v>
      </c>
      <c r="AH606">
        <v>19907683.670010999</v>
      </c>
    </row>
    <row r="607" spans="16:34">
      <c r="U607" s="1"/>
      <c r="V607" s="1"/>
      <c r="W607" s="1"/>
      <c r="X607" s="1"/>
      <c r="AC607" s="1"/>
      <c r="AD607" s="1"/>
    </row>
    <row r="608" spans="16:34">
      <c r="U608" s="1"/>
      <c r="V608" s="1"/>
      <c r="W608" s="1"/>
      <c r="X608" s="1"/>
      <c r="AC608" s="1">
        <v>3671</v>
      </c>
      <c r="AD608" s="1">
        <v>139010.39999990299</v>
      </c>
      <c r="AG608">
        <v>3671</v>
      </c>
      <c r="AH608">
        <v>19977096.700015798</v>
      </c>
    </row>
    <row r="609" spans="8:34">
      <c r="U609" s="1"/>
      <c r="V609" s="1"/>
      <c r="W609" s="1"/>
      <c r="X609" s="1"/>
      <c r="AC609" s="1">
        <v>3671.5</v>
      </c>
      <c r="AD609" s="1">
        <v>139379.09999991799</v>
      </c>
      <c r="AG609">
        <v>3671.5</v>
      </c>
      <c r="AH609">
        <v>20046694.0699866</v>
      </c>
    </row>
    <row r="610" spans="8:34">
      <c r="U610" s="1"/>
      <c r="V610" s="1"/>
      <c r="W610" s="1"/>
      <c r="X610" s="1"/>
      <c r="AC610" s="1">
        <v>3672</v>
      </c>
      <c r="AD610" s="1">
        <v>139747.79999993299</v>
      </c>
      <c r="AG610">
        <v>3672</v>
      </c>
      <c r="AH610">
        <v>20116475.800028998</v>
      </c>
    </row>
    <row r="611" spans="8:34">
      <c r="H611" s="86"/>
      <c r="U611" s="1"/>
      <c r="V611" s="1"/>
      <c r="W611" s="1"/>
      <c r="X611" s="1"/>
      <c r="AC611" s="1">
        <v>3672.5</v>
      </c>
      <c r="AD611" s="1">
        <v>140116.49999994799</v>
      </c>
      <c r="AG611">
        <v>3672.5</v>
      </c>
      <c r="AH611">
        <v>20186441.870037399</v>
      </c>
    </row>
    <row r="612" spans="8:34">
      <c r="H612" s="86"/>
      <c r="U612" s="1"/>
      <c r="V612" s="1"/>
      <c r="W612" s="1"/>
      <c r="X612" s="1"/>
      <c r="AC612" s="1">
        <v>3673</v>
      </c>
      <c r="AD612" s="1">
        <v>140485.19999996299</v>
      </c>
      <c r="AG612">
        <v>3673</v>
      </c>
      <c r="AH612">
        <v>20256592.300036501</v>
      </c>
    </row>
    <row r="613" spans="8:34">
      <c r="H613" s="86"/>
      <c r="U613" s="1"/>
      <c r="V613" s="1"/>
      <c r="W613" s="1"/>
      <c r="X613" s="1"/>
      <c r="AC613" s="1">
        <v>3673.5</v>
      </c>
      <c r="AD613" s="1">
        <v>140853.89999997799</v>
      </c>
      <c r="AG613">
        <v>3673.5</v>
      </c>
      <c r="AH613">
        <v>20326927.070001598</v>
      </c>
    </row>
    <row r="614" spans="8:34">
      <c r="H614" s="86"/>
      <c r="U614" s="1"/>
      <c r="V614" s="1"/>
      <c r="W614" s="1"/>
      <c r="X614" s="1"/>
      <c r="AC614" s="1">
        <v>3674</v>
      </c>
      <c r="AD614" s="1">
        <v>141222.59999999299</v>
      </c>
      <c r="AG614">
        <v>3674</v>
      </c>
      <c r="AH614">
        <v>20397446.200038299</v>
      </c>
    </row>
    <row r="615" spans="8:34">
      <c r="H615" s="86"/>
      <c r="U615" s="1"/>
      <c r="V615" s="1"/>
      <c r="W615" s="1"/>
      <c r="X615" s="1"/>
      <c r="AC615" s="1">
        <v>3674.5</v>
      </c>
      <c r="AD615" s="1">
        <v>141591.30000000799</v>
      </c>
      <c r="AG615">
        <v>3674.5</v>
      </c>
      <c r="AH615">
        <v>20468149.66996</v>
      </c>
    </row>
    <row r="616" spans="8:34">
      <c r="H616" s="86"/>
      <c r="U616" s="1"/>
      <c r="V616" s="1"/>
      <c r="W616" s="1"/>
      <c r="X616" s="1"/>
      <c r="AC616" s="1">
        <v>3675</v>
      </c>
      <c r="AD616" s="1">
        <v>141960.00000002401</v>
      </c>
      <c r="AG616">
        <v>3675</v>
      </c>
      <c r="AH616">
        <v>20539037.5000345</v>
      </c>
    </row>
    <row r="617" spans="8:34">
      <c r="H617" s="86"/>
      <c r="U617" s="1"/>
      <c r="V617" s="1"/>
      <c r="W617" s="1"/>
      <c r="X617" s="1"/>
      <c r="AC617" s="1">
        <v>3675.5</v>
      </c>
      <c r="AD617" s="1">
        <v>142328.70000003901</v>
      </c>
      <c r="AG617">
        <v>3675.5</v>
      </c>
      <c r="AH617">
        <v>20610109.6699939</v>
      </c>
    </row>
    <row r="618" spans="8:34">
      <c r="H618" s="86"/>
      <c r="U618" s="1"/>
      <c r="V618" s="1"/>
      <c r="W618" s="1"/>
      <c r="X618" s="1"/>
      <c r="AC618" s="1">
        <v>3676</v>
      </c>
      <c r="AD618" s="1">
        <v>142697.40000005401</v>
      </c>
      <c r="AG618">
        <v>3676</v>
      </c>
      <c r="AH618">
        <v>20681366.200025</v>
      </c>
    </row>
    <row r="619" spans="8:34">
      <c r="H619" s="86"/>
      <c r="U619" s="1"/>
      <c r="V619" s="1"/>
      <c r="W619" s="1"/>
      <c r="X619" s="1"/>
      <c r="AC619" s="1">
        <v>3676.5</v>
      </c>
      <c r="AD619" s="1">
        <v>143066.10000006901</v>
      </c>
      <c r="AG619">
        <v>3676.5</v>
      </c>
      <c r="AH619">
        <v>20752807.070022099</v>
      </c>
    </row>
    <row r="620" spans="8:34">
      <c r="H620" s="86"/>
      <c r="U620" s="1"/>
      <c r="V620" s="1"/>
      <c r="W620" s="1"/>
      <c r="X620" s="1"/>
      <c r="AC620" s="1">
        <v>3677</v>
      </c>
      <c r="AD620" s="1">
        <v>143434.80000008401</v>
      </c>
      <c r="AG620">
        <v>3677</v>
      </c>
      <c r="AH620">
        <v>20824432.300009798</v>
      </c>
    </row>
    <row r="621" spans="8:34">
      <c r="H621" s="86"/>
      <c r="U621" s="1"/>
      <c r="V621" s="1"/>
      <c r="W621" s="1"/>
      <c r="X621" s="1"/>
      <c r="AC621" s="1">
        <v>3677.5</v>
      </c>
      <c r="AD621" s="1">
        <v>143803.50000009901</v>
      </c>
      <c r="AG621">
        <v>3677.5</v>
      </c>
      <c r="AH621">
        <v>20896241.869963501</v>
      </c>
    </row>
    <row r="622" spans="8:34">
      <c r="H622" s="86"/>
      <c r="U622" s="1"/>
      <c r="V622" s="1"/>
      <c r="W622" s="1"/>
      <c r="X622" s="1"/>
      <c r="AC622" s="1">
        <v>3678</v>
      </c>
      <c r="AD622" s="1">
        <v>144172.20000011401</v>
      </c>
      <c r="AG622">
        <v>3678</v>
      </c>
      <c r="AH622">
        <v>20968235.799988899</v>
      </c>
    </row>
    <row r="623" spans="8:34">
      <c r="U623" s="1"/>
      <c r="V623" s="1"/>
      <c r="W623" s="1"/>
      <c r="X623" s="1"/>
      <c r="AC623" s="1">
        <v>3678.5</v>
      </c>
      <c r="AD623" s="1">
        <v>144540.89999988201</v>
      </c>
      <c r="AG623">
        <v>3678.5</v>
      </c>
      <c r="AH623">
        <v>21040414.069980301</v>
      </c>
    </row>
    <row r="624" spans="8:34">
      <c r="U624" s="1"/>
      <c r="V624" s="1"/>
      <c r="W624" s="1"/>
      <c r="X624" s="1"/>
      <c r="AC624" s="1">
        <v>3679</v>
      </c>
      <c r="AD624" s="1">
        <v>144909.59999989701</v>
      </c>
      <c r="AG624">
        <v>3679</v>
      </c>
      <c r="AH624">
        <v>21112776.699962299</v>
      </c>
    </row>
    <row r="625" spans="21:34">
      <c r="U625" s="1"/>
      <c r="V625" s="1"/>
      <c r="W625" s="1"/>
      <c r="X625" s="1"/>
      <c r="AC625" s="1">
        <v>3679.5</v>
      </c>
      <c r="AD625" s="1">
        <v>145278.29999991201</v>
      </c>
      <c r="AG625">
        <v>3679.5</v>
      </c>
      <c r="AH625">
        <v>21185323.6699914</v>
      </c>
    </row>
    <row r="626" spans="21:34">
      <c r="U626" s="1"/>
      <c r="V626" s="1"/>
      <c r="W626" s="1"/>
      <c r="X626" s="1"/>
      <c r="AC626" s="1">
        <v>3680</v>
      </c>
      <c r="AD626" s="1">
        <v>145646.99999992701</v>
      </c>
      <c r="AG626">
        <v>3680</v>
      </c>
      <c r="AH626">
        <v>21258055.000011101</v>
      </c>
    </row>
    <row r="627" spans="21:34">
      <c r="U627" s="1"/>
      <c r="V627" s="1"/>
      <c r="W627" s="1"/>
      <c r="X627" s="1"/>
      <c r="AC627" s="1">
        <v>3680.5</v>
      </c>
      <c r="AD627" s="1">
        <v>146025.42000008401</v>
      </c>
      <c r="AG627">
        <v>3680.5</v>
      </c>
      <c r="AH627">
        <v>21330973.110000402</v>
      </c>
    </row>
    <row r="628" spans="21:34">
      <c r="U628" s="1"/>
      <c r="V628" s="1"/>
      <c r="W628" s="1"/>
      <c r="X628" s="1"/>
      <c r="AC628" s="1">
        <v>3681</v>
      </c>
      <c r="AD628" s="1">
        <v>146403.85000010199</v>
      </c>
      <c r="AG628">
        <v>3681</v>
      </c>
      <c r="AH628">
        <v>21404080.420019001</v>
      </c>
    </row>
    <row r="629" spans="21:34">
      <c r="U629" s="1"/>
      <c r="V629" s="1"/>
      <c r="W629" s="1"/>
      <c r="X629" s="1"/>
      <c r="AC629" s="1">
        <v>3681.5</v>
      </c>
      <c r="AD629" s="1">
        <v>146782.27000001201</v>
      </c>
      <c r="AG629">
        <v>3681.5</v>
      </c>
      <c r="AH629">
        <v>21477376.959982499</v>
      </c>
    </row>
    <row r="630" spans="21:34">
      <c r="U630" s="1"/>
      <c r="V630" s="1"/>
      <c r="W630" s="1"/>
      <c r="X630" s="1"/>
      <c r="AC630" s="1">
        <v>3682</v>
      </c>
      <c r="AD630" s="1">
        <v>147160.70000002999</v>
      </c>
      <c r="AG630">
        <v>3682</v>
      </c>
      <c r="AH630">
        <v>21550862.699975401</v>
      </c>
    </row>
    <row r="631" spans="21:34">
      <c r="U631" s="1"/>
      <c r="V631" s="1"/>
      <c r="W631" s="1"/>
      <c r="X631" s="1"/>
      <c r="AC631" s="1">
        <v>3682.5</v>
      </c>
      <c r="AD631" s="1">
        <v>147539.11999993899</v>
      </c>
      <c r="AG631">
        <v>3682.5</v>
      </c>
      <c r="AH631">
        <v>21624537.6600224</v>
      </c>
    </row>
    <row r="632" spans="21:34">
      <c r="U632" s="1"/>
      <c r="V632" s="1"/>
      <c r="W632" s="1"/>
      <c r="X632" s="1"/>
      <c r="AC632" s="1">
        <v>3683</v>
      </c>
      <c r="AD632" s="1">
        <v>147917.549999957</v>
      </c>
      <c r="AG632">
        <v>3683</v>
      </c>
      <c r="AH632">
        <v>21698401.8200178</v>
      </c>
    </row>
    <row r="633" spans="21:34">
      <c r="U633" s="1"/>
      <c r="V633" s="1"/>
      <c r="W633" s="1"/>
      <c r="X633" s="1"/>
      <c r="AC633" s="1">
        <v>3683.5</v>
      </c>
      <c r="AD633" s="1">
        <v>148295.970000114</v>
      </c>
      <c r="AG633">
        <v>3683.5</v>
      </c>
      <c r="AH633">
        <v>21772455.210039001</v>
      </c>
    </row>
    <row r="634" spans="21:34">
      <c r="U634" s="1"/>
      <c r="V634" s="1"/>
      <c r="W634" s="1"/>
      <c r="X634" s="1"/>
      <c r="AC634" s="1">
        <v>3684</v>
      </c>
      <c r="AD634" s="1">
        <v>148674.39999988399</v>
      </c>
      <c r="AG634">
        <v>3684</v>
      </c>
      <c r="AH634">
        <v>21846697.800008599</v>
      </c>
    </row>
    <row r="635" spans="21:34">
      <c r="U635" s="1"/>
      <c r="V635" s="1"/>
      <c r="W635" s="1"/>
      <c r="X635" s="1"/>
      <c r="AC635" s="1">
        <v>3684.5</v>
      </c>
      <c r="AD635" s="1">
        <v>149052.820000042</v>
      </c>
      <c r="AG635">
        <v>3684.5</v>
      </c>
      <c r="AH635">
        <v>21921129.610032301</v>
      </c>
    </row>
    <row r="636" spans="21:34">
      <c r="U636" s="1"/>
      <c r="V636" s="1"/>
      <c r="W636" s="1"/>
      <c r="X636" s="1"/>
      <c r="AC636" s="1">
        <v>3685</v>
      </c>
      <c r="AD636" s="1">
        <v>149431.25000005899</v>
      </c>
      <c r="AG636">
        <v>3685</v>
      </c>
      <c r="AH636">
        <v>21995750.620004401</v>
      </c>
    </row>
    <row r="637" spans="21:34">
      <c r="U637" s="1"/>
      <c r="V637" s="1"/>
      <c r="W637" s="1"/>
      <c r="X637" s="1"/>
      <c r="AC637" s="1">
        <v>3685.5</v>
      </c>
      <c r="AD637" s="1">
        <v>149809.66999996899</v>
      </c>
      <c r="AG637">
        <v>3685.5</v>
      </c>
      <c r="AH637">
        <v>22070560.860002302</v>
      </c>
    </row>
    <row r="638" spans="21:34">
      <c r="U638" s="1"/>
      <c r="V638" s="1"/>
      <c r="W638" s="1"/>
      <c r="X638" s="1"/>
      <c r="AC638" s="1">
        <v>3686</v>
      </c>
      <c r="AD638" s="1">
        <v>150188.099999987</v>
      </c>
      <c r="AG638">
        <v>3686</v>
      </c>
      <c r="AH638">
        <v>22145560.300029699</v>
      </c>
    </row>
    <row r="639" spans="21:34">
      <c r="U639" s="1"/>
      <c r="V639" s="1"/>
      <c r="W639" s="1"/>
      <c r="X639" s="1"/>
      <c r="AC639" s="1">
        <v>3686.5</v>
      </c>
      <c r="AD639" s="1">
        <v>150566.519999896</v>
      </c>
      <c r="AG639">
        <v>3686.5</v>
      </c>
      <c r="AH639">
        <v>22220748.960030001</v>
      </c>
    </row>
    <row r="640" spans="21:34">
      <c r="U640" s="1"/>
      <c r="V640" s="1"/>
      <c r="W640" s="1"/>
      <c r="X640" s="1"/>
      <c r="AC640" s="1">
        <v>3687</v>
      </c>
      <c r="AD640" s="1">
        <v>150944.94999991401</v>
      </c>
      <c r="AG640">
        <v>3687</v>
      </c>
      <c r="AH640">
        <v>22296126.8199788</v>
      </c>
    </row>
    <row r="641" spans="21:34">
      <c r="U641" s="1"/>
      <c r="V641" s="1"/>
      <c r="W641" s="1"/>
      <c r="X641" s="1"/>
      <c r="AC641" s="1">
        <v>3687.5</v>
      </c>
      <c r="AD641" s="1">
        <v>151323.37000007101</v>
      </c>
      <c r="AG641">
        <v>3687.5</v>
      </c>
      <c r="AH641">
        <v>22371693.9100345</v>
      </c>
    </row>
    <row r="642" spans="21:34">
      <c r="U642" s="1"/>
      <c r="V642" s="1"/>
      <c r="W642" s="1"/>
      <c r="X642" s="1"/>
      <c r="AC642" s="1">
        <v>3688</v>
      </c>
      <c r="AD642" s="1">
        <v>151701.80000008899</v>
      </c>
      <c r="AG642">
        <v>3688</v>
      </c>
      <c r="AH642">
        <v>22447450.2000385</v>
      </c>
    </row>
    <row r="643" spans="21:34">
      <c r="U643" s="1"/>
      <c r="V643" s="1"/>
      <c r="W643" s="1"/>
      <c r="X643" s="1"/>
      <c r="AC643" s="1">
        <v>3688.5</v>
      </c>
      <c r="AD643" s="1">
        <v>152080.21999999901</v>
      </c>
      <c r="AG643">
        <v>3688.5</v>
      </c>
      <c r="AH643">
        <v>22523395.710015599</v>
      </c>
    </row>
    <row r="644" spans="21:34">
      <c r="U644" s="1"/>
      <c r="V644" s="1"/>
      <c r="W644" s="1"/>
      <c r="X644" s="1"/>
      <c r="AC644" s="1">
        <v>3689</v>
      </c>
      <c r="AD644" s="1">
        <v>152458.650000016</v>
      </c>
      <c r="AG644">
        <v>3689</v>
      </c>
      <c r="AH644">
        <v>22599530.4200221</v>
      </c>
    </row>
    <row r="645" spans="21:34">
      <c r="U645" s="1"/>
      <c r="V645" s="1"/>
      <c r="W645" s="1"/>
      <c r="X645" s="1"/>
      <c r="AC645" s="1">
        <v>3689.5</v>
      </c>
      <c r="AD645" s="1">
        <v>152837.069999926</v>
      </c>
      <c r="AG645">
        <v>3689.5</v>
      </c>
      <c r="AH645">
        <v>22675854.359973401</v>
      </c>
    </row>
    <row r="646" spans="21:34">
      <c r="U646" s="1"/>
      <c r="V646" s="1"/>
      <c r="W646" s="1"/>
      <c r="X646" s="1"/>
      <c r="AC646" s="1">
        <v>3690</v>
      </c>
      <c r="AD646" s="1">
        <v>153215.499999944</v>
      </c>
      <c r="AG646">
        <v>3690</v>
      </c>
      <c r="AH646">
        <v>22752367.500035301</v>
      </c>
    </row>
    <row r="647" spans="21:34">
      <c r="U647" s="1"/>
      <c r="V647" s="1"/>
      <c r="W647" s="1"/>
      <c r="X647" s="1"/>
      <c r="AC647" s="1">
        <v>3690.5</v>
      </c>
      <c r="AD647" s="1">
        <v>153593.920000101</v>
      </c>
      <c r="AG647">
        <v>3690.5</v>
      </c>
      <c r="AH647">
        <v>22829069.859988999</v>
      </c>
    </row>
    <row r="648" spans="21:34">
      <c r="U648" s="1"/>
      <c r="V648" s="1"/>
      <c r="W648" s="1"/>
      <c r="X648" s="1"/>
      <c r="AC648" s="1">
        <v>3691</v>
      </c>
      <c r="AD648" s="1">
        <v>153972.35000011799</v>
      </c>
      <c r="AG648">
        <v>3691</v>
      </c>
      <c r="AH648">
        <v>22905961.419972301</v>
      </c>
    </row>
    <row r="649" spans="21:34">
      <c r="U649" s="1"/>
      <c r="V649" s="1"/>
      <c r="W649" s="1"/>
      <c r="X649" s="1"/>
      <c r="AC649" s="1">
        <v>3691.5</v>
      </c>
      <c r="AD649" s="1">
        <v>154350.77000002799</v>
      </c>
      <c r="AG649">
        <v>3691.5</v>
      </c>
      <c r="AH649">
        <v>22983042.2099813</v>
      </c>
    </row>
    <row r="650" spans="21:34">
      <c r="U650" s="1"/>
      <c r="V650" s="1"/>
      <c r="W650" s="1"/>
      <c r="X650" s="1"/>
      <c r="AC650" s="1">
        <v>3692</v>
      </c>
      <c r="AD650" s="1">
        <v>154729.200000046</v>
      </c>
      <c r="AG650">
        <v>3692</v>
      </c>
      <c r="AH650">
        <v>23060312.2000199</v>
      </c>
    </row>
    <row r="651" spans="21:34">
      <c r="U651" s="1"/>
      <c r="V651" s="1"/>
      <c r="W651" s="1"/>
      <c r="X651" s="1"/>
      <c r="AC651" s="1">
        <v>3692.5</v>
      </c>
      <c r="AD651" s="1">
        <v>155107.61999995599</v>
      </c>
      <c r="AG651">
        <v>3692.5</v>
      </c>
      <c r="AH651">
        <v>23137771.410031401</v>
      </c>
    </row>
    <row r="652" spans="21:34">
      <c r="U652" s="1"/>
      <c r="V652" s="1"/>
      <c r="W652" s="1"/>
      <c r="X652" s="1"/>
      <c r="AC652" s="1">
        <v>3693</v>
      </c>
      <c r="AD652" s="1">
        <v>155486.04999997301</v>
      </c>
      <c r="AG652">
        <v>3693</v>
      </c>
      <c r="AH652">
        <v>23215419.819991302</v>
      </c>
    </row>
    <row r="653" spans="21:34">
      <c r="U653" s="1"/>
      <c r="V653" s="1"/>
      <c r="W653" s="1"/>
      <c r="X653" s="1"/>
      <c r="AC653" s="1">
        <v>3693.5</v>
      </c>
      <c r="AD653" s="1">
        <v>155864.469999883</v>
      </c>
      <c r="AG653">
        <v>3693.5</v>
      </c>
      <c r="AH653">
        <v>23293257.459977102</v>
      </c>
    </row>
    <row r="654" spans="21:34">
      <c r="U654" s="1"/>
      <c r="V654" s="1"/>
      <c r="W654" s="1"/>
      <c r="X654" s="1"/>
      <c r="AC654" s="1">
        <v>3694</v>
      </c>
      <c r="AD654" s="1">
        <v>156242.89999990101</v>
      </c>
      <c r="AG654">
        <v>3694</v>
      </c>
      <c r="AH654">
        <v>23371284.299992301</v>
      </c>
    </row>
    <row r="655" spans="21:34">
      <c r="U655" s="1"/>
      <c r="V655" s="1"/>
      <c r="W655" s="1"/>
      <c r="X655" s="1"/>
      <c r="AC655" s="1">
        <v>3694.5</v>
      </c>
      <c r="AD655" s="1">
        <v>156621.32000005801</v>
      </c>
      <c r="AG655">
        <v>3694.5</v>
      </c>
      <c r="AH655">
        <v>23449500.359980501</v>
      </c>
    </row>
    <row r="656" spans="21:34">
      <c r="U656" s="1"/>
      <c r="V656" s="1"/>
      <c r="W656" s="1"/>
      <c r="X656" s="1"/>
      <c r="AC656" s="1">
        <v>3695</v>
      </c>
      <c r="AD656" s="1">
        <v>156999.750000075</v>
      </c>
      <c r="AG656">
        <v>3695</v>
      </c>
      <c r="AH656">
        <v>23527905.619998202</v>
      </c>
    </row>
    <row r="657" spans="21:34">
      <c r="U657" s="1"/>
      <c r="V657" s="1"/>
      <c r="W657" s="1"/>
      <c r="X657" s="1"/>
      <c r="AC657" s="1">
        <v>3695.5</v>
      </c>
      <c r="AD657" s="1">
        <v>157378.169999985</v>
      </c>
      <c r="AG657">
        <v>3695.5</v>
      </c>
      <c r="AH657">
        <v>23606500.109960601</v>
      </c>
    </row>
    <row r="658" spans="21:34">
      <c r="U658" s="1"/>
      <c r="V658" s="1"/>
      <c r="W658" s="1"/>
      <c r="X658" s="1"/>
      <c r="AC658" s="1">
        <v>3696</v>
      </c>
      <c r="AD658" s="1">
        <v>157756.600000003</v>
      </c>
      <c r="AG658">
        <v>3696</v>
      </c>
      <c r="AH658">
        <v>23685283.800033599</v>
      </c>
    </row>
    <row r="659" spans="21:34">
      <c r="U659" s="1"/>
      <c r="V659" s="1"/>
      <c r="W659" s="1"/>
      <c r="X659" s="1"/>
      <c r="AC659" s="1">
        <v>3696.5</v>
      </c>
      <c r="AD659" s="1">
        <v>158135.019999913</v>
      </c>
      <c r="AG659">
        <v>3696.5</v>
      </c>
      <c r="AH659">
        <v>23764256.7099985</v>
      </c>
    </row>
    <row r="660" spans="21:34">
      <c r="U660" s="1"/>
      <c r="V660" s="1"/>
      <c r="W660" s="1"/>
      <c r="X660" s="1"/>
      <c r="AC660" s="1">
        <v>3697</v>
      </c>
      <c r="AD660" s="1">
        <v>158513.44999992999</v>
      </c>
      <c r="AG660">
        <v>3697</v>
      </c>
      <c r="AH660">
        <v>23843418.8199929</v>
      </c>
    </row>
    <row r="661" spans="21:34">
      <c r="U661" s="1"/>
      <c r="V661" s="1"/>
      <c r="W661" s="1"/>
      <c r="X661" s="1"/>
      <c r="AC661" s="1">
        <v>3697.5</v>
      </c>
      <c r="AD661" s="1">
        <v>158891.87000008699</v>
      </c>
      <c r="AG661">
        <v>3697.5</v>
      </c>
      <c r="AH661">
        <v>23922770.160013098</v>
      </c>
    </row>
    <row r="662" spans="21:34">
      <c r="U662" s="1"/>
      <c r="V662" s="1"/>
      <c r="W662" s="1"/>
      <c r="X662" s="1"/>
      <c r="AC662" s="1">
        <v>3698</v>
      </c>
      <c r="AD662" s="1">
        <v>159270.30000010499</v>
      </c>
      <c r="AG662">
        <v>3698</v>
      </c>
      <c r="AH662">
        <v>24002310.699981701</v>
      </c>
    </row>
    <row r="663" spans="21:34">
      <c r="U663" s="1"/>
      <c r="V663" s="1"/>
      <c r="W663" s="1"/>
      <c r="X663" s="1"/>
      <c r="AC663" s="1">
        <v>3698.5</v>
      </c>
      <c r="AD663" s="1">
        <v>159648.72000001499</v>
      </c>
      <c r="AG663">
        <v>3698.5</v>
      </c>
      <c r="AH663">
        <v>24082040.4600044</v>
      </c>
    </row>
    <row r="664" spans="21:34">
      <c r="U664" s="1"/>
      <c r="V664" s="1"/>
      <c r="W664" s="1"/>
      <c r="X664" s="1"/>
      <c r="AC664" s="1">
        <v>3699</v>
      </c>
      <c r="AD664" s="1">
        <v>160027.15000003201</v>
      </c>
      <c r="AG664">
        <v>3699</v>
      </c>
      <c r="AH664">
        <v>24161959.419975501</v>
      </c>
    </row>
    <row r="665" spans="21:34">
      <c r="U665" s="1"/>
      <c r="V665" s="1"/>
      <c r="W665" s="1"/>
      <c r="X665" s="1"/>
      <c r="AC665" s="1">
        <v>3699.5</v>
      </c>
      <c r="AD665" s="1">
        <v>160405.569999942</v>
      </c>
      <c r="AG665">
        <v>3699.5</v>
      </c>
      <c r="AH665">
        <v>24242067.609972399</v>
      </c>
    </row>
    <row r="666" spans="21:34">
      <c r="U666" s="1"/>
      <c r="V666" s="1"/>
      <c r="W666" s="1"/>
      <c r="X666" s="1"/>
      <c r="AC666" s="1">
        <v>3700</v>
      </c>
      <c r="AD666" s="1">
        <v>160783.99999996001</v>
      </c>
      <c r="AG666">
        <v>3700</v>
      </c>
      <c r="AH666">
        <v>24322364.9999988</v>
      </c>
    </row>
    <row r="667" spans="21:34">
      <c r="U667" s="1"/>
      <c r="V667" s="1"/>
      <c r="W667" s="1"/>
      <c r="X667" s="1"/>
      <c r="AC667" s="1">
        <v>3700.5</v>
      </c>
      <c r="AD667" s="1">
        <v>161191.12000003699</v>
      </c>
      <c r="AG667">
        <v>3700.5</v>
      </c>
      <c r="AH667">
        <v>24402858.7800267</v>
      </c>
    </row>
    <row r="668" spans="21:34">
      <c r="U668" s="1"/>
      <c r="V668" s="1"/>
      <c r="W668" s="1"/>
      <c r="X668" s="1"/>
      <c r="AC668" s="1">
        <v>3701</v>
      </c>
      <c r="AD668" s="1">
        <v>161598.249999975</v>
      </c>
      <c r="AG668">
        <v>3701</v>
      </c>
      <c r="AH668">
        <v>24483556.1200037</v>
      </c>
    </row>
    <row r="669" spans="21:34">
      <c r="U669" s="1"/>
      <c r="V669" s="1"/>
      <c r="W669" s="1"/>
      <c r="X669" s="1"/>
      <c r="AC669" s="1">
        <v>3701.5</v>
      </c>
      <c r="AD669" s="1">
        <v>162005.370000052</v>
      </c>
      <c r="AG669">
        <v>3701.5</v>
      </c>
      <c r="AH669">
        <v>24564457.0299826</v>
      </c>
    </row>
    <row r="670" spans="21:34">
      <c r="U670" s="1"/>
      <c r="V670" s="1"/>
      <c r="W670" s="1"/>
      <c r="X670" s="1"/>
      <c r="AC670" s="1">
        <v>3702</v>
      </c>
      <c r="AD670" s="1">
        <v>162412.49999998999</v>
      </c>
      <c r="AG670">
        <v>3702</v>
      </c>
      <c r="AH670">
        <v>24645561.499991499</v>
      </c>
    </row>
    <row r="671" spans="21:34">
      <c r="U671" s="1"/>
      <c r="V671" s="1"/>
      <c r="W671" s="1"/>
      <c r="X671" s="1"/>
      <c r="AC671" s="1">
        <v>3702.5</v>
      </c>
      <c r="AD671" s="1">
        <v>162819.62000006699</v>
      </c>
      <c r="AG671">
        <v>3702.5</v>
      </c>
      <c r="AH671">
        <v>24726869.530030601</v>
      </c>
    </row>
    <row r="672" spans="21:34">
      <c r="U672" s="1"/>
      <c r="V672" s="1"/>
      <c r="W672" s="1"/>
      <c r="X672" s="1"/>
      <c r="AC672" s="1">
        <v>3703</v>
      </c>
      <c r="AD672" s="1">
        <v>163226.75000000501</v>
      </c>
      <c r="AG672">
        <v>3703</v>
      </c>
      <c r="AH672">
        <v>24808381.120018799</v>
      </c>
    </row>
    <row r="673" spans="21:34">
      <c r="U673" s="1"/>
      <c r="V673" s="1"/>
      <c r="W673" s="1"/>
      <c r="X673" s="1"/>
      <c r="AC673" s="1">
        <v>3703.5</v>
      </c>
      <c r="AD673" s="1">
        <v>163633.87000008201</v>
      </c>
      <c r="AG673">
        <v>3703.5</v>
      </c>
      <c r="AH673">
        <v>24890096.2800088</v>
      </c>
    </row>
    <row r="674" spans="21:34">
      <c r="U674" s="1"/>
      <c r="V674" s="1"/>
      <c r="W674" s="1"/>
      <c r="X674" s="1"/>
      <c r="AC674" s="1">
        <v>3704</v>
      </c>
      <c r="AD674" s="1">
        <v>164041.00000001999</v>
      </c>
      <c r="AG674">
        <v>3704</v>
      </c>
      <c r="AH674">
        <v>24972015.000029001</v>
      </c>
    </row>
    <row r="675" spans="21:34">
      <c r="U675" s="1"/>
      <c r="V675" s="1"/>
      <c r="W675" s="1"/>
      <c r="X675" s="1"/>
      <c r="AC675" s="1">
        <v>3704.5</v>
      </c>
      <c r="AD675" s="1">
        <v>164448.120000097</v>
      </c>
      <c r="AG675">
        <v>3704.5</v>
      </c>
      <c r="AH675">
        <v>25054137.279998198</v>
      </c>
    </row>
    <row r="676" spans="21:34">
      <c r="U676" s="1"/>
      <c r="V676" s="1"/>
      <c r="W676" s="1"/>
      <c r="X676" s="1"/>
      <c r="AC676" s="1">
        <v>3705</v>
      </c>
      <c r="AD676" s="1">
        <v>164855.25000003501</v>
      </c>
      <c r="AG676">
        <v>3705</v>
      </c>
      <c r="AH676">
        <v>25136463.119997501</v>
      </c>
    </row>
    <row r="677" spans="21:34">
      <c r="U677" s="1"/>
      <c r="V677" s="1"/>
      <c r="W677" s="1"/>
      <c r="X677" s="1"/>
      <c r="AC677" s="1">
        <v>3705.5</v>
      </c>
      <c r="AD677" s="1">
        <v>165262.37000011199</v>
      </c>
      <c r="AG677">
        <v>3705.5</v>
      </c>
      <c r="AH677">
        <v>25218992.529998701</v>
      </c>
    </row>
    <row r="678" spans="21:34">
      <c r="U678" s="1"/>
      <c r="V678" s="1"/>
      <c r="W678" s="1"/>
      <c r="X678" s="1"/>
      <c r="AC678" s="1">
        <v>3706</v>
      </c>
      <c r="AD678" s="1">
        <v>165669.50000005</v>
      </c>
      <c r="AG678">
        <v>3706</v>
      </c>
      <c r="AH678">
        <v>25301725.50003</v>
      </c>
    </row>
    <row r="679" spans="21:34">
      <c r="U679" s="1"/>
      <c r="V679" s="1"/>
      <c r="W679" s="1"/>
      <c r="X679" s="1"/>
      <c r="AC679" s="1">
        <v>3706.5</v>
      </c>
      <c r="AD679" s="1">
        <v>166076.61999988</v>
      </c>
      <c r="AG679">
        <v>3706.5</v>
      </c>
      <c r="AH679">
        <v>25384662.030010398</v>
      </c>
    </row>
    <row r="680" spans="21:34">
      <c r="U680" s="1"/>
      <c r="V680" s="1"/>
      <c r="W680" s="1"/>
      <c r="X680" s="1"/>
      <c r="AC680" s="1">
        <v>3707</v>
      </c>
      <c r="AD680" s="1">
        <v>166483.75000006499</v>
      </c>
      <c r="AG680">
        <v>3707</v>
      </c>
      <c r="AH680">
        <v>25467802.1200209</v>
      </c>
    </row>
    <row r="681" spans="21:34">
      <c r="U681" s="1"/>
      <c r="V681" s="1"/>
      <c r="W681" s="1"/>
      <c r="X681" s="1"/>
      <c r="AC681" s="1">
        <v>3707.5</v>
      </c>
      <c r="AD681" s="1">
        <v>166890.86999989499</v>
      </c>
      <c r="AG681">
        <v>3707.5</v>
      </c>
      <c r="AH681">
        <v>25551145.780033302</v>
      </c>
    </row>
    <row r="682" spans="21:34">
      <c r="U682" s="1"/>
      <c r="V682" s="1"/>
      <c r="W682" s="1"/>
      <c r="X682" s="1"/>
      <c r="AC682" s="1">
        <v>3708</v>
      </c>
      <c r="AD682" s="1">
        <v>167298.00000008001</v>
      </c>
      <c r="AG682">
        <v>3708</v>
      </c>
      <c r="AH682">
        <v>25634692.999994699</v>
      </c>
    </row>
    <row r="683" spans="21:34">
      <c r="U683" s="1"/>
      <c r="V683" s="1"/>
      <c r="W683" s="1"/>
      <c r="X683" s="1"/>
      <c r="AC683" s="1">
        <v>3708.5</v>
      </c>
      <c r="AD683" s="1">
        <v>167705.11999991001</v>
      </c>
      <c r="AG683">
        <v>3708.5</v>
      </c>
      <c r="AH683">
        <v>25718443.779986199</v>
      </c>
    </row>
    <row r="684" spans="21:34">
      <c r="U684" s="1"/>
      <c r="V684" s="1"/>
      <c r="W684" s="1"/>
      <c r="X684" s="1"/>
      <c r="AC684" s="1">
        <v>3709</v>
      </c>
      <c r="AD684" s="1">
        <v>168112.25000009499</v>
      </c>
      <c r="AG684">
        <v>3709</v>
      </c>
      <c r="AH684">
        <v>25802398.120007899</v>
      </c>
    </row>
    <row r="685" spans="21:34">
      <c r="U685" s="1"/>
      <c r="V685" s="1"/>
      <c r="W685" s="1"/>
      <c r="X685" s="1"/>
      <c r="AC685" s="1">
        <v>3709.5</v>
      </c>
      <c r="AD685" s="1">
        <v>168519.36999992499</v>
      </c>
      <c r="AG685">
        <v>3709.5</v>
      </c>
      <c r="AH685">
        <v>25886556.030031402</v>
      </c>
    </row>
    <row r="686" spans="21:34">
      <c r="U686" s="1"/>
      <c r="V686" s="1"/>
      <c r="W686" s="1"/>
      <c r="X686" s="1"/>
      <c r="AC686" s="1">
        <v>3710</v>
      </c>
      <c r="AD686" s="1">
        <v>168926.50000011001</v>
      </c>
      <c r="AG686">
        <v>3710</v>
      </c>
      <c r="AH686">
        <v>25970917.500004001</v>
      </c>
    </row>
    <row r="687" spans="21:34">
      <c r="U687" s="1"/>
      <c r="V687" s="1"/>
      <c r="W687" s="1"/>
      <c r="X687" s="1"/>
      <c r="AC687" s="1">
        <v>3710.5</v>
      </c>
      <c r="AD687" s="1">
        <v>169333.61999994001</v>
      </c>
      <c r="AG687">
        <v>3710.5</v>
      </c>
      <c r="AH687">
        <v>26055482.530006699</v>
      </c>
    </row>
    <row r="688" spans="21:34">
      <c r="U688" s="1"/>
      <c r="V688" s="1"/>
      <c r="W688" s="1"/>
      <c r="X688" s="1"/>
      <c r="AC688" s="1">
        <v>3711</v>
      </c>
      <c r="AD688" s="1">
        <v>169740.749999878</v>
      </c>
      <c r="AG688">
        <v>3711</v>
      </c>
      <c r="AH688">
        <v>26140251.1200395</v>
      </c>
    </row>
    <row r="689" spans="21:34">
      <c r="U689" s="1"/>
      <c r="V689" s="1"/>
      <c r="W689" s="1"/>
      <c r="X689" s="1"/>
      <c r="AC689" s="1">
        <v>3711.5</v>
      </c>
      <c r="AD689" s="1">
        <v>170147.869999955</v>
      </c>
      <c r="AG689">
        <v>3711.5</v>
      </c>
      <c r="AH689">
        <v>26225223.279993199</v>
      </c>
    </row>
    <row r="690" spans="21:34">
      <c r="U690" s="1"/>
      <c r="V690" s="1"/>
      <c r="W690" s="1"/>
      <c r="X690" s="1"/>
      <c r="AC690" s="1">
        <v>3800</v>
      </c>
      <c r="AD690" s="1">
        <v>250000</v>
      </c>
      <c r="AG690">
        <v>3800</v>
      </c>
      <c r="AH690">
        <v>1000000000.00201</v>
      </c>
    </row>
    <row r="691" spans="21:34">
      <c r="U691" s="1"/>
      <c r="V691" s="1"/>
      <c r="W691" s="1"/>
      <c r="X691" s="1"/>
    </row>
    <row r="692" spans="21:34">
      <c r="U692" s="1"/>
      <c r="V692" s="1"/>
      <c r="W692" s="1"/>
      <c r="X692" s="1"/>
    </row>
    <row r="693" spans="21:34">
      <c r="U693" s="1"/>
      <c r="V693" s="1"/>
      <c r="W693" s="1"/>
      <c r="X693" s="1"/>
    </row>
    <row r="694" spans="21:34">
      <c r="U694" s="1"/>
      <c r="V694" s="1"/>
      <c r="W694" s="1"/>
      <c r="X694" s="1"/>
    </row>
    <row r="695" spans="21:34">
      <c r="U695" s="1"/>
      <c r="V695" s="1"/>
      <c r="W695" s="1"/>
      <c r="X695" s="1"/>
    </row>
    <row r="696" spans="21:34">
      <c r="U696" s="1"/>
      <c r="V696" s="1"/>
      <c r="W696" s="1"/>
      <c r="X696" s="1"/>
    </row>
    <row r="697" spans="21:34">
      <c r="U697" s="1"/>
      <c r="V697" s="1"/>
      <c r="W697" s="1"/>
      <c r="X697" s="1"/>
    </row>
    <row r="698" spans="21:34">
      <c r="U698" s="1"/>
      <c r="V698" s="1"/>
      <c r="W698" s="1"/>
      <c r="X698" s="1"/>
    </row>
    <row r="699" spans="21:34">
      <c r="U699" s="1"/>
      <c r="V699" s="1"/>
      <c r="W699" s="1"/>
      <c r="X699" s="1"/>
    </row>
    <row r="700" spans="21:34">
      <c r="U700" s="1"/>
      <c r="V700" s="1"/>
      <c r="W700" s="1"/>
      <c r="X700" s="1"/>
    </row>
    <row r="701" spans="21:34">
      <c r="U701" s="1"/>
      <c r="V701" s="1"/>
      <c r="W701" s="1"/>
      <c r="X701" s="1"/>
    </row>
    <row r="702" spans="21:34">
      <c r="U702" s="1"/>
      <c r="V702" s="1"/>
      <c r="W702" s="1"/>
      <c r="X702" s="1"/>
    </row>
    <row r="703" spans="21:34">
      <c r="U703" s="1"/>
      <c r="V703" s="1"/>
      <c r="W703" s="1"/>
      <c r="X703" s="1"/>
    </row>
    <row r="704" spans="21:34">
      <c r="U704" s="1"/>
      <c r="V704" s="1"/>
      <c r="W704" s="1"/>
      <c r="X704" s="1"/>
    </row>
    <row r="705" spans="21:24">
      <c r="U705" s="1"/>
      <c r="V705" s="1"/>
      <c r="W705" s="1"/>
      <c r="X705" s="1"/>
    </row>
    <row r="706" spans="21:24">
      <c r="U706" s="1"/>
      <c r="V706" s="1"/>
      <c r="W706" s="1"/>
      <c r="X706" s="1"/>
    </row>
    <row r="707" spans="21:24">
      <c r="U707" s="1"/>
      <c r="V707" s="1"/>
      <c r="W707" s="1"/>
      <c r="X707" s="1"/>
    </row>
  </sheetData>
  <mergeCells count="6">
    <mergeCell ref="S2:V2"/>
    <mergeCell ref="S3:T3"/>
    <mergeCell ref="U3:V3"/>
    <mergeCell ref="W3:X3"/>
    <mergeCell ref="Y3:Z3"/>
    <mergeCell ref="Y1:Z2"/>
  </mergeCells>
  <hyperlinks>
    <hyperlink ref="G71" r:id="rId1" xr:uid="{B47D299C-FA5C-4670-9A46-423C420CB42A}"/>
    <hyperlink ref="G70" r:id="rId2" display="https://water.weather.gov/precip/index.php" xr:uid="{BD0B5B1C-F563-400F-8E91-184D944AB386}"/>
    <hyperlink ref="C70" r:id="rId3" xr:uid="{E1109CA5-A9B9-4B21-B3A9-D4BE2490FD5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BDB2D-CE12-44A3-818B-B0BEC285EE42}">
  <dimension ref="A1:S60"/>
  <sheetViews>
    <sheetView workbookViewId="0">
      <selection activeCell="E12" sqref="E12"/>
    </sheetView>
  </sheetViews>
  <sheetFormatPr defaultRowHeight="14.5"/>
  <cols>
    <col min="4" max="4" width="13.453125" bestFit="1" customWidth="1"/>
    <col min="16" max="16" width="14.08984375" bestFit="1" customWidth="1"/>
    <col min="17" max="17" width="12" bestFit="1" customWidth="1"/>
    <col min="19" max="19" width="21.08984375" customWidth="1"/>
  </cols>
  <sheetData>
    <row r="1" spans="1:19" ht="16.5">
      <c r="A1" s="111" t="s">
        <v>316</v>
      </c>
    </row>
    <row r="2" spans="1:19">
      <c r="A2" s="44" t="s">
        <v>317</v>
      </c>
    </row>
    <row r="3" spans="1:19">
      <c r="B3" s="110" t="s">
        <v>250</v>
      </c>
      <c r="F3" t="s">
        <v>318</v>
      </c>
    </row>
    <row r="4" spans="1:19">
      <c r="B4" s="138" t="s">
        <v>210</v>
      </c>
      <c r="C4" s="139" t="s">
        <v>211</v>
      </c>
      <c r="D4" s="138" t="s">
        <v>50</v>
      </c>
      <c r="E4" s="139" t="s">
        <v>212</v>
      </c>
      <c r="F4" s="138" t="s">
        <v>52</v>
      </c>
      <c r="G4" s="139" t="s">
        <v>53</v>
      </c>
      <c r="H4" s="138" t="s">
        <v>54</v>
      </c>
      <c r="I4" s="139" t="s">
        <v>213</v>
      </c>
      <c r="J4" s="138" t="s">
        <v>214</v>
      </c>
      <c r="K4" s="139" t="s">
        <v>215</v>
      </c>
      <c r="L4" s="138" t="s">
        <v>216</v>
      </c>
      <c r="M4" s="139" t="s">
        <v>217</v>
      </c>
    </row>
    <row r="5" spans="1:19">
      <c r="A5" s="107">
        <v>2015</v>
      </c>
      <c r="B5" s="106">
        <v>3701</v>
      </c>
      <c r="C5" s="106">
        <v>3326</v>
      </c>
      <c r="D5" s="106">
        <v>3765</v>
      </c>
      <c r="E5" s="106">
        <v>4011</v>
      </c>
      <c r="F5" s="106">
        <v>10370</v>
      </c>
      <c r="G5" s="106">
        <v>23850</v>
      </c>
      <c r="H5" s="106">
        <v>9600</v>
      </c>
      <c r="I5" s="106">
        <v>4033</v>
      </c>
      <c r="J5" s="106">
        <v>4432</v>
      </c>
      <c r="K5" s="106">
        <v>4582</v>
      </c>
      <c r="L5" s="106">
        <v>4129</v>
      </c>
      <c r="M5" s="106">
        <v>3131</v>
      </c>
    </row>
    <row r="6" spans="1:19">
      <c r="A6" s="107">
        <v>2016</v>
      </c>
      <c r="B6" s="106">
        <v>3213</v>
      </c>
      <c r="C6" s="106">
        <v>3681</v>
      </c>
      <c r="D6" s="106">
        <v>3714</v>
      </c>
      <c r="E6" s="106">
        <v>6020</v>
      </c>
      <c r="F6" s="106">
        <v>14290</v>
      </c>
      <c r="G6" s="106">
        <v>17800</v>
      </c>
      <c r="H6" s="106">
        <v>6235</v>
      </c>
      <c r="I6" s="106">
        <v>4168</v>
      </c>
      <c r="J6" s="106">
        <v>4101</v>
      </c>
      <c r="K6" s="106">
        <v>4297</v>
      </c>
      <c r="L6" s="106">
        <v>3501</v>
      </c>
      <c r="M6" s="106">
        <v>3129</v>
      </c>
    </row>
    <row r="7" spans="1:19">
      <c r="A7" s="107">
        <v>2017</v>
      </c>
      <c r="B7" s="106">
        <v>3175</v>
      </c>
      <c r="C7" s="106">
        <v>3778</v>
      </c>
      <c r="D7" s="106">
        <v>5279</v>
      </c>
      <c r="E7" s="106">
        <v>7521</v>
      </c>
      <c r="F7" s="106">
        <v>13720</v>
      </c>
      <c r="G7" s="106">
        <v>18220</v>
      </c>
      <c r="H7" s="106">
        <v>6368</v>
      </c>
      <c r="I7" s="106">
        <v>4452</v>
      </c>
      <c r="J7" s="106">
        <v>4054</v>
      </c>
      <c r="K7" s="106">
        <v>4816</v>
      </c>
      <c r="L7" s="106">
        <v>3575</v>
      </c>
      <c r="M7" s="106">
        <v>3697</v>
      </c>
    </row>
    <row r="8" spans="1:19">
      <c r="A8" s="107">
        <v>2018</v>
      </c>
      <c r="B8" s="106">
        <v>3276</v>
      </c>
      <c r="C8" s="106">
        <v>2828</v>
      </c>
      <c r="D8" s="106">
        <v>2929</v>
      </c>
      <c r="E8" s="106">
        <v>2792</v>
      </c>
      <c r="F8" s="106">
        <v>6215</v>
      </c>
      <c r="G8" s="106">
        <v>4385</v>
      </c>
      <c r="H8" s="106">
        <v>2239</v>
      </c>
      <c r="I8" s="106">
        <v>2585</v>
      </c>
      <c r="J8" s="106">
        <v>2188</v>
      </c>
      <c r="K8" s="106">
        <v>3202</v>
      </c>
      <c r="L8" s="106">
        <v>2656</v>
      </c>
      <c r="M8" s="106">
        <v>2278</v>
      </c>
    </row>
    <row r="9" spans="1:19">
      <c r="A9" s="107">
        <v>2019</v>
      </c>
      <c r="B9" s="106">
        <v>2244</v>
      </c>
      <c r="C9" s="106">
        <v>2456</v>
      </c>
      <c r="D9" s="106">
        <v>3431</v>
      </c>
      <c r="E9" s="106">
        <v>7608</v>
      </c>
      <c r="F9" s="106">
        <v>14720</v>
      </c>
      <c r="G9" s="106">
        <v>29050</v>
      </c>
      <c r="H9" s="106">
        <v>17720</v>
      </c>
      <c r="I9" s="106">
        <v>6025</v>
      </c>
      <c r="J9" s="106">
        <v>3794</v>
      </c>
      <c r="K9" s="106">
        <v>4133</v>
      </c>
      <c r="L9" s="106">
        <v>4325</v>
      </c>
      <c r="M9" s="106">
        <v>3847</v>
      </c>
    </row>
    <row r="10" spans="1:19">
      <c r="A10" s="107">
        <v>2020</v>
      </c>
      <c r="B10" s="106">
        <v>3324</v>
      </c>
      <c r="C10" s="112"/>
      <c r="D10" s="112"/>
      <c r="E10" s="112"/>
      <c r="F10" s="112"/>
      <c r="G10" s="112"/>
      <c r="H10" s="112"/>
      <c r="I10" s="112"/>
      <c r="J10" s="112"/>
      <c r="K10" s="112"/>
      <c r="L10" s="112"/>
      <c r="M10" s="140"/>
    </row>
    <row r="11" spans="1:19">
      <c r="N11" s="44" t="s">
        <v>319</v>
      </c>
    </row>
    <row r="12" spans="1:19">
      <c r="A12" s="141"/>
      <c r="B12" s="1" t="s">
        <v>248</v>
      </c>
      <c r="C12" s="1" t="s">
        <v>247</v>
      </c>
      <c r="D12" s="1" t="s">
        <v>246</v>
      </c>
      <c r="E12" s="142" t="s">
        <v>245</v>
      </c>
      <c r="G12" s="143" t="s">
        <v>320</v>
      </c>
      <c r="H12" s="144" t="s">
        <v>321</v>
      </c>
      <c r="M12" s="145" t="s">
        <v>322</v>
      </c>
      <c r="N12" s="143" t="s">
        <v>248</v>
      </c>
      <c r="O12" s="143" t="s">
        <v>247</v>
      </c>
      <c r="P12" s="145" t="s">
        <v>323</v>
      </c>
      <c r="Q12" s="145" t="s">
        <v>246</v>
      </c>
      <c r="R12" s="145" t="s">
        <v>324</v>
      </c>
      <c r="S12" s="2"/>
    </row>
    <row r="13" spans="1:19">
      <c r="A13" s="80">
        <v>5783</v>
      </c>
      <c r="B13" s="65">
        <v>4582</v>
      </c>
      <c r="C13" s="83">
        <v>31</v>
      </c>
      <c r="D13" s="65">
        <f>B13*C13*86400</f>
        <v>12272428800</v>
      </c>
      <c r="E13" s="40">
        <f>D13/43560</f>
        <v>281736.19834710745</v>
      </c>
      <c r="G13" s="1">
        <v>2016</v>
      </c>
      <c r="H13" s="146">
        <f>SUM(E13:E24)/1000000</f>
        <v>4.5373328925619836</v>
      </c>
      <c r="M13" s="147">
        <v>2016</v>
      </c>
      <c r="N13" s="148">
        <v>6251</v>
      </c>
      <c r="O13" s="1">
        <v>366</v>
      </c>
      <c r="P13" s="1">
        <v>86400</v>
      </c>
      <c r="Q13">
        <f>N13*O13*P13</f>
        <v>197671622400</v>
      </c>
      <c r="R13" s="86">
        <f>Q13/43560/1000000</f>
        <v>4.5379160330578507</v>
      </c>
      <c r="S13" s="86"/>
    </row>
    <row r="14" spans="1:19">
      <c r="A14" s="80">
        <v>5813</v>
      </c>
      <c r="B14" s="65">
        <v>4129</v>
      </c>
      <c r="C14" s="83">
        <v>30</v>
      </c>
      <c r="D14" s="65">
        <f t="shared" ref="D14:D60" si="0">B14*C14*86400</f>
        <v>10702368000</v>
      </c>
      <c r="E14" s="40">
        <f t="shared" ref="E14:E60" si="1">D14/43560</f>
        <v>245692.56198347107</v>
      </c>
      <c r="G14" s="1">
        <v>2017</v>
      </c>
      <c r="H14" s="146">
        <f>SUM(E25:E36)/1000000</f>
        <v>4.6763980165289256</v>
      </c>
      <c r="M14" s="147">
        <v>2017</v>
      </c>
      <c r="N14" s="147">
        <v>6459</v>
      </c>
      <c r="O14" s="1">
        <v>365</v>
      </c>
      <c r="P14" s="1">
        <v>86400</v>
      </c>
      <c r="Q14">
        <f t="shared" ref="Q14:Q16" si="2">N14*O14*P14</f>
        <v>203691024000</v>
      </c>
      <c r="R14" s="86">
        <f t="shared" ref="R14:R16" si="3">Q14/43560/1000000</f>
        <v>4.6761024793388435</v>
      </c>
      <c r="S14" s="86"/>
    </row>
    <row r="15" spans="1:19">
      <c r="A15" s="80">
        <v>5844</v>
      </c>
      <c r="B15" s="65">
        <v>3131</v>
      </c>
      <c r="C15" s="83">
        <v>31</v>
      </c>
      <c r="D15" s="65">
        <f t="shared" si="0"/>
        <v>8386070400</v>
      </c>
      <c r="E15" s="40">
        <f t="shared" si="1"/>
        <v>192517.68595041323</v>
      </c>
      <c r="G15" s="1">
        <v>2018</v>
      </c>
      <c r="H15" s="146">
        <f>SUM(E37:E48)/1000000</f>
        <v>2.5107788429752067</v>
      </c>
      <c r="M15" s="147">
        <v>2018</v>
      </c>
      <c r="N15" s="147">
        <v>3468</v>
      </c>
      <c r="O15" s="1">
        <v>365</v>
      </c>
      <c r="P15" s="1">
        <v>86400</v>
      </c>
      <c r="Q15">
        <f t="shared" si="2"/>
        <v>109366848000</v>
      </c>
      <c r="R15" s="86">
        <f t="shared" si="3"/>
        <v>2.5107173553719009</v>
      </c>
      <c r="S15" s="86"/>
    </row>
    <row r="16" spans="1:19">
      <c r="A16" s="80">
        <v>5875</v>
      </c>
      <c r="B16" s="1">
        <v>3213</v>
      </c>
      <c r="C16" s="83">
        <v>31</v>
      </c>
      <c r="D16" s="65">
        <f t="shared" si="0"/>
        <v>8605699200</v>
      </c>
      <c r="E16" s="40">
        <f t="shared" si="1"/>
        <v>197559.6694214876</v>
      </c>
      <c r="G16" s="1">
        <v>2019</v>
      </c>
      <c r="H16" s="146">
        <f>SUM(E49:E60)/1000000</f>
        <v>5.7525183471074381</v>
      </c>
      <c r="M16" s="147">
        <v>2019</v>
      </c>
      <c r="N16" s="147">
        <v>7946</v>
      </c>
      <c r="O16" s="1">
        <v>365</v>
      </c>
      <c r="P16" s="1">
        <v>86400</v>
      </c>
      <c r="Q16">
        <f t="shared" si="2"/>
        <v>250585056000</v>
      </c>
      <c r="R16" s="86">
        <f t="shared" si="3"/>
        <v>5.7526413223140498</v>
      </c>
      <c r="S16" s="86"/>
    </row>
    <row r="17" spans="1:19">
      <c r="A17" s="80">
        <v>5904</v>
      </c>
      <c r="B17" s="1">
        <v>3681</v>
      </c>
      <c r="C17" s="83">
        <v>29</v>
      </c>
      <c r="D17" s="65">
        <f t="shared" si="0"/>
        <v>9223113600</v>
      </c>
      <c r="E17" s="40">
        <f t="shared" si="1"/>
        <v>211733.55371900825</v>
      </c>
      <c r="G17" s="1" t="s">
        <v>325</v>
      </c>
      <c r="H17" s="146">
        <f>AVERAGE(H13:H16)</f>
        <v>4.369257024793388</v>
      </c>
      <c r="M17" t="s">
        <v>325</v>
      </c>
      <c r="R17" s="86">
        <f>AVERAGE(R13:R16)</f>
        <v>4.3693442975206613</v>
      </c>
      <c r="S17" s="86"/>
    </row>
    <row r="18" spans="1:19">
      <c r="A18" s="80">
        <v>5935</v>
      </c>
      <c r="B18" s="1">
        <v>3714</v>
      </c>
      <c r="C18" s="83">
        <v>31</v>
      </c>
      <c r="D18" s="65">
        <f t="shared" si="0"/>
        <v>9947577600</v>
      </c>
      <c r="E18" s="40">
        <f t="shared" si="1"/>
        <v>228364.95867768594</v>
      </c>
    </row>
    <row r="19" spans="1:19">
      <c r="A19" s="80">
        <v>5965</v>
      </c>
      <c r="B19" s="1">
        <v>6020</v>
      </c>
      <c r="C19" s="83">
        <v>30</v>
      </c>
      <c r="D19" s="65">
        <f t="shared" si="0"/>
        <v>15603840000</v>
      </c>
      <c r="E19" s="40">
        <f t="shared" si="1"/>
        <v>358214.87603305787</v>
      </c>
    </row>
    <row r="20" spans="1:19">
      <c r="A20" s="80">
        <v>5996</v>
      </c>
      <c r="B20" s="1">
        <v>14290</v>
      </c>
      <c r="C20" s="83">
        <v>31</v>
      </c>
      <c r="D20" s="65">
        <f t="shared" si="0"/>
        <v>38274336000</v>
      </c>
      <c r="E20" s="40">
        <f t="shared" si="1"/>
        <v>878657.85123966937</v>
      </c>
    </row>
    <row r="21" spans="1:19">
      <c r="A21" s="80">
        <v>6026</v>
      </c>
      <c r="B21" s="1">
        <v>17800</v>
      </c>
      <c r="C21" s="83">
        <v>30</v>
      </c>
      <c r="D21" s="65">
        <f t="shared" si="0"/>
        <v>46137600000</v>
      </c>
      <c r="E21" s="40">
        <f t="shared" si="1"/>
        <v>1059173.5537190083</v>
      </c>
    </row>
    <row r="22" spans="1:19">
      <c r="A22" s="80">
        <v>6057</v>
      </c>
      <c r="B22" s="1">
        <v>6235</v>
      </c>
      <c r="C22" s="83">
        <v>31</v>
      </c>
      <c r="D22" s="65">
        <f t="shared" si="0"/>
        <v>16699824000</v>
      </c>
      <c r="E22" s="40">
        <f t="shared" si="1"/>
        <v>383375.20661157026</v>
      </c>
    </row>
    <row r="23" spans="1:19">
      <c r="A23" s="80">
        <v>6088</v>
      </c>
      <c r="B23" s="1">
        <v>4168</v>
      </c>
      <c r="C23" s="83">
        <v>31</v>
      </c>
      <c r="D23" s="65">
        <f t="shared" si="0"/>
        <v>11163571200</v>
      </c>
      <c r="E23" s="40">
        <f t="shared" si="1"/>
        <v>256280.3305785124</v>
      </c>
    </row>
    <row r="24" spans="1:19">
      <c r="A24" s="80">
        <v>6118</v>
      </c>
      <c r="B24" s="1">
        <v>4101</v>
      </c>
      <c r="C24" s="83">
        <v>30</v>
      </c>
      <c r="D24" s="65">
        <f t="shared" si="0"/>
        <v>10629792000</v>
      </c>
      <c r="E24" s="40">
        <f t="shared" si="1"/>
        <v>244026.44628099175</v>
      </c>
    </row>
    <row r="25" spans="1:19">
      <c r="A25" s="80">
        <v>6149</v>
      </c>
      <c r="B25" s="1">
        <v>4297</v>
      </c>
      <c r="C25" s="83">
        <v>31</v>
      </c>
      <c r="D25" s="65">
        <f t="shared" si="0"/>
        <v>11509084800</v>
      </c>
      <c r="E25" s="40">
        <f t="shared" si="1"/>
        <v>264212.2314049587</v>
      </c>
    </row>
    <row r="26" spans="1:19">
      <c r="A26" s="80">
        <v>6179</v>
      </c>
      <c r="B26" s="1">
        <v>3501</v>
      </c>
      <c r="C26" s="83">
        <v>30</v>
      </c>
      <c r="D26" s="65">
        <f t="shared" si="0"/>
        <v>9074592000</v>
      </c>
      <c r="E26" s="40">
        <f t="shared" si="1"/>
        <v>208323.96694214875</v>
      </c>
    </row>
    <row r="27" spans="1:19">
      <c r="A27" s="80">
        <v>6210</v>
      </c>
      <c r="B27" s="1">
        <v>3129</v>
      </c>
      <c r="C27" s="83">
        <v>31</v>
      </c>
      <c r="D27" s="65">
        <f t="shared" si="0"/>
        <v>8380713600</v>
      </c>
      <c r="E27" s="40">
        <f t="shared" si="1"/>
        <v>192394.71074380164</v>
      </c>
    </row>
    <row r="28" spans="1:19">
      <c r="A28" s="80">
        <v>6241</v>
      </c>
      <c r="B28" s="1">
        <v>3175</v>
      </c>
      <c r="C28" s="83">
        <v>31</v>
      </c>
      <c r="D28" s="65">
        <f t="shared" si="0"/>
        <v>8503920000</v>
      </c>
      <c r="E28" s="40">
        <f t="shared" si="1"/>
        <v>195223.14049586776</v>
      </c>
    </row>
    <row r="29" spans="1:19">
      <c r="A29" s="80">
        <v>6269</v>
      </c>
      <c r="B29" s="1">
        <v>3778</v>
      </c>
      <c r="C29" s="83">
        <v>28</v>
      </c>
      <c r="D29" s="65">
        <f t="shared" si="0"/>
        <v>9139737600</v>
      </c>
      <c r="E29" s="40">
        <f t="shared" si="1"/>
        <v>209819.50413223141</v>
      </c>
    </row>
    <row r="30" spans="1:19">
      <c r="A30" s="80">
        <v>6300</v>
      </c>
      <c r="B30" s="1">
        <v>5279</v>
      </c>
      <c r="C30" s="83">
        <v>31</v>
      </c>
      <c r="D30" s="65">
        <f t="shared" si="0"/>
        <v>14139273600</v>
      </c>
      <c r="E30" s="40">
        <f t="shared" si="1"/>
        <v>324593.05785123969</v>
      </c>
    </row>
    <row r="31" spans="1:19">
      <c r="A31" s="80">
        <v>6330</v>
      </c>
      <c r="B31" s="1">
        <v>7521</v>
      </c>
      <c r="C31" s="83">
        <v>30</v>
      </c>
      <c r="D31" s="65">
        <f t="shared" si="0"/>
        <v>19494432000</v>
      </c>
      <c r="E31" s="40">
        <f t="shared" si="1"/>
        <v>447530.57851239672</v>
      </c>
    </row>
    <row r="32" spans="1:19">
      <c r="A32" s="80">
        <v>6361</v>
      </c>
      <c r="B32" s="1">
        <v>13720</v>
      </c>
      <c r="C32" s="83">
        <v>31</v>
      </c>
      <c r="D32" s="65">
        <f t="shared" si="0"/>
        <v>36747648000</v>
      </c>
      <c r="E32" s="40">
        <f t="shared" si="1"/>
        <v>843609.91735537187</v>
      </c>
    </row>
    <row r="33" spans="1:5">
      <c r="A33" s="80">
        <v>6391</v>
      </c>
      <c r="B33" s="1">
        <v>18220</v>
      </c>
      <c r="C33" s="83">
        <v>30</v>
      </c>
      <c r="D33" s="65">
        <f t="shared" si="0"/>
        <v>47226240000</v>
      </c>
      <c r="E33" s="40">
        <f t="shared" si="1"/>
        <v>1084165.2892561983</v>
      </c>
    </row>
    <row r="34" spans="1:5">
      <c r="A34" s="80">
        <v>6422</v>
      </c>
      <c r="B34" s="1">
        <v>6368</v>
      </c>
      <c r="C34" s="83">
        <v>31</v>
      </c>
      <c r="D34" s="65">
        <f t="shared" si="0"/>
        <v>17056051200</v>
      </c>
      <c r="E34" s="40">
        <f t="shared" si="1"/>
        <v>391553.05785123969</v>
      </c>
    </row>
    <row r="35" spans="1:5">
      <c r="A35" s="80">
        <v>6453</v>
      </c>
      <c r="B35" s="1">
        <v>4452</v>
      </c>
      <c r="C35" s="83">
        <v>31</v>
      </c>
      <c r="D35" s="65">
        <f t="shared" si="0"/>
        <v>11924236800</v>
      </c>
      <c r="E35" s="40">
        <f t="shared" si="1"/>
        <v>273742.80991735536</v>
      </c>
    </row>
    <row r="36" spans="1:5">
      <c r="A36" s="80">
        <v>6483</v>
      </c>
      <c r="B36" s="1">
        <v>4054</v>
      </c>
      <c r="C36" s="83">
        <v>30</v>
      </c>
      <c r="D36" s="65">
        <f t="shared" si="0"/>
        <v>10507968000</v>
      </c>
      <c r="E36" s="40">
        <f t="shared" si="1"/>
        <v>241229.7520661157</v>
      </c>
    </row>
    <row r="37" spans="1:5">
      <c r="A37" s="80">
        <v>6514</v>
      </c>
      <c r="B37" s="1">
        <v>4816</v>
      </c>
      <c r="C37" s="83">
        <v>31</v>
      </c>
      <c r="D37" s="65">
        <f t="shared" si="0"/>
        <v>12899174400</v>
      </c>
      <c r="E37" s="40">
        <f t="shared" si="1"/>
        <v>296124.29752066114</v>
      </c>
    </row>
    <row r="38" spans="1:5">
      <c r="A38" s="80">
        <v>6544</v>
      </c>
      <c r="B38" s="1">
        <v>3575</v>
      </c>
      <c r="C38" s="83">
        <v>30</v>
      </c>
      <c r="D38" s="65">
        <f t="shared" si="0"/>
        <v>9266400000</v>
      </c>
      <c r="E38" s="40">
        <f t="shared" si="1"/>
        <v>212727.27272727274</v>
      </c>
    </row>
    <row r="39" spans="1:5">
      <c r="A39" s="80">
        <v>6575</v>
      </c>
      <c r="B39" s="1">
        <v>3697</v>
      </c>
      <c r="C39" s="83">
        <v>31</v>
      </c>
      <c r="D39" s="65">
        <f t="shared" si="0"/>
        <v>9902044800</v>
      </c>
      <c r="E39" s="40">
        <f t="shared" si="1"/>
        <v>227319.6694214876</v>
      </c>
    </row>
    <row r="40" spans="1:5">
      <c r="A40" s="80">
        <v>6606</v>
      </c>
      <c r="B40" s="1">
        <v>3276</v>
      </c>
      <c r="C40" s="83">
        <v>31</v>
      </c>
      <c r="D40" s="65">
        <f t="shared" si="0"/>
        <v>8774438400</v>
      </c>
      <c r="E40" s="40">
        <f t="shared" si="1"/>
        <v>201433.38842975206</v>
      </c>
    </row>
    <row r="41" spans="1:5">
      <c r="A41" s="80">
        <v>6634</v>
      </c>
      <c r="B41" s="1">
        <v>2828</v>
      </c>
      <c r="C41" s="83">
        <v>28</v>
      </c>
      <c r="D41" s="65">
        <f t="shared" si="0"/>
        <v>6841497600</v>
      </c>
      <c r="E41" s="40">
        <f t="shared" si="1"/>
        <v>157059.17355371901</v>
      </c>
    </row>
    <row r="42" spans="1:5">
      <c r="A42" s="80">
        <v>6665</v>
      </c>
      <c r="B42" s="1">
        <v>2929</v>
      </c>
      <c r="C42" s="83">
        <v>31</v>
      </c>
      <c r="D42" s="65">
        <f t="shared" si="0"/>
        <v>7845033600</v>
      </c>
      <c r="E42" s="40">
        <f t="shared" si="1"/>
        <v>180097.19008264464</v>
      </c>
    </row>
    <row r="43" spans="1:5">
      <c r="A43" s="80">
        <v>6695</v>
      </c>
      <c r="B43" s="1">
        <v>2792</v>
      </c>
      <c r="C43" s="83">
        <v>30</v>
      </c>
      <c r="D43" s="65">
        <f t="shared" si="0"/>
        <v>7236864000</v>
      </c>
      <c r="E43" s="40">
        <f t="shared" si="1"/>
        <v>166135.53719008266</v>
      </c>
    </row>
    <row r="44" spans="1:5">
      <c r="A44" s="80">
        <v>6726</v>
      </c>
      <c r="B44" s="1">
        <v>6215</v>
      </c>
      <c r="C44" s="83">
        <v>31</v>
      </c>
      <c r="D44" s="65">
        <f t="shared" si="0"/>
        <v>16646256000</v>
      </c>
      <c r="E44" s="40">
        <f t="shared" si="1"/>
        <v>382145.45454545453</v>
      </c>
    </row>
    <row r="45" spans="1:5">
      <c r="A45" s="80">
        <v>6756</v>
      </c>
      <c r="B45" s="1">
        <v>4385</v>
      </c>
      <c r="C45" s="83">
        <v>30</v>
      </c>
      <c r="D45" s="65">
        <f t="shared" si="0"/>
        <v>11365920000</v>
      </c>
      <c r="E45" s="40">
        <f t="shared" si="1"/>
        <v>260925.61983471076</v>
      </c>
    </row>
    <row r="46" spans="1:5">
      <c r="A46" s="80">
        <v>6787</v>
      </c>
      <c r="B46" s="1">
        <v>2239</v>
      </c>
      <c r="C46" s="83">
        <v>31</v>
      </c>
      <c r="D46" s="65">
        <f t="shared" si="0"/>
        <v>5996937600</v>
      </c>
      <c r="E46" s="40">
        <f t="shared" si="1"/>
        <v>137670.74380165289</v>
      </c>
    </row>
    <row r="47" spans="1:5">
      <c r="A47" s="80">
        <v>6818</v>
      </c>
      <c r="B47" s="1">
        <v>2585</v>
      </c>
      <c r="C47" s="83">
        <v>31</v>
      </c>
      <c r="D47" s="65">
        <f t="shared" si="0"/>
        <v>6923664000</v>
      </c>
      <c r="E47" s="40">
        <f t="shared" si="1"/>
        <v>158945.45454545456</v>
      </c>
    </row>
    <row r="48" spans="1:5">
      <c r="A48" s="80">
        <v>6848</v>
      </c>
      <c r="B48" s="1">
        <v>2188</v>
      </c>
      <c r="C48" s="83">
        <v>30</v>
      </c>
      <c r="D48" s="65">
        <f t="shared" si="0"/>
        <v>5671296000</v>
      </c>
      <c r="E48" s="40">
        <f t="shared" si="1"/>
        <v>130195.04132231405</v>
      </c>
    </row>
    <row r="49" spans="1:5">
      <c r="A49" s="80">
        <v>6879</v>
      </c>
      <c r="B49" s="1">
        <v>3202</v>
      </c>
      <c r="C49" s="83">
        <v>31</v>
      </c>
      <c r="D49" s="65">
        <f t="shared" si="0"/>
        <v>8576236800</v>
      </c>
      <c r="E49" s="40">
        <f t="shared" si="1"/>
        <v>196883.30578512396</v>
      </c>
    </row>
    <row r="50" spans="1:5">
      <c r="A50" s="80">
        <v>6909</v>
      </c>
      <c r="B50" s="1">
        <v>2656</v>
      </c>
      <c r="C50" s="83">
        <v>30</v>
      </c>
      <c r="D50" s="65">
        <f t="shared" si="0"/>
        <v>6884352000</v>
      </c>
      <c r="E50" s="40">
        <f t="shared" si="1"/>
        <v>158042.97520661156</v>
      </c>
    </row>
    <row r="51" spans="1:5">
      <c r="A51" s="80">
        <v>6940</v>
      </c>
      <c r="B51" s="1">
        <v>2278</v>
      </c>
      <c r="C51" s="83">
        <v>31</v>
      </c>
      <c r="D51" s="65">
        <f t="shared" si="0"/>
        <v>6101395200</v>
      </c>
      <c r="E51" s="40">
        <f t="shared" si="1"/>
        <v>140068.76033057852</v>
      </c>
    </row>
    <row r="52" spans="1:5">
      <c r="A52" s="80">
        <v>6971</v>
      </c>
      <c r="B52" s="1">
        <v>2244</v>
      </c>
      <c r="C52" s="83">
        <v>31</v>
      </c>
      <c r="D52" s="65">
        <f t="shared" si="0"/>
        <v>6010329600</v>
      </c>
      <c r="E52" s="40">
        <f t="shared" si="1"/>
        <v>137978.18181818182</v>
      </c>
    </row>
    <row r="53" spans="1:5">
      <c r="A53" s="80">
        <v>6999</v>
      </c>
      <c r="B53" s="1">
        <v>2456</v>
      </c>
      <c r="C53" s="83">
        <v>28</v>
      </c>
      <c r="D53" s="65">
        <f t="shared" si="0"/>
        <v>5941555200</v>
      </c>
      <c r="E53" s="40">
        <f t="shared" si="1"/>
        <v>136399.33884297521</v>
      </c>
    </row>
    <row r="54" spans="1:5">
      <c r="A54" s="80">
        <v>7030</v>
      </c>
      <c r="B54" s="1">
        <v>3431</v>
      </c>
      <c r="C54" s="83">
        <v>31</v>
      </c>
      <c r="D54" s="65">
        <f t="shared" si="0"/>
        <v>9189590400</v>
      </c>
      <c r="E54" s="40">
        <f t="shared" si="1"/>
        <v>210963.96694214875</v>
      </c>
    </row>
    <row r="55" spans="1:5">
      <c r="A55" s="80">
        <v>7060</v>
      </c>
      <c r="B55" s="1">
        <v>7608</v>
      </c>
      <c r="C55" s="83">
        <v>30</v>
      </c>
      <c r="D55" s="65">
        <f t="shared" si="0"/>
        <v>19719936000</v>
      </c>
      <c r="E55" s="40">
        <f t="shared" si="1"/>
        <v>452707.4380165289</v>
      </c>
    </row>
    <row r="56" spans="1:5">
      <c r="A56" s="80">
        <v>7091</v>
      </c>
      <c r="B56" s="1">
        <v>14720</v>
      </c>
      <c r="C56" s="83">
        <v>31</v>
      </c>
      <c r="D56" s="65">
        <f t="shared" si="0"/>
        <v>39426048000</v>
      </c>
      <c r="E56" s="40">
        <f t="shared" si="1"/>
        <v>905097.52066115697</v>
      </c>
    </row>
    <row r="57" spans="1:5">
      <c r="A57" s="80">
        <v>7121</v>
      </c>
      <c r="B57" s="1">
        <v>29050</v>
      </c>
      <c r="C57" s="83">
        <v>30</v>
      </c>
      <c r="D57" s="65">
        <f t="shared" si="0"/>
        <v>75297600000</v>
      </c>
      <c r="E57" s="40">
        <f t="shared" si="1"/>
        <v>1728595.0413223139</v>
      </c>
    </row>
    <row r="58" spans="1:5">
      <c r="A58" s="80">
        <v>7152</v>
      </c>
      <c r="B58" s="1">
        <v>17720</v>
      </c>
      <c r="C58" s="83">
        <v>31</v>
      </c>
      <c r="D58" s="65">
        <f t="shared" si="0"/>
        <v>47461248000</v>
      </c>
      <c r="E58" s="40">
        <f t="shared" si="1"/>
        <v>1089560.3305785125</v>
      </c>
    </row>
    <row r="59" spans="1:5">
      <c r="A59" s="80">
        <v>7183</v>
      </c>
      <c r="B59" s="1">
        <v>6025</v>
      </c>
      <c r="C59" s="83">
        <v>31</v>
      </c>
      <c r="D59" s="65">
        <f t="shared" si="0"/>
        <v>16137360000</v>
      </c>
      <c r="E59" s="40">
        <f t="shared" si="1"/>
        <v>370462.80991735536</v>
      </c>
    </row>
    <row r="60" spans="1:5">
      <c r="A60" s="80">
        <v>7213</v>
      </c>
      <c r="B60" s="1">
        <v>3794</v>
      </c>
      <c r="C60" s="83">
        <v>30</v>
      </c>
      <c r="D60" s="65">
        <f t="shared" si="0"/>
        <v>9834048000</v>
      </c>
      <c r="E60" s="40">
        <f t="shared" si="1"/>
        <v>225758.67768595042</v>
      </c>
    </row>
  </sheetData>
  <hyperlinks>
    <hyperlink ref="A2" r:id="rId1" xr:uid="{29790CFC-85B8-4E57-94AB-5A35A8CF6D5C}"/>
    <hyperlink ref="N11" r:id="rId2" display="https://waterdata.usgs.gov/nwis/annual/?referred_module=sw&amp;amp;site_no=09180500&amp;amp;por_09180500_142741=448304,00060,142741,1914,2020&amp;amp;year_type=W&amp;amp;format=html_table&amp;amp;date_format=YYYY-MM-DD&amp;amp;rdb_compression=file&amp;amp;submitted_form=parameter_selection_list" xr:uid="{6D1D8788-DDBA-4122-B485-C9D10482FB46}"/>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022F-FC97-441A-AFC2-F6C199A7EBD5}">
  <dimension ref="A1:T62"/>
  <sheetViews>
    <sheetView topLeftCell="B1" workbookViewId="0">
      <selection activeCell="R13" sqref="R13"/>
    </sheetView>
  </sheetViews>
  <sheetFormatPr defaultColWidth="8.81640625" defaultRowHeight="14.5"/>
  <cols>
    <col min="4" max="4" width="13.453125" bestFit="1" customWidth="1"/>
    <col min="5" max="5" width="12.453125" bestFit="1" customWidth="1"/>
    <col min="16" max="16" width="14.08984375" bestFit="1" customWidth="1"/>
    <col min="17" max="17" width="12" bestFit="1" customWidth="1"/>
    <col min="18" max="18" width="28" bestFit="1" customWidth="1"/>
    <col min="19" max="19" width="21.1796875" customWidth="1"/>
    <col min="20" max="20" width="22.08984375" customWidth="1"/>
  </cols>
  <sheetData>
    <row r="1" spans="1:20" ht="16.5">
      <c r="A1" s="111" t="s">
        <v>326</v>
      </c>
    </row>
    <row r="2" spans="1:20">
      <c r="A2" s="44" t="s">
        <v>327</v>
      </c>
    </row>
    <row r="3" spans="1:20">
      <c r="B3" s="110" t="s">
        <v>250</v>
      </c>
    </row>
    <row r="4" spans="1:20">
      <c r="A4" s="149"/>
      <c r="B4" s="138" t="s">
        <v>210</v>
      </c>
      <c r="C4" s="139" t="s">
        <v>211</v>
      </c>
      <c r="D4" s="138" t="s">
        <v>50</v>
      </c>
      <c r="E4" s="139" t="s">
        <v>212</v>
      </c>
      <c r="F4" s="138" t="s">
        <v>52</v>
      </c>
      <c r="G4" s="139" t="s">
        <v>53</v>
      </c>
      <c r="H4" s="138" t="s">
        <v>54</v>
      </c>
      <c r="I4" s="139" t="s">
        <v>213</v>
      </c>
      <c r="J4" s="138" t="s">
        <v>214</v>
      </c>
      <c r="K4" s="139" t="s">
        <v>215</v>
      </c>
      <c r="L4" s="138" t="s">
        <v>216</v>
      </c>
      <c r="M4" s="139" t="s">
        <v>217</v>
      </c>
    </row>
    <row r="5" spans="1:20">
      <c r="A5" s="107">
        <v>2015</v>
      </c>
      <c r="B5" s="112"/>
      <c r="C5" s="112"/>
      <c r="D5" s="112"/>
      <c r="E5" s="112"/>
      <c r="F5" s="112"/>
      <c r="G5" s="112"/>
      <c r="H5" s="112"/>
      <c r="I5" s="112"/>
      <c r="J5" s="112"/>
      <c r="K5" s="106">
        <v>4538</v>
      </c>
      <c r="L5" s="106">
        <v>4128</v>
      </c>
      <c r="M5" s="106">
        <v>3217</v>
      </c>
    </row>
    <row r="6" spans="1:20">
      <c r="A6" s="107">
        <v>2016</v>
      </c>
      <c r="B6" s="106">
        <v>3294</v>
      </c>
      <c r="C6" s="106">
        <v>3904</v>
      </c>
      <c r="D6" s="106">
        <v>3937</v>
      </c>
      <c r="E6" s="106">
        <v>5867</v>
      </c>
      <c r="F6" s="106">
        <v>14370</v>
      </c>
      <c r="G6" s="106">
        <v>18140</v>
      </c>
      <c r="H6" s="106">
        <v>6195</v>
      </c>
      <c r="I6" s="106">
        <v>4043</v>
      </c>
      <c r="J6" s="106">
        <v>4011</v>
      </c>
      <c r="K6" s="106">
        <v>4302</v>
      </c>
      <c r="L6" s="106">
        <v>3450</v>
      </c>
      <c r="M6" s="106">
        <v>3066</v>
      </c>
    </row>
    <row r="7" spans="1:20">
      <c r="A7" s="107">
        <v>2017</v>
      </c>
      <c r="B7" s="106">
        <v>3120</v>
      </c>
      <c r="C7" s="106">
        <v>3615</v>
      </c>
      <c r="D7" s="106">
        <v>5187</v>
      </c>
      <c r="E7" s="106">
        <v>7759</v>
      </c>
      <c r="F7" s="106">
        <v>14500</v>
      </c>
      <c r="G7" s="106">
        <v>19150</v>
      </c>
      <c r="H7" s="106">
        <v>6728</v>
      </c>
      <c r="I7" s="106">
        <v>4657</v>
      </c>
      <c r="J7" s="106">
        <v>4163</v>
      </c>
      <c r="K7" s="106">
        <v>4758</v>
      </c>
      <c r="L7" s="106">
        <v>3674</v>
      </c>
      <c r="M7" s="106">
        <v>3784</v>
      </c>
    </row>
    <row r="8" spans="1:20">
      <c r="A8" s="107">
        <v>2018</v>
      </c>
      <c r="B8" s="106">
        <v>3351</v>
      </c>
      <c r="C8" s="106">
        <v>2857</v>
      </c>
      <c r="D8" s="106">
        <v>2875</v>
      </c>
      <c r="E8" s="106">
        <v>2767</v>
      </c>
      <c r="F8" s="106">
        <v>6246</v>
      </c>
      <c r="G8" s="106">
        <v>4404</v>
      </c>
      <c r="H8" s="106">
        <v>2163</v>
      </c>
      <c r="I8" s="106">
        <v>2554</v>
      </c>
      <c r="J8" s="106">
        <v>2218</v>
      </c>
      <c r="K8" s="106">
        <v>3208</v>
      </c>
      <c r="L8" s="106">
        <v>2727</v>
      </c>
      <c r="M8" s="106">
        <v>2278</v>
      </c>
    </row>
    <row r="9" spans="1:20">
      <c r="A9" s="107">
        <v>2019</v>
      </c>
      <c r="B9" s="106">
        <v>2169</v>
      </c>
      <c r="C9" s="106">
        <v>2512</v>
      </c>
      <c r="D9" s="106">
        <v>3436</v>
      </c>
      <c r="E9" s="106">
        <v>7666</v>
      </c>
      <c r="F9" s="106">
        <v>14860</v>
      </c>
      <c r="G9" s="106">
        <v>28290</v>
      </c>
      <c r="H9" s="106">
        <v>17950</v>
      </c>
      <c r="I9" s="106">
        <v>6160</v>
      </c>
      <c r="J9" s="106">
        <v>3753</v>
      </c>
      <c r="K9" s="106">
        <v>4120</v>
      </c>
      <c r="L9" s="106">
        <v>4403</v>
      </c>
      <c r="M9" s="106">
        <v>3887</v>
      </c>
    </row>
    <row r="10" spans="1:20">
      <c r="A10" s="107">
        <v>2020</v>
      </c>
      <c r="B10" s="106">
        <v>3408</v>
      </c>
      <c r="C10" s="106">
        <v>2998</v>
      </c>
      <c r="D10" s="112"/>
      <c r="E10" s="112"/>
      <c r="F10" s="112"/>
      <c r="G10" s="112"/>
      <c r="H10" s="112"/>
      <c r="I10" s="112"/>
      <c r="J10" s="112"/>
      <c r="K10" s="112"/>
      <c r="L10" s="112"/>
      <c r="M10" s="140"/>
    </row>
    <row r="11" spans="1:20">
      <c r="N11" s="44" t="s">
        <v>328</v>
      </c>
    </row>
    <row r="12" spans="1:20" ht="29">
      <c r="A12" s="141"/>
      <c r="B12" s="1" t="s">
        <v>248</v>
      </c>
      <c r="C12" s="1" t="s">
        <v>247</v>
      </c>
      <c r="D12" s="1" t="s">
        <v>246</v>
      </c>
      <c r="E12" s="142" t="s">
        <v>245</v>
      </c>
      <c r="G12" s="143" t="s">
        <v>320</v>
      </c>
      <c r="H12" s="145" t="s">
        <v>321</v>
      </c>
      <c r="M12" s="145" t="s">
        <v>322</v>
      </c>
      <c r="N12" s="143" t="s">
        <v>248</v>
      </c>
      <c r="O12" s="143" t="s">
        <v>247</v>
      </c>
      <c r="P12" s="145" t="s">
        <v>323</v>
      </c>
      <c r="Q12" s="145" t="s">
        <v>246</v>
      </c>
      <c r="R12" s="145" t="s">
        <v>324</v>
      </c>
      <c r="S12" s="2" t="s">
        <v>329</v>
      </c>
      <c r="T12" s="2"/>
    </row>
    <row r="13" spans="1:20">
      <c r="A13" s="80">
        <v>5783</v>
      </c>
      <c r="B13" s="65">
        <v>4538</v>
      </c>
      <c r="C13" s="83">
        <v>31</v>
      </c>
      <c r="D13" s="65">
        <f>B13*C13*86400</f>
        <v>12154579200</v>
      </c>
      <c r="E13" s="40">
        <f>D13/43560</f>
        <v>279030.74380165292</v>
      </c>
      <c r="F13" s="40">
        <f>E13-'[1]09180500 '!E13</f>
        <v>-2705.4545454545296</v>
      </c>
      <c r="G13" s="1">
        <v>2016</v>
      </c>
      <c r="H13" s="146">
        <f>SUM(E13:E24)/1000000</f>
        <v>4.5719206611570247</v>
      </c>
      <c r="M13" s="147">
        <v>2016</v>
      </c>
      <c r="N13" s="148">
        <v>6298</v>
      </c>
      <c r="O13" s="1">
        <v>366</v>
      </c>
      <c r="P13" s="1">
        <v>86400</v>
      </c>
      <c r="Q13">
        <f>N13*O13*P13</f>
        <v>199157875200</v>
      </c>
      <c r="R13" s="86">
        <f>Q13/43560/1000000</f>
        <v>4.5720357024793392</v>
      </c>
      <c r="S13" s="86">
        <f>R13-'[1]09180500 '!R13</f>
        <v>3.4119669421488474E-2</v>
      </c>
      <c r="T13" s="86"/>
    </row>
    <row r="14" spans="1:20">
      <c r="A14" s="80">
        <v>5813</v>
      </c>
      <c r="B14" s="65">
        <v>4128</v>
      </c>
      <c r="C14" s="83">
        <v>30</v>
      </c>
      <c r="D14" s="65">
        <f t="shared" ref="D14:D60" si="0">B14*C14*86400</f>
        <v>10699776000</v>
      </c>
      <c r="E14" s="40">
        <f t="shared" ref="E14:E62" si="1">D14/43560</f>
        <v>245633.05785123966</v>
      </c>
      <c r="F14" s="40">
        <f>E14-'[1]09180500 '!E14</f>
        <v>-59.504132231406402</v>
      </c>
      <c r="G14" s="1">
        <v>2017</v>
      </c>
      <c r="H14" s="146">
        <f>SUM(E25:E36)/1000000</f>
        <v>4.8103933884297527</v>
      </c>
      <c r="M14" s="147">
        <v>2017</v>
      </c>
      <c r="N14" s="147">
        <v>6645</v>
      </c>
      <c r="O14" s="1">
        <v>365</v>
      </c>
      <c r="P14" s="1">
        <v>86400</v>
      </c>
      <c r="Q14">
        <f t="shared" ref="Q14:Q16" si="2">N14*O14*P14</f>
        <v>209556720000</v>
      </c>
      <c r="R14" s="86">
        <f t="shared" ref="R14:R16" si="3">Q14/43560/1000000</f>
        <v>4.8107603305785123</v>
      </c>
      <c r="S14" s="86">
        <f>R14-'[1]09180500 '!R14</f>
        <v>0.13465785123966878</v>
      </c>
      <c r="T14" s="86"/>
    </row>
    <row r="15" spans="1:20">
      <c r="A15" s="80">
        <v>5844</v>
      </c>
      <c r="B15" s="65">
        <v>3217</v>
      </c>
      <c r="C15" s="83">
        <v>31</v>
      </c>
      <c r="D15" s="65">
        <f t="shared" si="0"/>
        <v>8616412800</v>
      </c>
      <c r="E15" s="40">
        <f t="shared" si="1"/>
        <v>197805.61983471076</v>
      </c>
      <c r="F15" s="40">
        <f>E15-'[1]09180500 '!E15</f>
        <v>5287.9338842975267</v>
      </c>
      <c r="G15" s="1">
        <v>2018</v>
      </c>
      <c r="H15" s="146">
        <f>SUM(E37:E48)/1000000</f>
        <v>2.5181097520661164</v>
      </c>
      <c r="M15" s="147">
        <v>2018</v>
      </c>
      <c r="N15" s="147">
        <v>3478</v>
      </c>
      <c r="O15" s="1">
        <v>365</v>
      </c>
      <c r="P15" s="1">
        <v>86400</v>
      </c>
      <c r="Q15">
        <f t="shared" si="2"/>
        <v>109682208000</v>
      </c>
      <c r="R15" s="86">
        <f t="shared" si="3"/>
        <v>2.5179570247933882</v>
      </c>
      <c r="S15" s="86">
        <f>R15-'[1]09180500 '!R15</f>
        <v>7.2396694214873492E-3</v>
      </c>
      <c r="T15" s="86"/>
    </row>
    <row r="16" spans="1:20">
      <c r="A16" s="80">
        <v>5875</v>
      </c>
      <c r="B16">
        <v>3294</v>
      </c>
      <c r="C16" s="83">
        <v>31</v>
      </c>
      <c r="D16" s="65">
        <f t="shared" si="0"/>
        <v>8822649600</v>
      </c>
      <c r="E16" s="40">
        <f t="shared" si="1"/>
        <v>202540.1652892562</v>
      </c>
      <c r="F16" s="40">
        <f>E16-'[1]09180500 '!E16</f>
        <v>4980.4958677685936</v>
      </c>
      <c r="G16" s="1">
        <v>2019</v>
      </c>
      <c r="H16" s="146">
        <f>SUM(E49:E60)/1000000</f>
        <v>5.742757685950413</v>
      </c>
      <c r="M16" s="147">
        <v>2019</v>
      </c>
      <c r="N16" s="147">
        <v>7932</v>
      </c>
      <c r="O16" s="1">
        <v>365</v>
      </c>
      <c r="P16" s="1">
        <v>86400</v>
      </c>
      <c r="Q16">
        <f t="shared" si="2"/>
        <v>250143552000</v>
      </c>
      <c r="R16" s="86">
        <f t="shared" si="3"/>
        <v>5.7425057851239663</v>
      </c>
      <c r="S16" s="86">
        <f>R16-'[1]09180500 '!R16</f>
        <v>-1.0135537190083532E-2</v>
      </c>
      <c r="T16" s="150">
        <f>S16/R16</f>
        <v>-1.7650025214323282E-3</v>
      </c>
    </row>
    <row r="17" spans="1:20">
      <c r="A17" s="80">
        <v>5904</v>
      </c>
      <c r="B17">
        <v>3904</v>
      </c>
      <c r="C17" s="83">
        <v>29</v>
      </c>
      <c r="D17" s="65">
        <f t="shared" si="0"/>
        <v>9781862400</v>
      </c>
      <c r="E17" s="40">
        <f t="shared" si="1"/>
        <v>224560.66115702479</v>
      </c>
      <c r="F17" s="40">
        <f>E17-'[1]09180500 '!E17</f>
        <v>12827.107438016537</v>
      </c>
      <c r="G17" s="1" t="s">
        <v>325</v>
      </c>
      <c r="H17" s="146">
        <f>AVERAGE(H13:H16)</f>
        <v>4.4107953719008268</v>
      </c>
      <c r="M17" t="s">
        <v>325</v>
      </c>
      <c r="R17" s="86">
        <f>AVERAGE(R13:R16)</f>
        <v>4.4108147107438009</v>
      </c>
      <c r="S17" s="86">
        <f>R17-'[1]09180500 '!R17</f>
        <v>4.1470413223139602E-2</v>
      </c>
      <c r="T17" s="86"/>
    </row>
    <row r="18" spans="1:20">
      <c r="A18" s="80">
        <v>5935</v>
      </c>
      <c r="B18">
        <v>3937</v>
      </c>
      <c r="C18" s="83">
        <v>31</v>
      </c>
      <c r="D18" s="65">
        <f t="shared" si="0"/>
        <v>10544860800</v>
      </c>
      <c r="E18" s="40">
        <f t="shared" si="1"/>
        <v>242076.69421487604</v>
      </c>
      <c r="F18" s="40">
        <f>E18-'[1]09180500 '!E18</f>
        <v>13711.735537190107</v>
      </c>
    </row>
    <row r="19" spans="1:20">
      <c r="A19" s="80">
        <v>5965</v>
      </c>
      <c r="B19">
        <v>5867</v>
      </c>
      <c r="C19" s="83">
        <v>30</v>
      </c>
      <c r="D19" s="65">
        <f t="shared" si="0"/>
        <v>15207264000</v>
      </c>
      <c r="E19" s="40">
        <f t="shared" si="1"/>
        <v>349110.74380165292</v>
      </c>
      <c r="F19" s="40">
        <f>E19-'[1]09180500 '!E19</f>
        <v>-9104.1322314049467</v>
      </c>
    </row>
    <row r="20" spans="1:20">
      <c r="A20" s="80">
        <v>5996</v>
      </c>
      <c r="B20">
        <v>14370</v>
      </c>
      <c r="C20" s="83">
        <v>31</v>
      </c>
      <c r="D20" s="65">
        <f t="shared" si="0"/>
        <v>38488608000</v>
      </c>
      <c r="E20" s="40">
        <f t="shared" si="1"/>
        <v>883576.85950413218</v>
      </c>
      <c r="F20" s="40">
        <f>E20-'[1]09180500 '!E20</f>
        <v>4919.0082644628128</v>
      </c>
    </row>
    <row r="21" spans="1:20">
      <c r="A21" s="80">
        <v>6026</v>
      </c>
      <c r="B21">
        <v>18140</v>
      </c>
      <c r="C21" s="83">
        <v>30</v>
      </c>
      <c r="D21" s="65">
        <f t="shared" si="0"/>
        <v>47018880000</v>
      </c>
      <c r="E21" s="40">
        <f t="shared" si="1"/>
        <v>1079404.9586776861</v>
      </c>
      <c r="F21" s="40">
        <f>E21-'[1]09180500 '!E21</f>
        <v>20231.404958677711</v>
      </c>
    </row>
    <row r="22" spans="1:20">
      <c r="A22" s="80">
        <v>6057</v>
      </c>
      <c r="B22">
        <v>6195</v>
      </c>
      <c r="C22" s="83">
        <v>31</v>
      </c>
      <c r="D22" s="65">
        <f t="shared" si="0"/>
        <v>16592688000</v>
      </c>
      <c r="E22" s="40">
        <f t="shared" si="1"/>
        <v>380915.70247933886</v>
      </c>
      <c r="F22" s="40">
        <f>E22-'[1]09180500 '!E22</f>
        <v>-2459.5041322314064</v>
      </c>
    </row>
    <row r="23" spans="1:20">
      <c r="A23" s="80">
        <v>6088</v>
      </c>
      <c r="B23">
        <v>4043</v>
      </c>
      <c r="C23" s="83">
        <v>31</v>
      </c>
      <c r="D23" s="65">
        <f t="shared" si="0"/>
        <v>10828771200</v>
      </c>
      <c r="E23" s="40">
        <f t="shared" si="1"/>
        <v>248594.38016528924</v>
      </c>
      <c r="F23" s="40">
        <f>E23-'[1]09180500 '!E23</f>
        <v>-7685.9504132231523</v>
      </c>
    </row>
    <row r="24" spans="1:20">
      <c r="A24" s="80">
        <v>6118</v>
      </c>
      <c r="B24">
        <v>4011</v>
      </c>
      <c r="C24" s="83">
        <v>30</v>
      </c>
      <c r="D24" s="65">
        <f t="shared" si="0"/>
        <v>10396512000</v>
      </c>
      <c r="E24" s="40">
        <f t="shared" si="1"/>
        <v>238671.07438016529</v>
      </c>
      <c r="F24" s="40">
        <f>E24-'[1]09180500 '!E24</f>
        <v>-5355.3719008264598</v>
      </c>
    </row>
    <row r="25" spans="1:20">
      <c r="A25" s="80">
        <v>6149</v>
      </c>
      <c r="B25">
        <v>4302</v>
      </c>
      <c r="C25" s="83">
        <v>31</v>
      </c>
      <c r="D25" s="65">
        <f t="shared" si="0"/>
        <v>11522476800</v>
      </c>
      <c r="E25" s="40">
        <f t="shared" si="1"/>
        <v>264519.6694214876</v>
      </c>
      <c r="F25" s="40">
        <f>E25-'[1]09180500 '!E25</f>
        <v>307.43801652890397</v>
      </c>
    </row>
    <row r="26" spans="1:20">
      <c r="A26" s="80">
        <v>6179</v>
      </c>
      <c r="B26">
        <v>3450</v>
      </c>
      <c r="C26" s="83">
        <v>30</v>
      </c>
      <c r="D26" s="65">
        <f t="shared" si="0"/>
        <v>8942400000</v>
      </c>
      <c r="E26" s="40">
        <f t="shared" si="1"/>
        <v>205289.25619834711</v>
      </c>
      <c r="F26" s="40">
        <f>E26-'[1]09180500 '!E26</f>
        <v>-3034.7107438016392</v>
      </c>
    </row>
    <row r="27" spans="1:20">
      <c r="A27" s="80">
        <v>6210</v>
      </c>
      <c r="B27">
        <v>3066</v>
      </c>
      <c r="C27" s="83">
        <v>31</v>
      </c>
      <c r="D27" s="65">
        <f t="shared" si="0"/>
        <v>8211974400</v>
      </c>
      <c r="E27" s="40">
        <f t="shared" si="1"/>
        <v>188520.99173553719</v>
      </c>
      <c r="F27" s="40">
        <f>E27-'[1]09180500 '!E27</f>
        <v>-3873.719008264452</v>
      </c>
    </row>
    <row r="28" spans="1:20">
      <c r="A28" s="80">
        <v>6241</v>
      </c>
      <c r="B28">
        <v>3120</v>
      </c>
      <c r="C28" s="83">
        <v>31</v>
      </c>
      <c r="D28" s="65">
        <f t="shared" si="0"/>
        <v>8356608000</v>
      </c>
      <c r="E28" s="40">
        <f t="shared" si="1"/>
        <v>191841.32231404958</v>
      </c>
      <c r="F28" s="40">
        <f>E28-'[1]09180500 '!E28</f>
        <v>-3381.8181818181765</v>
      </c>
    </row>
    <row r="29" spans="1:20">
      <c r="A29" s="80">
        <v>6269</v>
      </c>
      <c r="B29">
        <v>3615</v>
      </c>
      <c r="C29" s="83">
        <v>28</v>
      </c>
      <c r="D29" s="65">
        <f t="shared" si="0"/>
        <v>8745408000</v>
      </c>
      <c r="E29" s="40">
        <f t="shared" si="1"/>
        <v>200766.94214876034</v>
      </c>
      <c r="F29" s="40">
        <f>E29-'[1]09180500 '!E29</f>
        <v>-9052.5619834710669</v>
      </c>
    </row>
    <row r="30" spans="1:20">
      <c r="A30" s="80">
        <v>6300</v>
      </c>
      <c r="B30">
        <v>5187</v>
      </c>
      <c r="C30" s="83">
        <v>31</v>
      </c>
      <c r="D30" s="65">
        <f t="shared" si="0"/>
        <v>13892860800</v>
      </c>
      <c r="E30" s="40">
        <f t="shared" si="1"/>
        <v>318936.19834710745</v>
      </c>
      <c r="F30" s="40">
        <f>E30-'[1]09180500 '!E30</f>
        <v>-5656.8595041322405</v>
      </c>
    </row>
    <row r="31" spans="1:20">
      <c r="A31" s="80">
        <v>6330</v>
      </c>
      <c r="B31">
        <v>7759</v>
      </c>
      <c r="C31" s="83">
        <v>30</v>
      </c>
      <c r="D31" s="65">
        <f t="shared" si="0"/>
        <v>20111328000</v>
      </c>
      <c r="E31" s="40">
        <f t="shared" si="1"/>
        <v>461692.5619834711</v>
      </c>
      <c r="F31" s="40">
        <f>E31-'[1]09180500 '!E31</f>
        <v>14161.983471074374</v>
      </c>
    </row>
    <row r="32" spans="1:20">
      <c r="A32" s="80">
        <v>6361</v>
      </c>
      <c r="B32">
        <v>14500</v>
      </c>
      <c r="C32" s="83">
        <v>31</v>
      </c>
      <c r="D32" s="65">
        <f t="shared" si="0"/>
        <v>38836800000</v>
      </c>
      <c r="E32" s="40">
        <f t="shared" si="1"/>
        <v>891570.24793388427</v>
      </c>
      <c r="F32" s="40">
        <f>E32-'[1]09180500 '!E32</f>
        <v>47960.330578512396</v>
      </c>
    </row>
    <row r="33" spans="1:6">
      <c r="A33" s="80">
        <v>6391</v>
      </c>
      <c r="B33">
        <v>19150</v>
      </c>
      <c r="C33" s="83">
        <v>30</v>
      </c>
      <c r="D33" s="65">
        <f t="shared" si="0"/>
        <v>49636800000</v>
      </c>
      <c r="E33" s="40">
        <f t="shared" si="1"/>
        <v>1139504.132231405</v>
      </c>
      <c r="F33" s="40">
        <f>E33-'[1]09180500 '!E33</f>
        <v>55338.842975206673</v>
      </c>
    </row>
    <row r="34" spans="1:6">
      <c r="A34" s="80">
        <v>6422</v>
      </c>
      <c r="B34">
        <v>6728</v>
      </c>
      <c r="C34" s="83">
        <v>31</v>
      </c>
      <c r="D34" s="65">
        <f t="shared" si="0"/>
        <v>18020275200</v>
      </c>
      <c r="E34" s="40">
        <f t="shared" si="1"/>
        <v>413688.59504132229</v>
      </c>
      <c r="F34" s="40">
        <f>E34-'[1]09180500 '!E34</f>
        <v>22135.537190082599</v>
      </c>
    </row>
    <row r="35" spans="1:6">
      <c r="A35" s="80">
        <v>6453</v>
      </c>
      <c r="B35">
        <v>4657</v>
      </c>
      <c r="C35" s="83">
        <v>31</v>
      </c>
      <c r="D35" s="65">
        <f t="shared" si="0"/>
        <v>12473308800</v>
      </c>
      <c r="E35" s="40">
        <f t="shared" si="1"/>
        <v>286347.7685950413</v>
      </c>
      <c r="F35" s="40">
        <f>E35-'[1]09180500 '!E35</f>
        <v>12604.958677685936</v>
      </c>
    </row>
    <row r="36" spans="1:6">
      <c r="A36" s="80">
        <v>6483</v>
      </c>
      <c r="B36">
        <v>4163</v>
      </c>
      <c r="C36" s="83">
        <v>30</v>
      </c>
      <c r="D36" s="65">
        <f t="shared" si="0"/>
        <v>10790496000</v>
      </c>
      <c r="E36" s="40">
        <f t="shared" si="1"/>
        <v>247715.70247933886</v>
      </c>
      <c r="F36" s="40">
        <f>E36-'[1]09180500 '!E36</f>
        <v>6485.9504132231523</v>
      </c>
    </row>
    <row r="37" spans="1:6">
      <c r="A37" s="80">
        <v>6514</v>
      </c>
      <c r="B37">
        <v>4758</v>
      </c>
      <c r="C37" s="83">
        <v>31</v>
      </c>
      <c r="D37" s="65">
        <f t="shared" si="0"/>
        <v>12743827200</v>
      </c>
      <c r="E37" s="40">
        <f t="shared" si="1"/>
        <v>292558.01652892563</v>
      </c>
      <c r="F37" s="40">
        <f>E37-'[1]09180500 '!E37</f>
        <v>-3566.2809917355189</v>
      </c>
    </row>
    <row r="38" spans="1:6">
      <c r="A38" s="80">
        <v>6544</v>
      </c>
      <c r="B38">
        <v>3674</v>
      </c>
      <c r="C38" s="83">
        <v>30</v>
      </c>
      <c r="D38" s="65">
        <f t="shared" si="0"/>
        <v>9523008000</v>
      </c>
      <c r="E38" s="40">
        <f t="shared" si="1"/>
        <v>218618.18181818182</v>
      </c>
      <c r="F38" s="40">
        <f>E38-'[1]09180500 '!E38</f>
        <v>5890.9090909090883</v>
      </c>
    </row>
    <row r="39" spans="1:6">
      <c r="A39" s="80">
        <v>6575</v>
      </c>
      <c r="B39">
        <v>3784</v>
      </c>
      <c r="C39" s="83">
        <v>31</v>
      </c>
      <c r="D39" s="65">
        <f t="shared" si="0"/>
        <v>10135065600</v>
      </c>
      <c r="E39" s="40">
        <f t="shared" si="1"/>
        <v>232669.09090909091</v>
      </c>
      <c r="F39" s="40">
        <f>E39-'[1]09180500 '!E39</f>
        <v>5349.4214876033075</v>
      </c>
    </row>
    <row r="40" spans="1:6">
      <c r="A40" s="80">
        <v>6606</v>
      </c>
      <c r="B40">
        <v>3351</v>
      </c>
      <c r="C40" s="83">
        <v>31</v>
      </c>
      <c r="D40" s="65">
        <f t="shared" si="0"/>
        <v>8975318400</v>
      </c>
      <c r="E40" s="40">
        <f t="shared" si="1"/>
        <v>206044.95867768594</v>
      </c>
      <c r="F40" s="40">
        <f>E40-'[1]09180500 '!E40</f>
        <v>4611.5702479338797</v>
      </c>
    </row>
    <row r="41" spans="1:6">
      <c r="A41" s="80">
        <v>6634</v>
      </c>
      <c r="B41">
        <v>2857</v>
      </c>
      <c r="C41" s="83">
        <v>28</v>
      </c>
      <c r="D41" s="65">
        <f t="shared" si="0"/>
        <v>6911654400</v>
      </c>
      <c r="E41" s="40">
        <f t="shared" si="1"/>
        <v>158669.7520661157</v>
      </c>
      <c r="F41" s="40">
        <f>E41-'[1]09180500 '!E41</f>
        <v>1610.5785123966925</v>
      </c>
    </row>
    <row r="42" spans="1:6">
      <c r="A42" s="80">
        <v>6665</v>
      </c>
      <c r="B42">
        <v>2875</v>
      </c>
      <c r="C42" s="83">
        <v>31</v>
      </c>
      <c r="D42" s="65">
        <f t="shared" si="0"/>
        <v>7700400000</v>
      </c>
      <c r="E42" s="40">
        <f t="shared" si="1"/>
        <v>176776.85950413224</v>
      </c>
      <c r="F42" s="40">
        <f>E42-'[1]09180500 '!E42</f>
        <v>-3320.3305785123957</v>
      </c>
    </row>
    <row r="43" spans="1:6">
      <c r="A43" s="80">
        <v>6695</v>
      </c>
      <c r="B43">
        <v>2767</v>
      </c>
      <c r="C43" s="83">
        <v>30</v>
      </c>
      <c r="D43" s="65">
        <f t="shared" si="0"/>
        <v>7172064000</v>
      </c>
      <c r="E43" s="40">
        <f t="shared" si="1"/>
        <v>164647.93388429753</v>
      </c>
      <c r="F43" s="40">
        <f>E43-'[1]09180500 '!E43</f>
        <v>-1487.6033057851309</v>
      </c>
    </row>
    <row r="44" spans="1:6">
      <c r="A44" s="80">
        <v>6726</v>
      </c>
      <c r="B44">
        <v>6246</v>
      </c>
      <c r="C44" s="83">
        <v>31</v>
      </c>
      <c r="D44" s="65">
        <f t="shared" si="0"/>
        <v>16729286400</v>
      </c>
      <c r="E44" s="40">
        <f t="shared" si="1"/>
        <v>384051.57024793391</v>
      </c>
      <c r="F44" s="40">
        <f>E44-'[1]09180500 '!E44</f>
        <v>1906.1157024793793</v>
      </c>
    </row>
    <row r="45" spans="1:6">
      <c r="A45" s="80">
        <v>6756</v>
      </c>
      <c r="B45">
        <v>4404</v>
      </c>
      <c r="C45" s="83">
        <v>30</v>
      </c>
      <c r="D45" s="65">
        <f t="shared" si="0"/>
        <v>11415168000</v>
      </c>
      <c r="E45" s="40">
        <f t="shared" si="1"/>
        <v>262056.19834710745</v>
      </c>
      <c r="F45" s="40">
        <f>E45-'[1]09180500 '!E45</f>
        <v>1130.5785123966925</v>
      </c>
    </row>
    <row r="46" spans="1:6">
      <c r="A46" s="80">
        <v>6787</v>
      </c>
      <c r="B46">
        <v>2163</v>
      </c>
      <c r="C46" s="83">
        <v>31</v>
      </c>
      <c r="D46" s="65">
        <f t="shared" si="0"/>
        <v>5793379200</v>
      </c>
      <c r="E46" s="40">
        <f t="shared" si="1"/>
        <v>132997.68595041323</v>
      </c>
      <c r="F46" s="40">
        <f>E46-'[1]09180500 '!E46</f>
        <v>-4673.0578512396605</v>
      </c>
    </row>
    <row r="47" spans="1:6">
      <c r="A47" s="80">
        <v>6818</v>
      </c>
      <c r="B47">
        <v>2554</v>
      </c>
      <c r="C47" s="83">
        <v>31</v>
      </c>
      <c r="D47" s="65">
        <f t="shared" si="0"/>
        <v>6840633600</v>
      </c>
      <c r="E47" s="40">
        <f t="shared" si="1"/>
        <v>157039.33884297521</v>
      </c>
      <c r="F47" s="40">
        <f>E47-'[1]09180500 '!E47</f>
        <v>-1906.1157024793501</v>
      </c>
    </row>
    <row r="48" spans="1:6">
      <c r="A48" s="80">
        <v>6848</v>
      </c>
      <c r="B48">
        <v>2218</v>
      </c>
      <c r="C48" s="83">
        <v>30</v>
      </c>
      <c r="D48" s="65">
        <f t="shared" si="0"/>
        <v>5749056000</v>
      </c>
      <c r="E48" s="40">
        <f t="shared" si="1"/>
        <v>131980.1652892562</v>
      </c>
      <c r="F48" s="40">
        <f>E48-'[1]09180500 '!E48</f>
        <v>1785.1239669421484</v>
      </c>
    </row>
    <row r="49" spans="1:6">
      <c r="A49" s="80">
        <v>6879</v>
      </c>
      <c r="B49">
        <v>3208</v>
      </c>
      <c r="C49" s="83">
        <v>31</v>
      </c>
      <c r="D49" s="65">
        <f t="shared" si="0"/>
        <v>8592307200</v>
      </c>
      <c r="E49" s="40">
        <f t="shared" si="1"/>
        <v>197252.23140495867</v>
      </c>
      <c r="F49" s="40">
        <f>E49-'[1]09180500 '!E49</f>
        <v>368.92561983471387</v>
      </c>
    </row>
    <row r="50" spans="1:6">
      <c r="A50" s="80">
        <v>6909</v>
      </c>
      <c r="B50">
        <v>2727</v>
      </c>
      <c r="C50" s="83">
        <v>30</v>
      </c>
      <c r="D50" s="65">
        <f t="shared" si="0"/>
        <v>7068384000</v>
      </c>
      <c r="E50" s="40">
        <f t="shared" si="1"/>
        <v>162267.76859504133</v>
      </c>
      <c r="F50" s="40">
        <f>E50-'[1]09180500 '!E50</f>
        <v>4224.7933884297672</v>
      </c>
    </row>
    <row r="51" spans="1:6">
      <c r="A51" s="80">
        <v>6940</v>
      </c>
      <c r="B51">
        <v>2278</v>
      </c>
      <c r="C51" s="83">
        <v>31</v>
      </c>
      <c r="D51" s="65">
        <f t="shared" si="0"/>
        <v>6101395200</v>
      </c>
      <c r="E51" s="40">
        <f t="shared" si="1"/>
        <v>140068.76033057852</v>
      </c>
      <c r="F51" s="40">
        <f>E51-'[1]09180500 '!E51</f>
        <v>0</v>
      </c>
    </row>
    <row r="52" spans="1:6">
      <c r="A52" s="80">
        <v>6971</v>
      </c>
      <c r="B52">
        <v>2169</v>
      </c>
      <c r="C52" s="83">
        <v>31</v>
      </c>
      <c r="D52" s="65">
        <f t="shared" si="0"/>
        <v>5809449600</v>
      </c>
      <c r="E52" s="40">
        <f t="shared" si="1"/>
        <v>133366.61157024794</v>
      </c>
      <c r="F52" s="40">
        <f>E52-'[1]09180500 '!E52</f>
        <v>-4611.5702479338797</v>
      </c>
    </row>
    <row r="53" spans="1:6">
      <c r="A53" s="80">
        <v>6999</v>
      </c>
      <c r="B53">
        <v>2512</v>
      </c>
      <c r="C53" s="83">
        <v>28</v>
      </c>
      <c r="D53" s="65">
        <f t="shared" si="0"/>
        <v>6077030400</v>
      </c>
      <c r="E53" s="40">
        <f t="shared" si="1"/>
        <v>139509.42148760331</v>
      </c>
      <c r="F53" s="40">
        <f>E53-'[1]09180500 '!E53</f>
        <v>3110.0826446280989</v>
      </c>
    </row>
    <row r="54" spans="1:6">
      <c r="A54" s="80">
        <v>7030</v>
      </c>
      <c r="B54">
        <v>3436</v>
      </c>
      <c r="C54" s="83">
        <v>31</v>
      </c>
      <c r="D54" s="65">
        <f t="shared" si="0"/>
        <v>9202982400</v>
      </c>
      <c r="E54" s="40">
        <f t="shared" si="1"/>
        <v>211271.40495867768</v>
      </c>
      <c r="F54" s="40">
        <f>E54-'[1]09180500 '!E54</f>
        <v>307.43801652893308</v>
      </c>
    </row>
    <row r="55" spans="1:6">
      <c r="A55" s="80">
        <v>7060</v>
      </c>
      <c r="B55">
        <v>7666</v>
      </c>
      <c r="C55" s="83">
        <v>30</v>
      </c>
      <c r="D55" s="65">
        <f t="shared" si="0"/>
        <v>19870272000</v>
      </c>
      <c r="E55" s="40">
        <f t="shared" si="1"/>
        <v>456158.67768595042</v>
      </c>
      <c r="F55" s="40">
        <f>E55-'[1]09180500 '!E55</f>
        <v>3451.2396694215131</v>
      </c>
    </row>
    <row r="56" spans="1:6">
      <c r="A56" s="80">
        <v>7091</v>
      </c>
      <c r="B56">
        <v>14860</v>
      </c>
      <c r="C56" s="83">
        <v>31</v>
      </c>
      <c r="D56" s="65">
        <f t="shared" si="0"/>
        <v>39801024000</v>
      </c>
      <c r="E56" s="40">
        <f t="shared" si="1"/>
        <v>913705.78512396698</v>
      </c>
      <c r="F56" s="40">
        <f>E56-'[1]09180500 '!E56</f>
        <v>8608.2644628100097</v>
      </c>
    </row>
    <row r="57" spans="1:6">
      <c r="A57" s="80">
        <v>7121</v>
      </c>
      <c r="B57">
        <v>28290</v>
      </c>
      <c r="C57" s="83">
        <v>30</v>
      </c>
      <c r="D57" s="65">
        <f t="shared" si="0"/>
        <v>73327680000</v>
      </c>
      <c r="E57" s="40">
        <f t="shared" si="1"/>
        <v>1683371.9008264462</v>
      </c>
      <c r="F57" s="40">
        <f>E57-'[1]09180500 '!E57</f>
        <v>-45223.140495867701</v>
      </c>
    </row>
    <row r="58" spans="1:6">
      <c r="A58" s="80">
        <v>7152</v>
      </c>
      <c r="B58">
        <v>17950</v>
      </c>
      <c r="C58" s="83">
        <v>31</v>
      </c>
      <c r="D58" s="65">
        <f t="shared" si="0"/>
        <v>48077280000</v>
      </c>
      <c r="E58" s="40">
        <f t="shared" si="1"/>
        <v>1103702.4793388429</v>
      </c>
      <c r="F58" s="40">
        <f>E58-'[1]09180500 '!E58</f>
        <v>14142.148760330398</v>
      </c>
    </row>
    <row r="59" spans="1:6">
      <c r="A59" s="80">
        <v>7183</v>
      </c>
      <c r="B59">
        <v>6160</v>
      </c>
      <c r="C59" s="83">
        <v>31</v>
      </c>
      <c r="D59" s="65">
        <f t="shared" si="0"/>
        <v>16498944000</v>
      </c>
      <c r="E59" s="40">
        <f t="shared" si="1"/>
        <v>378763.63636363635</v>
      </c>
      <c r="F59" s="40">
        <f>E59-'[1]09180500 '!E59</f>
        <v>8300.8264462809893</v>
      </c>
    </row>
    <row r="60" spans="1:6">
      <c r="A60" s="80">
        <v>7213</v>
      </c>
      <c r="B60">
        <v>3753</v>
      </c>
      <c r="C60" s="83">
        <v>30</v>
      </c>
      <c r="D60" s="65">
        <f t="shared" si="0"/>
        <v>9727776000</v>
      </c>
      <c r="E60" s="40">
        <f t="shared" si="1"/>
        <v>223319.00826446281</v>
      </c>
      <c r="F60" s="40">
        <f>E60-'[1]09180500 '!E60</f>
        <v>-2439.6694214876043</v>
      </c>
    </row>
    <row r="61" spans="1:6">
      <c r="E61" s="40">
        <f t="shared" si="1"/>
        <v>0</v>
      </c>
      <c r="F61" s="40">
        <f>SUM(F13:F60)</f>
        <v>166153.38842975223</v>
      </c>
    </row>
    <row r="62" spans="1:6">
      <c r="E62" s="40">
        <f t="shared" si="1"/>
        <v>0</v>
      </c>
      <c r="F62">
        <f>F61/4</f>
        <v>41538.347107438058</v>
      </c>
    </row>
  </sheetData>
  <hyperlinks>
    <hyperlink ref="A2" r:id="rId1" display="https://waterdata.usgs.gov/nwis/monthly/?referred_module=sw&amp;amp;site_no=09185600&amp;amp;por_09185600_142765=2698801,00060,142765,2014-10,2020-03&amp;amp;format=html_table&amp;amp;date_format=YYYY-MM-DD&amp;amp;rdb_compression=file&amp;amp;submitted_form=parameter_selection_list" xr:uid="{ED3DD1BF-2912-4A2D-A46E-D4957FC4BE34}"/>
    <hyperlink ref="N11" r:id="rId2" display="https://waterdata.usgs.gov/nwis/annual/?referred_module=sw&amp;amp;site_no=09185600&amp;amp;por_09185600_142765=2698801,00060,142765,2015,2020&amp;amp;year_type=W&amp;amp;format=html_table&amp;amp;date_format=YYYY-MM-DD&amp;amp;rdb_compression=file&amp;amp;submitted_form=parameter_selection_list" xr:uid="{80A658CA-BFD9-4BA5-B6FE-9A4643D4EC4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03B43-D32E-4987-9C61-819649A15E21}">
  <dimension ref="A1:T60"/>
  <sheetViews>
    <sheetView workbookViewId="0">
      <selection activeCell="R13" sqref="R13"/>
    </sheetView>
  </sheetViews>
  <sheetFormatPr defaultRowHeight="14.5"/>
  <cols>
    <col min="4" max="4" width="13.453125" bestFit="1" customWidth="1"/>
    <col min="8" max="8" width="14.453125" bestFit="1" customWidth="1"/>
    <col min="13" max="13" width="14.81640625" bestFit="1" customWidth="1"/>
    <col min="16" max="16" width="14.08984375" bestFit="1" customWidth="1"/>
    <col min="17" max="17" width="12" bestFit="1" customWidth="1"/>
    <col min="18" max="18" width="15" customWidth="1"/>
    <col min="19" max="19" width="27.90625" customWidth="1"/>
    <col min="20" max="20" width="27.6328125" customWidth="1"/>
  </cols>
  <sheetData>
    <row r="1" spans="1:20" ht="16.5">
      <c r="A1" s="111" t="s">
        <v>330</v>
      </c>
    </row>
    <row r="2" spans="1:20">
      <c r="A2" s="44" t="s">
        <v>331</v>
      </c>
    </row>
    <row r="3" spans="1:20">
      <c r="B3" s="110" t="s">
        <v>250</v>
      </c>
      <c r="E3" t="s">
        <v>332</v>
      </c>
    </row>
    <row r="4" spans="1:20">
      <c r="B4" s="138" t="s">
        <v>210</v>
      </c>
      <c r="C4" s="139" t="s">
        <v>211</v>
      </c>
      <c r="D4" s="138" t="s">
        <v>50</v>
      </c>
      <c r="E4" s="139" t="s">
        <v>212</v>
      </c>
      <c r="F4" s="138" t="s">
        <v>52</v>
      </c>
      <c r="G4" s="139" t="s">
        <v>53</v>
      </c>
      <c r="H4" s="138" t="s">
        <v>54</v>
      </c>
      <c r="I4" s="139" t="s">
        <v>213</v>
      </c>
      <c r="J4" s="138" t="s">
        <v>214</v>
      </c>
      <c r="K4" s="139" t="s">
        <v>215</v>
      </c>
      <c r="L4" s="138" t="s">
        <v>216</v>
      </c>
      <c r="M4" s="139" t="s">
        <v>217</v>
      </c>
    </row>
    <row r="5" spans="1:20">
      <c r="A5" s="107">
        <v>2015</v>
      </c>
      <c r="B5" s="106">
        <v>3427</v>
      </c>
      <c r="C5" s="106">
        <v>3636</v>
      </c>
      <c r="D5" s="106">
        <v>3855</v>
      </c>
      <c r="E5" s="106">
        <v>4677</v>
      </c>
      <c r="F5" s="106">
        <v>11180</v>
      </c>
      <c r="G5" s="106">
        <v>10950</v>
      </c>
      <c r="H5" s="106">
        <v>4162</v>
      </c>
      <c r="I5" s="106">
        <v>2287</v>
      </c>
      <c r="J5" s="106">
        <v>2369</v>
      </c>
      <c r="K5" s="106">
        <v>3163</v>
      </c>
      <c r="L5" s="106">
        <v>3588</v>
      </c>
      <c r="M5" s="106">
        <v>2953</v>
      </c>
    </row>
    <row r="6" spans="1:20">
      <c r="A6" s="107">
        <v>2016</v>
      </c>
      <c r="B6" s="106">
        <v>3145</v>
      </c>
      <c r="C6" s="106">
        <v>3910</v>
      </c>
      <c r="D6" s="106">
        <v>2929</v>
      </c>
      <c r="E6" s="106">
        <v>5038</v>
      </c>
      <c r="F6" s="106">
        <v>12630</v>
      </c>
      <c r="G6" s="106">
        <v>18250</v>
      </c>
      <c r="H6" s="106">
        <v>4954</v>
      </c>
      <c r="I6" s="106">
        <v>2243</v>
      </c>
      <c r="J6" s="106">
        <v>3091</v>
      </c>
      <c r="K6" s="106">
        <v>2926</v>
      </c>
      <c r="L6" s="106">
        <v>2773</v>
      </c>
      <c r="M6" s="106">
        <v>2513</v>
      </c>
    </row>
    <row r="7" spans="1:20">
      <c r="A7" s="107">
        <v>2017</v>
      </c>
      <c r="B7" s="106">
        <v>2841</v>
      </c>
      <c r="C7" s="106">
        <v>5511</v>
      </c>
      <c r="D7" s="106">
        <v>7841</v>
      </c>
      <c r="E7" s="106">
        <v>13860</v>
      </c>
      <c r="F7" s="106">
        <v>16650</v>
      </c>
      <c r="G7" s="106">
        <v>17050</v>
      </c>
      <c r="H7" s="106">
        <v>6260</v>
      </c>
      <c r="I7" s="106">
        <v>3185</v>
      </c>
      <c r="J7" s="106">
        <v>2805</v>
      </c>
      <c r="K7" s="106">
        <v>3275</v>
      </c>
      <c r="L7" s="106">
        <v>3543</v>
      </c>
      <c r="M7" s="106">
        <v>3974</v>
      </c>
    </row>
    <row r="8" spans="1:20">
      <c r="A8" s="107">
        <v>2018</v>
      </c>
      <c r="B8" s="106">
        <v>3986</v>
      </c>
      <c r="C8" s="106">
        <v>4248</v>
      </c>
      <c r="D8" s="106">
        <v>3674</v>
      </c>
      <c r="E8" s="106">
        <v>4421</v>
      </c>
      <c r="F8" s="106">
        <v>9507</v>
      </c>
      <c r="G8" s="106">
        <v>5799</v>
      </c>
      <c r="H8" s="106">
        <v>2245</v>
      </c>
      <c r="I8" s="106">
        <v>2070</v>
      </c>
      <c r="J8" s="106">
        <v>2004</v>
      </c>
      <c r="K8" s="106">
        <v>2726</v>
      </c>
      <c r="L8" s="106">
        <v>2361</v>
      </c>
      <c r="M8" s="106">
        <v>2667</v>
      </c>
    </row>
    <row r="9" spans="1:20">
      <c r="A9" s="107">
        <v>2019</v>
      </c>
      <c r="B9" s="106">
        <v>2758</v>
      </c>
      <c r="C9" s="106">
        <v>2887</v>
      </c>
      <c r="D9" s="106">
        <v>3423</v>
      </c>
      <c r="E9" s="106">
        <v>6007</v>
      </c>
      <c r="F9" s="106">
        <v>11590</v>
      </c>
      <c r="G9" s="106">
        <v>21930</v>
      </c>
      <c r="H9" s="106">
        <v>9346</v>
      </c>
      <c r="I9" s="106">
        <v>2978</v>
      </c>
      <c r="J9" s="106">
        <v>2685</v>
      </c>
      <c r="K9" s="106">
        <v>2582</v>
      </c>
      <c r="L9" s="106">
        <v>2659</v>
      </c>
      <c r="M9" s="106">
        <v>3331</v>
      </c>
    </row>
    <row r="10" spans="1:20">
      <c r="A10" s="107">
        <v>2020</v>
      </c>
      <c r="B10" s="106">
        <v>3036</v>
      </c>
      <c r="C10" s="151"/>
      <c r="D10" s="151"/>
      <c r="E10" s="151"/>
      <c r="F10" s="151"/>
      <c r="G10" s="151"/>
      <c r="H10" s="151"/>
      <c r="I10" s="151"/>
      <c r="J10" s="151"/>
      <c r="K10" s="151"/>
      <c r="L10" s="151"/>
      <c r="M10" s="140"/>
    </row>
    <row r="11" spans="1:20">
      <c r="N11" s="44" t="s">
        <v>333</v>
      </c>
    </row>
    <row r="12" spans="1:20" ht="28.25" customHeight="1">
      <c r="A12" s="141"/>
      <c r="B12" s="1" t="s">
        <v>248</v>
      </c>
      <c r="C12" s="1" t="s">
        <v>247</v>
      </c>
      <c r="D12" s="1" t="s">
        <v>246</v>
      </c>
      <c r="E12" s="142" t="s">
        <v>245</v>
      </c>
      <c r="G12" s="143" t="s">
        <v>320</v>
      </c>
      <c r="H12" s="152" t="s">
        <v>334</v>
      </c>
      <c r="M12" s="145" t="s">
        <v>322</v>
      </c>
      <c r="N12" s="143" t="s">
        <v>248</v>
      </c>
      <c r="O12" s="143" t="s">
        <v>247</v>
      </c>
      <c r="P12" s="145" t="s">
        <v>323</v>
      </c>
      <c r="Q12" s="145" t="s">
        <v>246</v>
      </c>
      <c r="R12" s="152" t="s">
        <v>324</v>
      </c>
      <c r="S12" s="2"/>
      <c r="T12" s="2"/>
    </row>
    <row r="13" spans="1:20">
      <c r="A13" s="80">
        <v>5783</v>
      </c>
      <c r="B13" s="65">
        <v>3163</v>
      </c>
      <c r="C13" s="83">
        <v>31</v>
      </c>
      <c r="D13" s="65">
        <f>B13*C13*86400</f>
        <v>8471779200</v>
      </c>
      <c r="E13" s="40">
        <f>D13/43560</f>
        <v>194485.28925619836</v>
      </c>
      <c r="G13" s="1">
        <v>2015</v>
      </c>
      <c r="H13" s="146">
        <f>SUM(E13:E24)/1000000</f>
        <v>3.9767147107438023</v>
      </c>
      <c r="M13" s="147">
        <v>2016</v>
      </c>
      <c r="N13" s="148">
        <v>5479</v>
      </c>
      <c r="O13" s="1">
        <v>366</v>
      </c>
      <c r="P13" s="1">
        <v>86400</v>
      </c>
      <c r="Q13">
        <f>N13*O13*P13</f>
        <v>173259129600</v>
      </c>
      <c r="R13" s="86">
        <f>Q13/43560/1000000</f>
        <v>3.9774823140495865</v>
      </c>
      <c r="S13" s="86"/>
      <c r="T13" s="86"/>
    </row>
    <row r="14" spans="1:20">
      <c r="A14" s="80">
        <v>5813</v>
      </c>
      <c r="B14" s="65">
        <v>3588</v>
      </c>
      <c r="C14" s="83">
        <v>30</v>
      </c>
      <c r="D14" s="65">
        <f t="shared" ref="D14:D60" si="0">B14*C14*86400</f>
        <v>9300096000</v>
      </c>
      <c r="E14" s="40">
        <f t="shared" ref="E14:E60" si="1">D14/43560</f>
        <v>213500.82644628099</v>
      </c>
      <c r="G14" s="1">
        <v>2016</v>
      </c>
      <c r="H14" s="146">
        <f>SUM(E25:E36)/1000000</f>
        <v>5.0730128925619837</v>
      </c>
      <c r="M14" s="147">
        <v>2017</v>
      </c>
      <c r="N14" s="147">
        <v>7008</v>
      </c>
      <c r="O14" s="1">
        <v>365</v>
      </c>
      <c r="P14" s="1">
        <v>86400</v>
      </c>
      <c r="Q14">
        <f t="shared" ref="Q14:Q16" si="2">N14*O14*P14</f>
        <v>221004288000</v>
      </c>
      <c r="R14" s="86">
        <f t="shared" ref="R14:R16" si="3">Q14/43560/1000000</f>
        <v>5.0735603305785126</v>
      </c>
      <c r="S14" s="86"/>
      <c r="T14" s="86"/>
    </row>
    <row r="15" spans="1:20">
      <c r="A15" s="80">
        <v>5844</v>
      </c>
      <c r="B15" s="65">
        <v>2953</v>
      </c>
      <c r="C15" s="83">
        <v>31</v>
      </c>
      <c r="D15" s="65">
        <f t="shared" si="0"/>
        <v>7909315200</v>
      </c>
      <c r="E15" s="40">
        <f t="shared" si="1"/>
        <v>181572.89256198346</v>
      </c>
      <c r="G15" s="1">
        <v>2017</v>
      </c>
      <c r="H15" s="146">
        <f>SUM(E37:E48)/1000000</f>
        <v>2.9407239669421488</v>
      </c>
      <c r="M15" s="147">
        <v>2018</v>
      </c>
      <c r="N15" s="147">
        <v>4062</v>
      </c>
      <c r="O15" s="1">
        <v>365</v>
      </c>
      <c r="P15" s="1">
        <v>86400</v>
      </c>
      <c r="Q15">
        <f t="shared" si="2"/>
        <v>128099232000</v>
      </c>
      <c r="R15" s="86">
        <f t="shared" si="3"/>
        <v>2.9407537190082644</v>
      </c>
      <c r="S15" s="86"/>
      <c r="T15" s="86"/>
    </row>
    <row r="16" spans="1:20">
      <c r="A16" s="80">
        <v>5875</v>
      </c>
      <c r="B16" s="65">
        <v>3145</v>
      </c>
      <c r="C16" s="83">
        <v>31</v>
      </c>
      <c r="D16" s="65">
        <f t="shared" si="0"/>
        <v>8423568000</v>
      </c>
      <c r="E16" s="40">
        <f t="shared" si="1"/>
        <v>193378.51239669422</v>
      </c>
      <c r="G16" s="1">
        <v>2018</v>
      </c>
      <c r="H16" s="146">
        <f>SUM(E49:E60)/1000000</f>
        <v>4.3050327272727271</v>
      </c>
      <c r="M16" s="147">
        <v>2019</v>
      </c>
      <c r="N16" s="147">
        <v>5946</v>
      </c>
      <c r="O16" s="1">
        <v>365</v>
      </c>
      <c r="P16" s="1">
        <v>86400</v>
      </c>
      <c r="Q16">
        <f t="shared" si="2"/>
        <v>187513056000</v>
      </c>
      <c r="R16" s="86">
        <f t="shared" si="3"/>
        <v>4.3047074380165293</v>
      </c>
      <c r="S16" s="86"/>
      <c r="T16" s="86"/>
    </row>
    <row r="17" spans="1:20">
      <c r="A17" s="80">
        <v>5904</v>
      </c>
      <c r="B17" s="65">
        <v>3910</v>
      </c>
      <c r="C17" s="83">
        <v>29</v>
      </c>
      <c r="D17" s="65">
        <f t="shared" si="0"/>
        <v>9796896000</v>
      </c>
      <c r="E17" s="40">
        <f t="shared" si="1"/>
        <v>224905.78512396695</v>
      </c>
      <c r="G17" t="s">
        <v>325</v>
      </c>
      <c r="H17" s="86">
        <f>AVERAGE(H13:H16)</f>
        <v>4.0738710743801656</v>
      </c>
      <c r="M17" t="s">
        <v>325</v>
      </c>
      <c r="R17" s="86">
        <f>AVERAGE(R13:R16)</f>
        <v>4.0741259504132232</v>
      </c>
      <c r="S17" s="86"/>
      <c r="T17" s="86"/>
    </row>
    <row r="18" spans="1:20">
      <c r="A18" s="80">
        <v>5935</v>
      </c>
      <c r="B18" s="65">
        <v>2929</v>
      </c>
      <c r="C18" s="83">
        <v>31</v>
      </c>
      <c r="D18" s="65">
        <f t="shared" si="0"/>
        <v>7845033600</v>
      </c>
      <c r="E18" s="40">
        <f t="shared" si="1"/>
        <v>180097.19008264464</v>
      </c>
      <c r="R18" s="86"/>
    </row>
    <row r="19" spans="1:20">
      <c r="A19" s="80">
        <v>5965</v>
      </c>
      <c r="B19" s="65">
        <v>5038</v>
      </c>
      <c r="C19" s="83">
        <v>30</v>
      </c>
      <c r="D19" s="65">
        <f t="shared" si="0"/>
        <v>13058496000</v>
      </c>
      <c r="E19" s="40">
        <f t="shared" si="1"/>
        <v>299781.81818181818</v>
      </c>
    </row>
    <row r="20" spans="1:20">
      <c r="A20" s="80">
        <v>5996</v>
      </c>
      <c r="B20" s="65">
        <v>12630</v>
      </c>
      <c r="C20" s="83">
        <v>31</v>
      </c>
      <c r="D20" s="65">
        <f t="shared" si="0"/>
        <v>33828192000</v>
      </c>
      <c r="E20" s="40">
        <f t="shared" si="1"/>
        <v>776588.42975206615</v>
      </c>
    </row>
    <row r="21" spans="1:20">
      <c r="A21" s="80">
        <v>6026</v>
      </c>
      <c r="B21" s="65">
        <v>18250</v>
      </c>
      <c r="C21" s="83">
        <v>30</v>
      </c>
      <c r="D21" s="65">
        <f t="shared" si="0"/>
        <v>47304000000</v>
      </c>
      <c r="E21" s="40">
        <f t="shared" si="1"/>
        <v>1085950.4132231404</v>
      </c>
    </row>
    <row r="22" spans="1:20">
      <c r="A22" s="80">
        <v>6057</v>
      </c>
      <c r="B22" s="65">
        <v>4954</v>
      </c>
      <c r="C22" s="83">
        <v>31</v>
      </c>
      <c r="D22" s="65">
        <f t="shared" si="0"/>
        <v>13268793600</v>
      </c>
      <c r="E22" s="40">
        <f t="shared" si="1"/>
        <v>304609.58677685948</v>
      </c>
    </row>
    <row r="23" spans="1:20">
      <c r="A23" s="80">
        <v>6088</v>
      </c>
      <c r="B23" s="65">
        <v>2243</v>
      </c>
      <c r="C23" s="83">
        <v>31</v>
      </c>
      <c r="D23" s="65">
        <f t="shared" si="0"/>
        <v>6007651200</v>
      </c>
      <c r="E23" s="40">
        <f t="shared" si="1"/>
        <v>137916.69421487604</v>
      </c>
    </row>
    <row r="24" spans="1:20">
      <c r="A24" s="80">
        <v>6118</v>
      </c>
      <c r="B24" s="65">
        <v>3091</v>
      </c>
      <c r="C24" s="83">
        <v>30</v>
      </c>
      <c r="D24" s="65">
        <f t="shared" si="0"/>
        <v>8011872000</v>
      </c>
      <c r="E24" s="40">
        <f t="shared" si="1"/>
        <v>183927.27272727274</v>
      </c>
    </row>
    <row r="25" spans="1:20">
      <c r="A25" s="80">
        <v>6149</v>
      </c>
      <c r="B25" s="65">
        <v>2926</v>
      </c>
      <c r="C25" s="83">
        <v>31</v>
      </c>
      <c r="D25" s="65">
        <f t="shared" si="0"/>
        <v>7836998400</v>
      </c>
      <c r="E25" s="40">
        <f t="shared" si="1"/>
        <v>179912.72727272726</v>
      </c>
    </row>
    <row r="26" spans="1:20">
      <c r="A26" s="80">
        <v>6179</v>
      </c>
      <c r="B26" s="65">
        <v>2773</v>
      </c>
      <c r="C26" s="83">
        <v>30</v>
      </c>
      <c r="D26" s="65">
        <f t="shared" si="0"/>
        <v>7187616000</v>
      </c>
      <c r="E26" s="40">
        <f t="shared" si="1"/>
        <v>165004.95867768594</v>
      </c>
    </row>
    <row r="27" spans="1:20">
      <c r="A27" s="80">
        <v>6210</v>
      </c>
      <c r="B27" s="65">
        <v>2513</v>
      </c>
      <c r="C27" s="83">
        <v>31</v>
      </c>
      <c r="D27" s="65">
        <f t="shared" si="0"/>
        <v>6730819200</v>
      </c>
      <c r="E27" s="40">
        <f t="shared" si="1"/>
        <v>154518.34710743802</v>
      </c>
    </row>
    <row r="28" spans="1:20">
      <c r="A28" s="80">
        <v>6241</v>
      </c>
      <c r="B28" s="65">
        <v>2841</v>
      </c>
      <c r="C28" s="83">
        <v>31</v>
      </c>
      <c r="D28" s="65">
        <f t="shared" si="0"/>
        <v>7609334400</v>
      </c>
      <c r="E28" s="40">
        <f t="shared" si="1"/>
        <v>174686.28099173555</v>
      </c>
    </row>
    <row r="29" spans="1:20">
      <c r="A29" s="80">
        <v>6269</v>
      </c>
      <c r="B29" s="65">
        <v>5511</v>
      </c>
      <c r="C29" s="83">
        <v>28</v>
      </c>
      <c r="D29" s="65">
        <f t="shared" si="0"/>
        <v>13332211200</v>
      </c>
      <c r="E29" s="40">
        <f t="shared" si="1"/>
        <v>306065.45454545453</v>
      </c>
    </row>
    <row r="30" spans="1:20">
      <c r="A30" s="80">
        <v>6300</v>
      </c>
      <c r="B30" s="65">
        <v>7841</v>
      </c>
      <c r="C30" s="83">
        <v>31</v>
      </c>
      <c r="D30" s="65">
        <f t="shared" si="0"/>
        <v>21001334400</v>
      </c>
      <c r="E30" s="40">
        <f t="shared" si="1"/>
        <v>482124.29752066114</v>
      </c>
    </row>
    <row r="31" spans="1:20">
      <c r="A31" s="80">
        <v>6330</v>
      </c>
      <c r="B31" s="65">
        <v>13860</v>
      </c>
      <c r="C31" s="83">
        <v>30</v>
      </c>
      <c r="D31" s="65">
        <f t="shared" si="0"/>
        <v>35925120000</v>
      </c>
      <c r="E31" s="40">
        <f t="shared" si="1"/>
        <v>824727.27272727271</v>
      </c>
    </row>
    <row r="32" spans="1:20">
      <c r="A32" s="80">
        <v>6361</v>
      </c>
      <c r="B32" s="65">
        <v>16650</v>
      </c>
      <c r="C32" s="83">
        <v>31</v>
      </c>
      <c r="D32" s="65">
        <f t="shared" si="0"/>
        <v>44595360000</v>
      </c>
      <c r="E32" s="40">
        <f t="shared" si="1"/>
        <v>1023768.5950413223</v>
      </c>
    </row>
    <row r="33" spans="1:5">
      <c r="A33" s="80">
        <v>6391</v>
      </c>
      <c r="B33" s="65">
        <v>17050</v>
      </c>
      <c r="C33" s="83">
        <v>30</v>
      </c>
      <c r="D33" s="65">
        <f t="shared" si="0"/>
        <v>44193600000</v>
      </c>
      <c r="E33" s="40">
        <f t="shared" si="1"/>
        <v>1014545.4545454546</v>
      </c>
    </row>
    <row r="34" spans="1:5">
      <c r="A34" s="80">
        <v>6422</v>
      </c>
      <c r="B34" s="65">
        <v>6260</v>
      </c>
      <c r="C34" s="83">
        <v>31</v>
      </c>
      <c r="D34" s="65">
        <f t="shared" si="0"/>
        <v>16766784000</v>
      </c>
      <c r="E34" s="40">
        <f t="shared" si="1"/>
        <v>384912.3966942149</v>
      </c>
    </row>
    <row r="35" spans="1:5">
      <c r="A35" s="80">
        <v>6453</v>
      </c>
      <c r="B35" s="65">
        <v>3185</v>
      </c>
      <c r="C35" s="83">
        <v>31</v>
      </c>
      <c r="D35" s="65">
        <f t="shared" si="0"/>
        <v>8530704000</v>
      </c>
      <c r="E35" s="40">
        <f t="shared" si="1"/>
        <v>195838.01652892563</v>
      </c>
    </row>
    <row r="36" spans="1:5">
      <c r="A36" s="80">
        <v>6483</v>
      </c>
      <c r="B36" s="65">
        <v>2805</v>
      </c>
      <c r="C36" s="83">
        <v>30</v>
      </c>
      <c r="D36" s="65">
        <f t="shared" si="0"/>
        <v>7270560000</v>
      </c>
      <c r="E36" s="40">
        <f t="shared" si="1"/>
        <v>166909.09090909091</v>
      </c>
    </row>
    <row r="37" spans="1:5">
      <c r="A37" s="80">
        <v>6514</v>
      </c>
      <c r="B37" s="65">
        <v>3275</v>
      </c>
      <c r="C37" s="83">
        <v>31</v>
      </c>
      <c r="D37" s="65">
        <f t="shared" si="0"/>
        <v>8771760000</v>
      </c>
      <c r="E37" s="40">
        <f t="shared" si="1"/>
        <v>201371.90082644628</v>
      </c>
    </row>
    <row r="38" spans="1:5">
      <c r="A38" s="80">
        <v>6544</v>
      </c>
      <c r="B38" s="65">
        <v>3543</v>
      </c>
      <c r="C38" s="83">
        <v>30</v>
      </c>
      <c r="D38" s="65">
        <f t="shared" si="0"/>
        <v>9183456000</v>
      </c>
      <c r="E38" s="40">
        <f t="shared" si="1"/>
        <v>210823.14049586776</v>
      </c>
    </row>
    <row r="39" spans="1:5">
      <c r="A39" s="80">
        <v>6575</v>
      </c>
      <c r="B39" s="65">
        <v>3974</v>
      </c>
      <c r="C39" s="83">
        <v>31</v>
      </c>
      <c r="D39" s="65">
        <f t="shared" si="0"/>
        <v>10643961600</v>
      </c>
      <c r="E39" s="40">
        <f t="shared" si="1"/>
        <v>244351.73553719008</v>
      </c>
    </row>
    <row r="40" spans="1:5">
      <c r="A40" s="80">
        <v>6606</v>
      </c>
      <c r="B40" s="65">
        <v>3986</v>
      </c>
      <c r="C40" s="83">
        <v>31</v>
      </c>
      <c r="D40" s="65">
        <f t="shared" si="0"/>
        <v>10676102400</v>
      </c>
      <c r="E40" s="40">
        <f t="shared" si="1"/>
        <v>245089.58677685951</v>
      </c>
    </row>
    <row r="41" spans="1:5">
      <c r="A41" s="80">
        <v>6634</v>
      </c>
      <c r="B41" s="65">
        <v>4248</v>
      </c>
      <c r="C41" s="83">
        <v>28</v>
      </c>
      <c r="D41" s="65">
        <f t="shared" si="0"/>
        <v>10276761600</v>
      </c>
      <c r="E41" s="40">
        <f t="shared" si="1"/>
        <v>235921.98347107437</v>
      </c>
    </row>
    <row r="42" spans="1:5">
      <c r="A42" s="80">
        <v>6665</v>
      </c>
      <c r="B42" s="65">
        <v>3674</v>
      </c>
      <c r="C42" s="83">
        <v>31</v>
      </c>
      <c r="D42" s="65">
        <f t="shared" si="0"/>
        <v>9840441600</v>
      </c>
      <c r="E42" s="40">
        <f t="shared" si="1"/>
        <v>225905.45454545456</v>
      </c>
    </row>
    <row r="43" spans="1:5">
      <c r="A43" s="80">
        <v>6695</v>
      </c>
      <c r="B43" s="65">
        <v>4421</v>
      </c>
      <c r="C43" s="83">
        <v>30</v>
      </c>
      <c r="D43" s="65">
        <f t="shared" si="0"/>
        <v>11459232000</v>
      </c>
      <c r="E43" s="40">
        <f t="shared" si="1"/>
        <v>263067.7685950413</v>
      </c>
    </row>
    <row r="44" spans="1:5">
      <c r="A44" s="80">
        <v>6726</v>
      </c>
      <c r="B44" s="65">
        <v>9507</v>
      </c>
      <c r="C44" s="83">
        <v>31</v>
      </c>
      <c r="D44" s="65">
        <f t="shared" si="0"/>
        <v>25463548800</v>
      </c>
      <c r="E44" s="40">
        <f t="shared" si="1"/>
        <v>584562.64462809917</v>
      </c>
    </row>
    <row r="45" spans="1:5">
      <c r="A45" s="80">
        <v>6756</v>
      </c>
      <c r="B45" s="65">
        <v>5799</v>
      </c>
      <c r="C45" s="83">
        <v>30</v>
      </c>
      <c r="D45" s="65">
        <f t="shared" si="0"/>
        <v>15031008000</v>
      </c>
      <c r="E45" s="40">
        <f t="shared" si="1"/>
        <v>345064.46280991734</v>
      </c>
    </row>
    <row r="46" spans="1:5">
      <c r="A46" s="80">
        <v>6787</v>
      </c>
      <c r="B46" s="65">
        <v>2245</v>
      </c>
      <c r="C46" s="83">
        <v>31</v>
      </c>
      <c r="D46" s="65">
        <f t="shared" si="0"/>
        <v>6013008000</v>
      </c>
      <c r="E46" s="40">
        <f t="shared" si="1"/>
        <v>138039.6694214876</v>
      </c>
    </row>
    <row r="47" spans="1:5">
      <c r="A47" s="80">
        <v>6818</v>
      </c>
      <c r="B47" s="65">
        <v>2070</v>
      </c>
      <c r="C47" s="83">
        <v>31</v>
      </c>
      <c r="D47" s="65">
        <f t="shared" si="0"/>
        <v>5544288000</v>
      </c>
      <c r="E47" s="40">
        <f t="shared" si="1"/>
        <v>127279.33884297521</v>
      </c>
    </row>
    <row r="48" spans="1:5">
      <c r="A48" s="80">
        <v>6848</v>
      </c>
      <c r="B48" s="65">
        <v>2004</v>
      </c>
      <c r="C48" s="83">
        <v>30</v>
      </c>
      <c r="D48" s="65">
        <f t="shared" si="0"/>
        <v>5194368000</v>
      </c>
      <c r="E48" s="40">
        <f t="shared" si="1"/>
        <v>119246.28099173553</v>
      </c>
    </row>
    <row r="49" spans="1:5">
      <c r="A49" s="80">
        <v>6879</v>
      </c>
      <c r="B49" s="65">
        <v>2726</v>
      </c>
      <c r="C49" s="83">
        <v>31</v>
      </c>
      <c r="D49" s="65">
        <f t="shared" si="0"/>
        <v>7301318400</v>
      </c>
      <c r="E49" s="40">
        <f t="shared" si="1"/>
        <v>167615.20661157026</v>
      </c>
    </row>
    <row r="50" spans="1:5">
      <c r="A50" s="80">
        <v>6909</v>
      </c>
      <c r="B50" s="65">
        <v>2361</v>
      </c>
      <c r="C50" s="83">
        <v>30</v>
      </c>
      <c r="D50" s="65">
        <f t="shared" si="0"/>
        <v>6119712000</v>
      </c>
      <c r="E50" s="40">
        <f t="shared" si="1"/>
        <v>140489.25619834711</v>
      </c>
    </row>
    <row r="51" spans="1:5">
      <c r="A51" s="80">
        <v>6940</v>
      </c>
      <c r="B51" s="65">
        <v>2667</v>
      </c>
      <c r="C51" s="83">
        <v>31</v>
      </c>
      <c r="D51" s="65">
        <f t="shared" si="0"/>
        <v>7143292800</v>
      </c>
      <c r="E51" s="40">
        <f t="shared" si="1"/>
        <v>163987.43801652893</v>
      </c>
    </row>
    <row r="52" spans="1:5">
      <c r="A52" s="80">
        <v>6971</v>
      </c>
      <c r="B52" s="65">
        <v>2758</v>
      </c>
      <c r="C52" s="83">
        <v>31</v>
      </c>
      <c r="D52" s="65">
        <f t="shared" si="0"/>
        <v>7387027200</v>
      </c>
      <c r="E52" s="40">
        <f t="shared" si="1"/>
        <v>169582.80991735536</v>
      </c>
    </row>
    <row r="53" spans="1:5">
      <c r="A53" s="80">
        <v>6999</v>
      </c>
      <c r="B53" s="65">
        <v>2887</v>
      </c>
      <c r="C53" s="83">
        <v>28</v>
      </c>
      <c r="D53" s="65">
        <f t="shared" si="0"/>
        <v>6984230400</v>
      </c>
      <c r="E53" s="40">
        <f t="shared" si="1"/>
        <v>160335.86776859505</v>
      </c>
    </row>
    <row r="54" spans="1:5">
      <c r="A54" s="80">
        <v>7030</v>
      </c>
      <c r="B54" s="65">
        <v>3423</v>
      </c>
      <c r="C54" s="83">
        <v>31</v>
      </c>
      <c r="D54" s="65">
        <f t="shared" si="0"/>
        <v>9168163200</v>
      </c>
      <c r="E54" s="40">
        <f t="shared" si="1"/>
        <v>210472.06611570247</v>
      </c>
    </row>
    <row r="55" spans="1:5">
      <c r="A55" s="80">
        <v>7060</v>
      </c>
      <c r="B55" s="65">
        <v>6007</v>
      </c>
      <c r="C55" s="83">
        <v>30</v>
      </c>
      <c r="D55" s="65">
        <f t="shared" si="0"/>
        <v>15570144000</v>
      </c>
      <c r="E55" s="40">
        <f t="shared" si="1"/>
        <v>357441.32231404958</v>
      </c>
    </row>
    <row r="56" spans="1:5">
      <c r="A56" s="80">
        <v>7091</v>
      </c>
      <c r="B56" s="65">
        <v>11590</v>
      </c>
      <c r="C56" s="83">
        <v>31</v>
      </c>
      <c r="D56" s="65">
        <f t="shared" si="0"/>
        <v>31042656000</v>
      </c>
      <c r="E56" s="40">
        <f t="shared" si="1"/>
        <v>712641.32231404958</v>
      </c>
    </row>
    <row r="57" spans="1:5">
      <c r="A57" s="80">
        <v>7121</v>
      </c>
      <c r="B57" s="65">
        <v>21930</v>
      </c>
      <c r="C57" s="83">
        <v>30</v>
      </c>
      <c r="D57" s="65">
        <f t="shared" si="0"/>
        <v>56842560000</v>
      </c>
      <c r="E57" s="40">
        <f t="shared" si="1"/>
        <v>1304925.6198347108</v>
      </c>
    </row>
    <row r="58" spans="1:5">
      <c r="A58" s="80">
        <v>7152</v>
      </c>
      <c r="B58" s="65">
        <v>9346</v>
      </c>
      <c r="C58" s="83">
        <v>31</v>
      </c>
      <c r="D58" s="65">
        <f t="shared" si="0"/>
        <v>25032326400</v>
      </c>
      <c r="E58" s="40">
        <f t="shared" si="1"/>
        <v>574663.14049586782</v>
      </c>
    </row>
    <row r="59" spans="1:5">
      <c r="A59" s="80">
        <v>7183</v>
      </c>
      <c r="B59" s="65">
        <v>2978</v>
      </c>
      <c r="C59" s="83">
        <v>31</v>
      </c>
      <c r="D59" s="65">
        <f t="shared" si="0"/>
        <v>7976275200</v>
      </c>
      <c r="E59" s="40">
        <f t="shared" si="1"/>
        <v>183110.0826446281</v>
      </c>
    </row>
    <row r="60" spans="1:5">
      <c r="A60" s="80">
        <v>7213</v>
      </c>
      <c r="B60" s="65">
        <v>2685</v>
      </c>
      <c r="C60" s="83">
        <v>30</v>
      </c>
      <c r="D60" s="65">
        <f t="shared" si="0"/>
        <v>6959520000</v>
      </c>
      <c r="E60" s="40">
        <f t="shared" si="1"/>
        <v>159768.59504132232</v>
      </c>
    </row>
  </sheetData>
  <hyperlinks>
    <hyperlink ref="A2" r:id="rId1" display="https://waterdata.usgs.gov/nwis/monthly/?referred_module=sw&amp;amp;site_no=09315000&amp;amp;por_09315000_143107=448593,00060,143107,1894-10,2020-02&amp;amp;format=html_table&amp;amp;date_format=YYYY-MM-DD&amp;amp;rdb_compression=file&amp;amp;submitted_form=parameter_selection_list" xr:uid="{12B34739-6B38-4900-8355-227D13908A55}"/>
    <hyperlink ref="N11" r:id="rId2" display="https://waterdata.usgs.gov/nwis/annual/?referred_module=sw&amp;amp;site_no=09315000&amp;amp;por_09315000_143107=448593,00060,143107,1895,2020&amp;amp;year_type=W&amp;amp;format=html_table&amp;amp;date_format=YYYY-MM-DD&amp;amp;rdb_compression=file&amp;amp;submitted_form=parameter_selection_list" xr:uid="{48DDB585-8292-44C6-A719-5FB4BFB64381}"/>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08E1F-0343-471A-900A-5900EE2D29CC}">
  <dimension ref="A1:R60"/>
  <sheetViews>
    <sheetView workbookViewId="0">
      <selection activeCell="M25" sqref="M25"/>
    </sheetView>
  </sheetViews>
  <sheetFormatPr defaultRowHeight="14.5"/>
  <cols>
    <col min="4" max="4" width="13.08984375" bestFit="1" customWidth="1"/>
    <col min="6" max="6" width="12.453125" customWidth="1"/>
    <col min="10" max="10" width="9.08984375" bestFit="1" customWidth="1"/>
    <col min="16" max="16" width="14.08984375" bestFit="1" customWidth="1"/>
    <col min="17" max="17" width="11" bestFit="1" customWidth="1"/>
    <col min="18" max="18" width="28" bestFit="1" customWidth="1"/>
  </cols>
  <sheetData>
    <row r="1" spans="1:18" ht="16.5">
      <c r="A1" s="111" t="s">
        <v>335</v>
      </c>
    </row>
    <row r="2" spans="1:18">
      <c r="A2" s="44" t="s">
        <v>336</v>
      </c>
    </row>
    <row r="3" spans="1:18">
      <c r="B3" s="110" t="s">
        <v>250</v>
      </c>
    </row>
    <row r="4" spans="1:18">
      <c r="A4" s="149"/>
      <c r="B4" s="138" t="s">
        <v>210</v>
      </c>
      <c r="C4" s="139" t="s">
        <v>211</v>
      </c>
      <c r="D4" s="138" t="s">
        <v>50</v>
      </c>
      <c r="E4" s="139" t="s">
        <v>212</v>
      </c>
      <c r="F4" s="138" t="s">
        <v>52</v>
      </c>
      <c r="G4" s="139" t="s">
        <v>53</v>
      </c>
      <c r="H4" s="138" t="s">
        <v>54</v>
      </c>
      <c r="I4" s="139" t="s">
        <v>213</v>
      </c>
      <c r="J4" s="138" t="s">
        <v>214</v>
      </c>
      <c r="K4" s="139" t="s">
        <v>215</v>
      </c>
      <c r="L4" s="138" t="s">
        <v>216</v>
      </c>
      <c r="M4" s="139" t="s">
        <v>217</v>
      </c>
    </row>
    <row r="5" spans="1:18">
      <c r="A5" s="106">
        <v>2015</v>
      </c>
      <c r="B5" s="106">
        <v>30.5</v>
      </c>
      <c r="C5" s="106">
        <v>38.200000000000003</v>
      </c>
      <c r="D5" s="106">
        <v>37.299999999999997</v>
      </c>
      <c r="E5" s="106">
        <v>9.74</v>
      </c>
      <c r="F5" s="106">
        <v>42.6</v>
      </c>
      <c r="G5" s="106">
        <v>204</v>
      </c>
      <c r="H5" s="106">
        <v>64</v>
      </c>
      <c r="I5" s="106">
        <v>30.8</v>
      </c>
      <c r="J5" s="106">
        <v>29.6</v>
      </c>
      <c r="K5" s="106">
        <v>107.5</v>
      </c>
      <c r="L5" s="106">
        <v>28.7</v>
      </c>
      <c r="M5" s="106">
        <v>17.100000000000001</v>
      </c>
    </row>
    <row r="6" spans="1:18">
      <c r="A6" s="106">
        <v>2016</v>
      </c>
      <c r="B6" s="106">
        <v>12.7</v>
      </c>
      <c r="C6" s="106">
        <v>24.1</v>
      </c>
      <c r="D6" s="106">
        <v>24.2</v>
      </c>
      <c r="E6" s="106">
        <v>24.5</v>
      </c>
      <c r="F6" s="106">
        <v>25.9</v>
      </c>
      <c r="G6" s="106">
        <v>16.8</v>
      </c>
      <c r="H6" s="106">
        <v>26.6</v>
      </c>
      <c r="I6" s="106">
        <v>16.8</v>
      </c>
      <c r="J6" s="106">
        <v>160.80000000000001</v>
      </c>
      <c r="K6" s="106">
        <v>51.8</v>
      </c>
      <c r="L6" s="106">
        <v>23.4</v>
      </c>
      <c r="M6" s="106">
        <v>17.2</v>
      </c>
    </row>
    <row r="7" spans="1:18">
      <c r="A7" s="106">
        <v>2017</v>
      </c>
      <c r="B7" s="106">
        <v>17.399999999999999</v>
      </c>
      <c r="C7" s="106">
        <v>56.3</v>
      </c>
      <c r="D7" s="106">
        <v>45.5</v>
      </c>
      <c r="E7" s="106">
        <v>160.4</v>
      </c>
      <c r="F7" s="106">
        <v>456.8</v>
      </c>
      <c r="G7" s="106">
        <v>549.6</v>
      </c>
      <c r="H7" s="106">
        <v>115.2</v>
      </c>
      <c r="I7" s="106">
        <v>48.2</v>
      </c>
      <c r="J7" s="106">
        <v>46</v>
      </c>
      <c r="K7" s="106">
        <v>29.5</v>
      </c>
      <c r="L7" s="106">
        <v>29.5</v>
      </c>
      <c r="M7" s="106">
        <v>17.600000000000001</v>
      </c>
    </row>
    <row r="8" spans="1:18">
      <c r="A8" s="106">
        <v>2018</v>
      </c>
      <c r="B8" s="106">
        <v>29</v>
      </c>
      <c r="C8" s="106">
        <v>38</v>
      </c>
      <c r="D8" s="106">
        <v>23.8</v>
      </c>
      <c r="E8" s="106">
        <v>14.9</v>
      </c>
      <c r="F8" s="106">
        <v>18.2</v>
      </c>
      <c r="G8" s="106">
        <v>0.433</v>
      </c>
      <c r="H8" s="106">
        <v>12.7</v>
      </c>
      <c r="I8" s="106">
        <v>9.2899999999999991</v>
      </c>
      <c r="J8" s="106">
        <v>0.503</v>
      </c>
      <c r="K8" s="106">
        <v>172.7</v>
      </c>
      <c r="L8" s="106">
        <v>16.5</v>
      </c>
      <c r="M8" s="106">
        <v>18.5</v>
      </c>
    </row>
    <row r="9" spans="1:18">
      <c r="A9" s="106">
        <v>2019</v>
      </c>
      <c r="B9" s="106">
        <v>15</v>
      </c>
      <c r="C9" s="106">
        <v>20.6</v>
      </c>
      <c r="D9" s="106">
        <v>125.6</v>
      </c>
      <c r="E9" s="106">
        <v>218.6</v>
      </c>
      <c r="F9" s="106">
        <v>435.1</v>
      </c>
      <c r="G9" s="106">
        <v>761.4</v>
      </c>
      <c r="H9" s="106">
        <v>289.2</v>
      </c>
      <c r="I9" s="106">
        <v>18</v>
      </c>
      <c r="J9" s="106">
        <v>6.62</v>
      </c>
      <c r="K9" s="106">
        <v>20.8</v>
      </c>
      <c r="L9" s="106">
        <v>37.1</v>
      </c>
      <c r="M9" s="106">
        <v>48.7</v>
      </c>
    </row>
    <row r="10" spans="1:18">
      <c r="A10" s="106">
        <v>2020</v>
      </c>
      <c r="B10" s="106">
        <v>44.7</v>
      </c>
      <c r="C10" s="106">
        <v>56.4</v>
      </c>
      <c r="D10" s="106">
        <v>60.5</v>
      </c>
      <c r="E10" s="106"/>
      <c r="F10" s="106"/>
      <c r="G10" s="106"/>
      <c r="H10" s="106"/>
      <c r="I10" s="106"/>
      <c r="J10" s="106"/>
      <c r="K10" s="106"/>
      <c r="L10" s="106"/>
      <c r="M10" s="106"/>
    </row>
    <row r="11" spans="1:18">
      <c r="N11" s="44" t="s">
        <v>337</v>
      </c>
    </row>
    <row r="12" spans="1:18">
      <c r="A12" s="141"/>
      <c r="B12" s="1" t="s">
        <v>248</v>
      </c>
      <c r="C12" s="1" t="s">
        <v>247</v>
      </c>
      <c r="D12" s="1" t="s">
        <v>246</v>
      </c>
      <c r="E12" s="142" t="s">
        <v>245</v>
      </c>
      <c r="F12" s="1"/>
      <c r="G12" s="143" t="s">
        <v>320</v>
      </c>
      <c r="H12" s="143" t="s">
        <v>338</v>
      </c>
      <c r="K12" s="153"/>
      <c r="L12" s="18"/>
      <c r="M12" s="145" t="s">
        <v>322</v>
      </c>
      <c r="N12" s="143" t="s">
        <v>248</v>
      </c>
      <c r="O12" s="143" t="s">
        <v>247</v>
      </c>
      <c r="P12" s="145" t="s">
        <v>323</v>
      </c>
      <c r="Q12" s="143" t="s">
        <v>246</v>
      </c>
      <c r="R12" s="145" t="s">
        <v>324</v>
      </c>
    </row>
    <row r="13" spans="1:18">
      <c r="A13" s="80">
        <v>5783</v>
      </c>
      <c r="B13" s="65">
        <v>107.5</v>
      </c>
      <c r="C13" s="83">
        <v>31</v>
      </c>
      <c r="D13" s="65">
        <f>B13*C13*86400</f>
        <v>287928000</v>
      </c>
      <c r="E13" s="40">
        <f>D13*0.0000229569</f>
        <v>6609.9343031999997</v>
      </c>
      <c r="F13" s="26"/>
      <c r="G13" s="1">
        <v>2016</v>
      </c>
      <c r="H13" s="146">
        <f>SUM(E13:E24)/1000000</f>
        <v>2.9311215649631999E-2</v>
      </c>
      <c r="M13" s="147">
        <v>2016</v>
      </c>
      <c r="N13" s="148">
        <v>40.4</v>
      </c>
      <c r="O13" s="1">
        <v>366</v>
      </c>
      <c r="P13" s="1">
        <v>86400</v>
      </c>
      <c r="Q13">
        <f>N13*O13*P13</f>
        <v>1277544960</v>
      </c>
      <c r="R13" s="31">
        <f>Q13/43560/1000000</f>
        <v>2.9328396694214876E-2</v>
      </c>
    </row>
    <row r="14" spans="1:18">
      <c r="A14" s="80">
        <v>5813</v>
      </c>
      <c r="B14" s="65">
        <v>28.7</v>
      </c>
      <c r="C14" s="83">
        <v>30</v>
      </c>
      <c r="D14" s="65">
        <f>B14*C14*86400</f>
        <v>74390400</v>
      </c>
      <c r="E14" s="40">
        <f t="shared" ref="E14:E60" si="0">D14*0.0000229569</f>
        <v>1707.77297376</v>
      </c>
      <c r="F14" s="26"/>
      <c r="G14" s="1">
        <v>2017</v>
      </c>
      <c r="H14" s="146">
        <f>SUM(E25:E36)/1000000</f>
        <v>9.5749336409759994E-2</v>
      </c>
      <c r="M14" s="147">
        <v>2017</v>
      </c>
      <c r="N14" s="147">
        <v>132.30000000000001</v>
      </c>
      <c r="O14" s="1">
        <v>365</v>
      </c>
      <c r="P14" s="1">
        <v>86400</v>
      </c>
      <c r="Q14">
        <f t="shared" ref="Q14:Q16" si="1">N14*O14*P14</f>
        <v>4172212800.0000005</v>
      </c>
      <c r="R14" s="31">
        <f t="shared" ref="R14:R16" si="2">Q14/43560/1000000</f>
        <v>9.5780826446280998E-2</v>
      </c>
    </row>
    <row r="15" spans="1:18">
      <c r="A15" s="80">
        <v>5844</v>
      </c>
      <c r="B15" s="65">
        <v>17.100000000000001</v>
      </c>
      <c r="C15" s="83">
        <v>31</v>
      </c>
      <c r="D15" s="65">
        <f>B15*C15*86400</f>
        <v>45800640</v>
      </c>
      <c r="E15" s="40">
        <f t="shared" si="0"/>
        <v>1051.440712416</v>
      </c>
      <c r="F15" s="26"/>
      <c r="G15" s="1">
        <v>2018</v>
      </c>
      <c r="H15" s="146">
        <f>SUM(E37:E48)/1000000</f>
        <v>1.3421925322819201E-2</v>
      </c>
      <c r="M15" s="147">
        <v>2018</v>
      </c>
      <c r="N15" s="147">
        <v>18.5</v>
      </c>
      <c r="O15" s="1">
        <v>365</v>
      </c>
      <c r="P15" s="1">
        <v>86400</v>
      </c>
      <c r="Q15">
        <f t="shared" si="1"/>
        <v>583416000</v>
      </c>
      <c r="R15" s="31">
        <f t="shared" si="2"/>
        <v>1.3393388429752065E-2</v>
      </c>
    </row>
    <row r="16" spans="1:18">
      <c r="A16" s="80">
        <v>5875</v>
      </c>
      <c r="B16" s="1">
        <v>12.7</v>
      </c>
      <c r="C16" s="83">
        <v>31</v>
      </c>
      <c r="D16" s="65">
        <f t="shared" ref="D16:D60" si="3">B16*C16*86400</f>
        <v>34015680</v>
      </c>
      <c r="E16" s="40">
        <f t="shared" si="0"/>
        <v>780.89456419199996</v>
      </c>
      <c r="F16" s="26"/>
      <c r="G16" s="1">
        <v>2019</v>
      </c>
      <c r="H16" s="146">
        <f>SUM(E49:E60)/1000000</f>
        <v>0.1268780112648</v>
      </c>
      <c r="M16" s="147">
        <v>2019</v>
      </c>
      <c r="N16" s="147">
        <v>175.2</v>
      </c>
      <c r="O16" s="1">
        <v>365</v>
      </c>
      <c r="P16" s="1">
        <v>86400</v>
      </c>
      <c r="Q16">
        <f t="shared" si="1"/>
        <v>5525107199.999999</v>
      </c>
      <c r="R16" s="31">
        <f t="shared" si="2"/>
        <v>0.12683900826446279</v>
      </c>
    </row>
    <row r="17" spans="1:18">
      <c r="A17" s="80">
        <v>5904</v>
      </c>
      <c r="B17" s="1">
        <v>24.1</v>
      </c>
      <c r="C17" s="83">
        <v>29</v>
      </c>
      <c r="D17" s="65">
        <f t="shared" si="3"/>
        <v>60384960.000000007</v>
      </c>
      <c r="E17" s="40">
        <f t="shared" si="0"/>
        <v>1386.2514882240002</v>
      </c>
      <c r="F17" s="26"/>
      <c r="G17" t="s">
        <v>325</v>
      </c>
      <c r="H17" s="86">
        <f>AVERAGE(H13:H16)</f>
        <v>6.6340122161752793E-2</v>
      </c>
      <c r="M17" t="s">
        <v>325</v>
      </c>
      <c r="R17" s="86">
        <f>AVERAGE(R13:R16)</f>
        <v>6.6335404958677679E-2</v>
      </c>
    </row>
    <row r="18" spans="1:18">
      <c r="A18" s="80">
        <v>5935</v>
      </c>
      <c r="B18" s="1">
        <v>24.2</v>
      </c>
      <c r="C18" s="83">
        <v>31</v>
      </c>
      <c r="D18" s="65">
        <f t="shared" si="3"/>
        <v>64817279.999999993</v>
      </c>
      <c r="E18" s="40">
        <f t="shared" si="0"/>
        <v>1488.0038152319999</v>
      </c>
      <c r="F18" s="26"/>
    </row>
    <row r="19" spans="1:18">
      <c r="A19" s="80">
        <v>5965</v>
      </c>
      <c r="B19" s="1">
        <v>24.5</v>
      </c>
      <c r="C19" s="83">
        <v>30</v>
      </c>
      <c r="D19" s="65">
        <f t="shared" si="3"/>
        <v>63504000</v>
      </c>
      <c r="E19" s="40">
        <f t="shared" si="0"/>
        <v>1457.8549776</v>
      </c>
      <c r="F19" s="26"/>
    </row>
    <row r="20" spans="1:18">
      <c r="A20" s="80">
        <v>5996</v>
      </c>
      <c r="B20" s="1">
        <v>25.9</v>
      </c>
      <c r="C20" s="83">
        <v>31</v>
      </c>
      <c r="D20" s="65">
        <f t="shared" si="3"/>
        <v>69370560</v>
      </c>
      <c r="E20" s="40">
        <f t="shared" si="0"/>
        <v>1592.5330088640001</v>
      </c>
      <c r="F20" s="26"/>
    </row>
    <row r="21" spans="1:18">
      <c r="A21" s="80">
        <v>6026</v>
      </c>
      <c r="B21" s="1">
        <v>16.8</v>
      </c>
      <c r="C21" s="83">
        <v>30</v>
      </c>
      <c r="D21" s="65">
        <f t="shared" si="3"/>
        <v>43545600</v>
      </c>
      <c r="E21" s="40">
        <f t="shared" si="0"/>
        <v>999.67198464000001</v>
      </c>
      <c r="F21" s="26"/>
    </row>
    <row r="22" spans="1:18">
      <c r="A22" s="80">
        <v>6057</v>
      </c>
      <c r="B22" s="1">
        <v>26.6</v>
      </c>
      <c r="C22" s="83">
        <v>31</v>
      </c>
      <c r="D22" s="65">
        <f t="shared" si="3"/>
        <v>71245440</v>
      </c>
      <c r="E22" s="40">
        <f t="shared" si="0"/>
        <v>1635.574441536</v>
      </c>
      <c r="F22" s="26"/>
    </row>
    <row r="23" spans="1:18">
      <c r="A23" s="80">
        <v>6088</v>
      </c>
      <c r="B23" s="1">
        <v>16.8</v>
      </c>
      <c r="C23" s="83">
        <v>31</v>
      </c>
      <c r="D23" s="65">
        <f t="shared" si="3"/>
        <v>44997120.000000007</v>
      </c>
      <c r="E23" s="40">
        <f t="shared" si="0"/>
        <v>1032.9943841280001</v>
      </c>
      <c r="F23" s="26"/>
    </row>
    <row r="24" spans="1:18">
      <c r="A24" s="80">
        <v>6118</v>
      </c>
      <c r="B24" s="1">
        <v>160.80000000000001</v>
      </c>
      <c r="C24" s="83">
        <v>30</v>
      </c>
      <c r="D24" s="65">
        <f t="shared" si="3"/>
        <v>416793600</v>
      </c>
      <c r="E24" s="40">
        <f t="shared" si="0"/>
        <v>9568.288995840001</v>
      </c>
      <c r="F24" s="26"/>
    </row>
    <row r="25" spans="1:18">
      <c r="A25" s="80">
        <v>6149</v>
      </c>
      <c r="B25" s="1">
        <v>51.8</v>
      </c>
      <c r="C25" s="83">
        <v>31</v>
      </c>
      <c r="D25" s="65">
        <f t="shared" si="3"/>
        <v>138741120</v>
      </c>
      <c r="E25" s="40">
        <f t="shared" si="0"/>
        <v>3185.0660177280001</v>
      </c>
      <c r="F25" s="26"/>
    </row>
    <row r="26" spans="1:18">
      <c r="A26" s="80">
        <v>6179</v>
      </c>
      <c r="B26" s="1">
        <v>23.4</v>
      </c>
      <c r="C26" s="83">
        <v>30</v>
      </c>
      <c r="D26" s="65">
        <f t="shared" si="3"/>
        <v>60652800</v>
      </c>
      <c r="E26" s="40">
        <f t="shared" si="0"/>
        <v>1392.4002643200001</v>
      </c>
      <c r="F26" s="26"/>
    </row>
    <row r="27" spans="1:18">
      <c r="A27" s="80">
        <v>6210</v>
      </c>
      <c r="B27" s="1">
        <v>17.2</v>
      </c>
      <c r="C27" s="83">
        <v>31</v>
      </c>
      <c r="D27" s="65">
        <f t="shared" si="3"/>
        <v>46068479.999999993</v>
      </c>
      <c r="E27" s="40">
        <f t="shared" si="0"/>
        <v>1057.5894885119999</v>
      </c>
      <c r="F27" s="26"/>
    </row>
    <row r="28" spans="1:18">
      <c r="A28" s="80">
        <v>6241</v>
      </c>
      <c r="B28" s="1">
        <v>17.399999999999999</v>
      </c>
      <c r="C28" s="83">
        <v>31</v>
      </c>
      <c r="D28" s="65">
        <f t="shared" si="3"/>
        <v>46604160</v>
      </c>
      <c r="E28" s="40">
        <f t="shared" si="0"/>
        <v>1069.8870407040001</v>
      </c>
      <c r="F28" s="26"/>
    </row>
    <row r="29" spans="1:18">
      <c r="A29" s="80">
        <v>6269</v>
      </c>
      <c r="B29" s="1">
        <v>56.3</v>
      </c>
      <c r="C29" s="83">
        <v>28</v>
      </c>
      <c r="D29" s="65">
        <f t="shared" si="3"/>
        <v>136200960</v>
      </c>
      <c r="E29" s="40">
        <f t="shared" si="0"/>
        <v>3126.751818624</v>
      </c>
      <c r="F29" s="26"/>
    </row>
    <row r="30" spans="1:18">
      <c r="A30" s="80">
        <v>6300</v>
      </c>
      <c r="B30" s="1">
        <v>45.5</v>
      </c>
      <c r="C30" s="83">
        <v>31</v>
      </c>
      <c r="D30" s="65">
        <f t="shared" si="3"/>
        <v>121867200</v>
      </c>
      <c r="E30" s="40">
        <f t="shared" si="0"/>
        <v>2797.6931236800001</v>
      </c>
      <c r="F30" s="26"/>
    </row>
    <row r="31" spans="1:18">
      <c r="A31" s="80">
        <v>6330</v>
      </c>
      <c r="B31" s="1">
        <v>160.4</v>
      </c>
      <c r="C31" s="83">
        <v>30</v>
      </c>
      <c r="D31" s="65">
        <f t="shared" si="3"/>
        <v>415756800</v>
      </c>
      <c r="E31" s="40">
        <f t="shared" si="0"/>
        <v>9544.4872819200009</v>
      </c>
      <c r="F31" s="26"/>
    </row>
    <row r="32" spans="1:18">
      <c r="A32" s="80">
        <v>6361</v>
      </c>
      <c r="B32" s="1">
        <v>456.8</v>
      </c>
      <c r="C32" s="83">
        <v>31</v>
      </c>
      <c r="D32" s="65">
        <f t="shared" si="3"/>
        <v>1223493120</v>
      </c>
      <c r="E32" s="40">
        <f t="shared" si="0"/>
        <v>28087.609206527999</v>
      </c>
      <c r="F32" s="26"/>
    </row>
    <row r="33" spans="1:6">
      <c r="A33" s="80">
        <v>6391</v>
      </c>
      <c r="B33" s="1">
        <v>549.6</v>
      </c>
      <c r="C33" s="83">
        <v>30</v>
      </c>
      <c r="D33" s="65">
        <f t="shared" si="3"/>
        <v>1424563200</v>
      </c>
      <c r="E33" s="40">
        <f t="shared" si="0"/>
        <v>32703.55492608</v>
      </c>
      <c r="F33" s="26"/>
    </row>
    <row r="34" spans="1:6">
      <c r="A34" s="80">
        <v>6422</v>
      </c>
      <c r="B34" s="1">
        <v>115.2</v>
      </c>
      <c r="C34" s="83">
        <v>31</v>
      </c>
      <c r="D34" s="65">
        <f t="shared" si="3"/>
        <v>308551680</v>
      </c>
      <c r="E34" s="40">
        <f t="shared" si="0"/>
        <v>7083.3900625920005</v>
      </c>
      <c r="F34" s="26"/>
    </row>
    <row r="35" spans="1:6">
      <c r="A35" s="80">
        <v>6453</v>
      </c>
      <c r="B35" s="1">
        <v>48.2</v>
      </c>
      <c r="C35" s="83">
        <v>31</v>
      </c>
      <c r="D35" s="65">
        <f t="shared" si="3"/>
        <v>129098880</v>
      </c>
      <c r="E35" s="40">
        <f t="shared" si="0"/>
        <v>2963.7100782719999</v>
      </c>
      <c r="F35" s="26"/>
    </row>
    <row r="36" spans="1:6">
      <c r="A36" s="80">
        <v>6483</v>
      </c>
      <c r="B36" s="1">
        <v>46</v>
      </c>
      <c r="C36" s="83">
        <v>30</v>
      </c>
      <c r="D36" s="65">
        <f t="shared" si="3"/>
        <v>119232000</v>
      </c>
      <c r="E36" s="40">
        <f t="shared" si="0"/>
        <v>2737.1971008</v>
      </c>
      <c r="F36" s="26"/>
    </row>
    <row r="37" spans="1:6">
      <c r="A37" s="80">
        <v>6514</v>
      </c>
      <c r="B37" s="1">
        <v>29.5</v>
      </c>
      <c r="C37" s="83">
        <v>31</v>
      </c>
      <c r="D37" s="65">
        <f t="shared" si="3"/>
        <v>79012800</v>
      </c>
      <c r="E37" s="40">
        <f t="shared" si="0"/>
        <v>1813.8889483200001</v>
      </c>
      <c r="F37" s="26"/>
    </row>
    <row r="38" spans="1:6">
      <c r="A38" s="80">
        <v>6544</v>
      </c>
      <c r="B38" s="1">
        <v>29.5</v>
      </c>
      <c r="C38" s="83">
        <v>30</v>
      </c>
      <c r="D38" s="65">
        <f t="shared" si="3"/>
        <v>76464000</v>
      </c>
      <c r="E38" s="40">
        <f t="shared" si="0"/>
        <v>1755.3764016</v>
      </c>
      <c r="F38" s="26"/>
    </row>
    <row r="39" spans="1:6">
      <c r="A39" s="80">
        <v>6575</v>
      </c>
      <c r="B39" s="1">
        <v>17.600000000000001</v>
      </c>
      <c r="C39" s="83">
        <v>31</v>
      </c>
      <c r="D39" s="65">
        <f t="shared" si="3"/>
        <v>47139840</v>
      </c>
      <c r="E39" s="40">
        <f t="shared" si="0"/>
        <v>1082.1845928959999</v>
      </c>
      <c r="F39" s="26"/>
    </row>
    <row r="40" spans="1:6">
      <c r="A40" s="80">
        <v>6606</v>
      </c>
      <c r="B40" s="1">
        <v>29</v>
      </c>
      <c r="C40" s="83">
        <v>31</v>
      </c>
      <c r="D40" s="65">
        <f t="shared" si="3"/>
        <v>77673600</v>
      </c>
      <c r="E40" s="40">
        <f t="shared" si="0"/>
        <v>1783.1450678400001</v>
      </c>
      <c r="F40" s="26"/>
    </row>
    <row r="41" spans="1:6">
      <c r="A41" s="80">
        <v>6634</v>
      </c>
      <c r="B41" s="1">
        <v>38</v>
      </c>
      <c r="C41" s="83">
        <v>28</v>
      </c>
      <c r="D41" s="65">
        <f t="shared" si="3"/>
        <v>91929600</v>
      </c>
      <c r="E41" s="40">
        <f t="shared" si="0"/>
        <v>2110.4186342399998</v>
      </c>
      <c r="F41" s="26"/>
    </row>
    <row r="42" spans="1:6">
      <c r="A42" s="80">
        <v>6665</v>
      </c>
      <c r="B42" s="1">
        <v>23.8</v>
      </c>
      <c r="C42" s="83">
        <v>31</v>
      </c>
      <c r="D42" s="65">
        <f t="shared" si="3"/>
        <v>63745920.000000007</v>
      </c>
      <c r="E42" s="40">
        <f t="shared" si="0"/>
        <v>1463.4087108480003</v>
      </c>
      <c r="F42" s="26"/>
    </row>
    <row r="43" spans="1:6">
      <c r="A43" s="80">
        <v>6695</v>
      </c>
      <c r="B43" s="1">
        <v>14.9</v>
      </c>
      <c r="C43" s="83">
        <v>30</v>
      </c>
      <c r="D43" s="65">
        <f t="shared" si="3"/>
        <v>38620800</v>
      </c>
      <c r="E43" s="40">
        <f t="shared" si="0"/>
        <v>886.61384352000005</v>
      </c>
      <c r="F43" s="26"/>
    </row>
    <row r="44" spans="1:6">
      <c r="A44" s="80">
        <v>6726</v>
      </c>
      <c r="B44" s="1">
        <v>18.2</v>
      </c>
      <c r="C44" s="83">
        <v>31</v>
      </c>
      <c r="D44" s="65">
        <f t="shared" si="3"/>
        <v>48746879.999999993</v>
      </c>
      <c r="E44" s="40">
        <f t="shared" si="0"/>
        <v>1119.0772494719999</v>
      </c>
      <c r="F44" s="26"/>
    </row>
    <row r="45" spans="1:6">
      <c r="A45" s="80">
        <v>6756</v>
      </c>
      <c r="B45" s="1">
        <v>0.433</v>
      </c>
      <c r="C45" s="83">
        <v>30</v>
      </c>
      <c r="D45" s="65">
        <f t="shared" si="3"/>
        <v>1122336</v>
      </c>
      <c r="E45" s="40">
        <f t="shared" si="0"/>
        <v>25.765355318400001</v>
      </c>
      <c r="F45" s="26"/>
    </row>
    <row r="46" spans="1:6">
      <c r="A46" s="80">
        <v>6787</v>
      </c>
      <c r="B46" s="1">
        <v>12.7</v>
      </c>
      <c r="C46" s="83">
        <v>31</v>
      </c>
      <c r="D46" s="65">
        <f t="shared" si="3"/>
        <v>34015680</v>
      </c>
      <c r="E46" s="40">
        <f t="shared" si="0"/>
        <v>780.89456419199996</v>
      </c>
      <c r="F46" s="26"/>
    </row>
    <row r="47" spans="1:6">
      <c r="A47" s="80">
        <v>6818</v>
      </c>
      <c r="B47" s="1">
        <v>9.2899999999999991</v>
      </c>
      <c r="C47" s="83">
        <v>31</v>
      </c>
      <c r="D47" s="65">
        <f t="shared" si="3"/>
        <v>24882335.999999996</v>
      </c>
      <c r="E47" s="40">
        <f t="shared" si="0"/>
        <v>571.22129931839993</v>
      </c>
      <c r="F47" s="26"/>
    </row>
    <row r="48" spans="1:6">
      <c r="A48" s="80">
        <v>6848</v>
      </c>
      <c r="B48" s="1">
        <v>0.503</v>
      </c>
      <c r="C48" s="83">
        <v>30</v>
      </c>
      <c r="D48" s="65">
        <f t="shared" si="3"/>
        <v>1303776</v>
      </c>
      <c r="E48" s="40">
        <f t="shared" si="0"/>
        <v>29.930655254400001</v>
      </c>
      <c r="F48" s="26"/>
    </row>
    <row r="49" spans="1:6">
      <c r="A49" s="80">
        <v>6879</v>
      </c>
      <c r="B49" s="1">
        <v>172.7</v>
      </c>
      <c r="C49" s="83">
        <v>31</v>
      </c>
      <c r="D49" s="65">
        <f t="shared" si="3"/>
        <v>462559680</v>
      </c>
      <c r="E49" s="40">
        <f t="shared" si="0"/>
        <v>10618.936317792</v>
      </c>
      <c r="F49" s="26"/>
    </row>
    <row r="50" spans="1:6">
      <c r="A50" s="80">
        <v>6909</v>
      </c>
      <c r="B50" s="1">
        <v>16.5</v>
      </c>
      <c r="C50" s="83">
        <v>30</v>
      </c>
      <c r="D50" s="65">
        <f t="shared" si="3"/>
        <v>42768000</v>
      </c>
      <c r="E50" s="40">
        <f t="shared" si="0"/>
        <v>981.82069920000004</v>
      </c>
      <c r="F50" s="26"/>
    </row>
    <row r="51" spans="1:6">
      <c r="A51" s="80">
        <v>6940</v>
      </c>
      <c r="B51" s="1">
        <v>18.5</v>
      </c>
      <c r="C51" s="83">
        <v>31</v>
      </c>
      <c r="D51" s="65">
        <f t="shared" si="3"/>
        <v>49550400</v>
      </c>
      <c r="E51" s="40">
        <f t="shared" si="0"/>
        <v>1137.5235777600001</v>
      </c>
      <c r="F51" s="26"/>
    </row>
    <row r="52" spans="1:6">
      <c r="A52" s="80">
        <v>6971</v>
      </c>
      <c r="B52" s="1">
        <v>15</v>
      </c>
      <c r="C52" s="83">
        <v>31</v>
      </c>
      <c r="D52" s="65">
        <f t="shared" si="3"/>
        <v>40176000</v>
      </c>
      <c r="E52" s="40">
        <f t="shared" si="0"/>
        <v>922.31641439999999</v>
      </c>
      <c r="F52" s="26"/>
    </row>
    <row r="53" spans="1:6">
      <c r="A53" s="80">
        <v>6999</v>
      </c>
      <c r="B53" s="1">
        <v>20.6</v>
      </c>
      <c r="C53" s="83">
        <v>28</v>
      </c>
      <c r="D53" s="65">
        <f t="shared" si="3"/>
        <v>49835520.000000007</v>
      </c>
      <c r="E53" s="40">
        <f t="shared" si="0"/>
        <v>1144.0690490880002</v>
      </c>
      <c r="F53" s="26"/>
    </row>
    <row r="54" spans="1:6">
      <c r="A54" s="80">
        <v>7030</v>
      </c>
      <c r="B54" s="1">
        <v>125.6</v>
      </c>
      <c r="C54" s="83">
        <v>31</v>
      </c>
      <c r="D54" s="65">
        <f t="shared" si="3"/>
        <v>336407040</v>
      </c>
      <c r="E54" s="40">
        <f t="shared" si="0"/>
        <v>7722.8627765760002</v>
      </c>
      <c r="F54" s="26"/>
    </row>
    <row r="55" spans="1:6">
      <c r="A55" s="80">
        <v>7060</v>
      </c>
      <c r="B55" s="1">
        <v>218.6</v>
      </c>
      <c r="C55" s="83">
        <v>30</v>
      </c>
      <c r="D55" s="65">
        <f t="shared" si="3"/>
        <v>566611200</v>
      </c>
      <c r="E55" s="40">
        <f t="shared" si="0"/>
        <v>13007.63665728</v>
      </c>
      <c r="F55" s="26"/>
    </row>
    <row r="56" spans="1:6">
      <c r="A56" s="80">
        <v>7091</v>
      </c>
      <c r="B56" s="1">
        <v>435.1</v>
      </c>
      <c r="C56" s="83">
        <v>31</v>
      </c>
      <c r="D56" s="65">
        <f t="shared" si="3"/>
        <v>1165371840</v>
      </c>
      <c r="E56" s="40">
        <f t="shared" si="0"/>
        <v>26753.324793696</v>
      </c>
      <c r="F56" s="26"/>
    </row>
    <row r="57" spans="1:6">
      <c r="A57" s="80">
        <v>7121</v>
      </c>
      <c r="B57" s="1">
        <v>761.4</v>
      </c>
      <c r="C57" s="83">
        <v>30</v>
      </c>
      <c r="D57" s="65">
        <f t="shared" si="3"/>
        <v>1973548800</v>
      </c>
      <c r="E57" s="40">
        <f t="shared" si="0"/>
        <v>45306.562446720003</v>
      </c>
      <c r="F57" s="26"/>
    </row>
    <row r="58" spans="1:6">
      <c r="A58" s="80">
        <v>7152</v>
      </c>
      <c r="B58" s="1">
        <v>289.2</v>
      </c>
      <c r="C58" s="83">
        <v>31</v>
      </c>
      <c r="D58" s="65">
        <f t="shared" si="3"/>
        <v>774593279.99999988</v>
      </c>
      <c r="E58" s="40">
        <f t="shared" si="0"/>
        <v>17782.260469631998</v>
      </c>
      <c r="F58" s="26"/>
    </row>
    <row r="59" spans="1:6">
      <c r="A59" s="80">
        <v>7183</v>
      </c>
      <c r="B59" s="1">
        <v>18</v>
      </c>
      <c r="C59" s="83">
        <v>31</v>
      </c>
      <c r="D59" s="65">
        <f t="shared" si="3"/>
        <v>48211200</v>
      </c>
      <c r="E59" s="40">
        <f t="shared" si="0"/>
        <v>1106.7796972799999</v>
      </c>
      <c r="F59" s="26"/>
    </row>
    <row r="60" spans="1:6">
      <c r="A60" s="80">
        <v>7213</v>
      </c>
      <c r="B60" s="1">
        <v>6.62</v>
      </c>
      <c r="C60" s="83">
        <v>30</v>
      </c>
      <c r="D60" s="65">
        <f t="shared" si="3"/>
        <v>17159040</v>
      </c>
      <c r="E60" s="40">
        <f t="shared" si="0"/>
        <v>393.918365376</v>
      </c>
      <c r="F60" s="26"/>
    </row>
  </sheetData>
  <hyperlinks>
    <hyperlink ref="A2" r:id="rId1" display="https://waterdata.usgs.gov/nwis/monthly/?referred_module=sw&amp;amp;site_no=09328500&amp;amp;por_09328500_143149=448642,00060,143149,1909-10,2020-04&amp;amp;format=html_table&amp;amp;date_format=YYYY-MM-DD&amp;amp;rdb_compression=file&amp;amp;submitted_form=parameter_selection_list" xr:uid="{525CB7F9-1E12-4209-A293-E728426F1C5A}"/>
    <hyperlink ref="N11" r:id="rId2" display="https://waterdata.usgs.gov/nwis/annual/?referred_module=sw&amp;amp;site_no=09328500&amp;amp;por_09328500_143149=448642,00060,143149,1910,2020&amp;amp;year_type=W&amp;amp;format=html_table&amp;amp;date_format=YYYY-MM-DD&amp;amp;rdb_compression=file&amp;amp;submitted_form=parameter_selection_list" xr:uid="{C6C797B9-F820-42F8-A774-002D12631E92}"/>
  </hyperlinks>
  <pageMargins left="0.7" right="0.7" top="0.75" bottom="0.75" header="0.3" footer="0.3"/>
  <pageSetup orientation="portrait" horizontalDpi="300" verticalDpi="300"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B701D-04F4-4A7C-9B09-68746AB22DF5}">
  <dimension ref="A1:T69"/>
  <sheetViews>
    <sheetView zoomScaleNormal="100" workbookViewId="0">
      <selection activeCell="A2" sqref="A2"/>
    </sheetView>
  </sheetViews>
  <sheetFormatPr defaultColWidth="8.81640625" defaultRowHeight="14.5"/>
  <cols>
    <col min="4" max="4" width="13.453125" bestFit="1" customWidth="1"/>
    <col min="5" max="5" width="12.453125" bestFit="1" customWidth="1"/>
    <col min="6" max="6" width="21.36328125" customWidth="1"/>
    <col min="13" max="13" width="14.81640625" bestFit="1" customWidth="1"/>
    <col min="16" max="16" width="14.08984375" bestFit="1" customWidth="1"/>
    <col min="18" max="18" width="28" bestFit="1" customWidth="1"/>
    <col min="19" max="19" width="22.453125" customWidth="1"/>
    <col min="20" max="20" width="29" customWidth="1"/>
  </cols>
  <sheetData>
    <row r="1" spans="1:20" ht="16.5">
      <c r="A1" s="111" t="s">
        <v>339</v>
      </c>
    </row>
    <row r="2" spans="1:20">
      <c r="A2" s="44" t="s">
        <v>340</v>
      </c>
    </row>
    <row r="3" spans="1:20">
      <c r="B3" s="110" t="s">
        <v>250</v>
      </c>
    </row>
    <row r="4" spans="1:20">
      <c r="B4" s="138" t="s">
        <v>210</v>
      </c>
      <c r="C4" s="139" t="s">
        <v>211</v>
      </c>
      <c r="D4" s="138" t="s">
        <v>50</v>
      </c>
      <c r="E4" s="139" t="s">
        <v>212</v>
      </c>
      <c r="F4" s="138" t="s">
        <v>52</v>
      </c>
      <c r="G4" s="139" t="s">
        <v>53</v>
      </c>
      <c r="H4" s="138" t="s">
        <v>54</v>
      </c>
      <c r="I4" s="139" t="s">
        <v>213</v>
      </c>
      <c r="J4" s="138" t="s">
        <v>214</v>
      </c>
      <c r="K4" s="139" t="s">
        <v>215</v>
      </c>
      <c r="L4" s="138" t="s">
        <v>216</v>
      </c>
      <c r="M4" s="139" t="s">
        <v>217</v>
      </c>
    </row>
    <row r="5" spans="1:20">
      <c r="A5" s="107">
        <v>2015</v>
      </c>
      <c r="B5" s="106">
        <v>3450</v>
      </c>
      <c r="C5" s="106">
        <v>3741</v>
      </c>
      <c r="D5" s="106">
        <v>3715</v>
      </c>
      <c r="E5" s="106">
        <v>4411</v>
      </c>
      <c r="F5" s="106">
        <v>10480</v>
      </c>
      <c r="G5" s="106">
        <v>10940</v>
      </c>
      <c r="H5" s="106">
        <v>3931</v>
      </c>
      <c r="I5" s="106">
        <v>2347</v>
      </c>
      <c r="J5" s="106">
        <v>2260</v>
      </c>
      <c r="K5" s="106">
        <v>3205</v>
      </c>
      <c r="L5" s="106">
        <v>3604</v>
      </c>
      <c r="M5" s="106">
        <v>3108</v>
      </c>
    </row>
    <row r="6" spans="1:20">
      <c r="A6" s="107">
        <v>2016</v>
      </c>
      <c r="B6" s="106">
        <v>3268</v>
      </c>
      <c r="C6" s="106">
        <v>3930</v>
      </c>
      <c r="D6" s="106">
        <v>3234</v>
      </c>
      <c r="E6" s="106">
        <v>4932</v>
      </c>
      <c r="F6" s="106">
        <v>12380</v>
      </c>
      <c r="G6" s="106">
        <v>18330</v>
      </c>
      <c r="H6" s="106">
        <v>5041</v>
      </c>
      <c r="I6" s="106">
        <v>2189</v>
      </c>
      <c r="J6" s="106">
        <v>2989</v>
      </c>
      <c r="K6" s="106">
        <v>2885</v>
      </c>
      <c r="L6" s="106">
        <v>2702</v>
      </c>
      <c r="M6" s="106">
        <v>2768</v>
      </c>
    </row>
    <row r="7" spans="1:20">
      <c r="A7" s="107">
        <v>2017</v>
      </c>
      <c r="B7" s="106">
        <v>3044</v>
      </c>
      <c r="C7" s="106">
        <v>5006</v>
      </c>
      <c r="D7" s="106">
        <v>7260</v>
      </c>
      <c r="E7" s="106">
        <v>13940</v>
      </c>
      <c r="F7" s="106">
        <v>17040</v>
      </c>
      <c r="G7" s="106">
        <v>18420</v>
      </c>
      <c r="H7" s="106">
        <v>6596</v>
      </c>
      <c r="I7" s="106">
        <v>3211</v>
      </c>
      <c r="J7" s="106">
        <v>2776</v>
      </c>
      <c r="K7" s="106">
        <v>3248</v>
      </c>
      <c r="L7" s="106">
        <v>3402</v>
      </c>
      <c r="M7" s="106">
        <v>3965</v>
      </c>
    </row>
    <row r="8" spans="1:20">
      <c r="A8" s="107">
        <v>2018</v>
      </c>
      <c r="B8" s="106">
        <v>3922</v>
      </c>
      <c r="C8" s="106">
        <v>4069</v>
      </c>
      <c r="D8" s="106">
        <v>3548</v>
      </c>
      <c r="E8" s="106">
        <v>4311</v>
      </c>
      <c r="F8" s="106">
        <v>9203</v>
      </c>
      <c r="G8" s="106">
        <v>5586</v>
      </c>
      <c r="H8" s="106">
        <v>2268</v>
      </c>
      <c r="I8" s="106">
        <v>2101</v>
      </c>
      <c r="J8" s="106">
        <v>1975</v>
      </c>
      <c r="K8" s="106">
        <v>2807</v>
      </c>
      <c r="L8" s="106">
        <v>2494</v>
      </c>
      <c r="M8" s="106">
        <v>2875</v>
      </c>
    </row>
    <row r="9" spans="1:20">
      <c r="A9" s="107">
        <v>2019</v>
      </c>
      <c r="B9" s="106">
        <v>2934</v>
      </c>
      <c r="C9" s="106">
        <v>2961</v>
      </c>
      <c r="D9" s="106">
        <v>3425</v>
      </c>
      <c r="E9" s="106">
        <v>5740</v>
      </c>
      <c r="F9" s="106">
        <v>11870</v>
      </c>
      <c r="G9" s="106">
        <v>22240</v>
      </c>
      <c r="H9" s="106">
        <v>9952</v>
      </c>
      <c r="I9" s="106">
        <v>3095</v>
      </c>
      <c r="J9" s="106">
        <v>2690</v>
      </c>
      <c r="K9" s="106">
        <v>2589</v>
      </c>
      <c r="L9" s="106">
        <v>2639</v>
      </c>
      <c r="M9" s="106">
        <v>3266</v>
      </c>
    </row>
    <row r="10" spans="1:20">
      <c r="A10" s="107">
        <v>2020</v>
      </c>
      <c r="B10" s="106">
        <v>3114</v>
      </c>
      <c r="C10" s="106">
        <v>3662</v>
      </c>
      <c r="D10" s="106">
        <v>4516</v>
      </c>
      <c r="E10" s="151"/>
      <c r="F10" s="151"/>
      <c r="G10" s="151"/>
      <c r="H10" s="151"/>
      <c r="I10" s="151"/>
      <c r="J10" s="151"/>
      <c r="K10" s="151"/>
      <c r="L10" s="151"/>
      <c r="M10" s="140"/>
    </row>
    <row r="11" spans="1:20">
      <c r="A11" s="141"/>
      <c r="B11" s="154"/>
      <c r="C11" s="154"/>
      <c r="D11" s="154"/>
      <c r="E11" s="145"/>
      <c r="F11" s="145"/>
      <c r="G11" s="145"/>
      <c r="H11" s="145"/>
      <c r="I11" s="145"/>
      <c r="J11" s="145"/>
      <c r="K11" s="145"/>
      <c r="L11" s="145"/>
      <c r="M11" s="145"/>
      <c r="N11" s="44" t="s">
        <v>341</v>
      </c>
    </row>
    <row r="12" spans="1:20" ht="29">
      <c r="A12" s="141"/>
      <c r="B12" s="1" t="s">
        <v>248</v>
      </c>
      <c r="C12" s="1" t="s">
        <v>247</v>
      </c>
      <c r="D12" s="1" t="s">
        <v>246</v>
      </c>
      <c r="E12" s="142" t="s">
        <v>245</v>
      </c>
      <c r="F12" s="2" t="s">
        <v>342</v>
      </c>
      <c r="G12" s="145"/>
      <c r="H12" s="145"/>
      <c r="I12" s="143" t="s">
        <v>320</v>
      </c>
      <c r="J12" s="145" t="s">
        <v>321</v>
      </c>
      <c r="K12" s="145"/>
      <c r="L12" s="145"/>
      <c r="M12" s="145" t="s">
        <v>322</v>
      </c>
      <c r="N12" s="143" t="s">
        <v>248</v>
      </c>
      <c r="O12" s="143" t="s">
        <v>247</v>
      </c>
      <c r="P12" s="145" t="s">
        <v>323</v>
      </c>
      <c r="Q12" s="145" t="s">
        <v>246</v>
      </c>
      <c r="R12" s="145" t="s">
        <v>324</v>
      </c>
      <c r="S12" s="2" t="s">
        <v>342</v>
      </c>
      <c r="T12" s="2" t="s">
        <v>343</v>
      </c>
    </row>
    <row r="13" spans="1:20">
      <c r="A13" s="80">
        <v>5783</v>
      </c>
      <c r="B13" s="65">
        <v>3205</v>
      </c>
      <c r="C13" s="83">
        <v>31</v>
      </c>
      <c r="D13" s="65">
        <f>B13*C13*86400</f>
        <v>8584272000</v>
      </c>
      <c r="E13" s="40">
        <f>D13/43560</f>
        <v>197067.76859504133</v>
      </c>
      <c r="F13" s="65">
        <f>E13-'[1]09315000 '!E13</f>
        <v>2582.479338842968</v>
      </c>
      <c r="G13" s="104">
        <f>F13/E13</f>
        <v>1.3104524180967202E-2</v>
      </c>
      <c r="I13" s="1">
        <v>2016</v>
      </c>
      <c r="J13" s="146">
        <f>SUM(E13:E24)/1000000</f>
        <v>3.9962876033057859</v>
      </c>
      <c r="M13" s="147">
        <v>2016</v>
      </c>
      <c r="N13" s="148">
        <v>5505</v>
      </c>
      <c r="O13" s="1">
        <v>366</v>
      </c>
      <c r="P13" s="1">
        <v>86400</v>
      </c>
      <c r="Q13">
        <f>N13*O13*P13</f>
        <v>174081312000</v>
      </c>
      <c r="R13" s="86">
        <f>Q13/43560/1000000</f>
        <v>3.9963570247933884</v>
      </c>
      <c r="S13" s="86">
        <f>R13-'[1]09315000 '!R13</f>
        <v>1.887471074380187E-2</v>
      </c>
      <c r="T13" s="86">
        <f>R13-'[1]09315000 '!R13-'[1]09328500 '!R13</f>
        <v>-1.0453685950413006E-2</v>
      </c>
    </row>
    <row r="14" spans="1:20">
      <c r="A14" s="80">
        <v>5813</v>
      </c>
      <c r="B14" s="65">
        <v>3604</v>
      </c>
      <c r="C14" s="83">
        <v>30</v>
      </c>
      <c r="D14" s="65">
        <f t="shared" ref="D14:D60" si="0">B14*C14*86400</f>
        <v>9341568000</v>
      </c>
      <c r="E14" s="40">
        <f t="shared" ref="E14:E62" si="1">D14/43560</f>
        <v>214452.89256198346</v>
      </c>
      <c r="F14" s="65">
        <f>E14-'[1]09315000 '!E14</f>
        <v>952.06611570247333</v>
      </c>
      <c r="G14" s="104">
        <f t="shared" ref="G14:G62" si="2">F14/E14</f>
        <v>4.4395116537180633E-3</v>
      </c>
      <c r="I14" s="1">
        <v>2017</v>
      </c>
      <c r="J14" s="146">
        <f>SUM(E25:E36)/1000000</f>
        <v>5.161451900826445</v>
      </c>
      <c r="M14" s="147">
        <v>2017</v>
      </c>
      <c r="N14" s="147">
        <v>7129</v>
      </c>
      <c r="O14" s="1">
        <v>365</v>
      </c>
      <c r="P14" s="1">
        <v>86400</v>
      </c>
      <c r="Q14">
        <f t="shared" ref="Q14:Q16" si="3">N14*O14*P14</f>
        <v>224820144000</v>
      </c>
      <c r="R14" s="86">
        <f t="shared" ref="R14:R16" si="4">Q14/43560/1000000</f>
        <v>5.1611603305785128</v>
      </c>
      <c r="S14" s="86">
        <f>R14-'[1]09315000 '!R14</f>
        <v>8.7600000000000122E-2</v>
      </c>
      <c r="T14" s="86">
        <f>R14-'[1]09315000 '!R14-'[1]09328500 '!R14</f>
        <v>-8.1808264462808755E-3</v>
      </c>
    </row>
    <row r="15" spans="1:20">
      <c r="A15" s="80">
        <v>5844</v>
      </c>
      <c r="B15" s="65">
        <v>3108</v>
      </c>
      <c r="C15" s="83">
        <v>31</v>
      </c>
      <c r="D15" s="65">
        <f t="shared" si="0"/>
        <v>8324467200</v>
      </c>
      <c r="E15" s="40">
        <f t="shared" si="1"/>
        <v>191103.47107438016</v>
      </c>
      <c r="F15" s="65">
        <f>E15-'[1]09315000 '!E15</f>
        <v>9530.5785123966925</v>
      </c>
      <c r="G15" s="104">
        <f t="shared" si="2"/>
        <v>4.9871299871299866E-2</v>
      </c>
      <c r="I15" s="1">
        <v>2018</v>
      </c>
      <c r="J15" s="146">
        <f>SUM(E37:E48)/1000000</f>
        <v>2.872179173553719</v>
      </c>
      <c r="M15" s="147">
        <v>2018</v>
      </c>
      <c r="N15" s="147">
        <v>3967</v>
      </c>
      <c r="O15" s="1">
        <v>365</v>
      </c>
      <c r="P15" s="1">
        <v>86400</v>
      </c>
      <c r="Q15">
        <f t="shared" si="3"/>
        <v>125103312000</v>
      </c>
      <c r="R15" s="86">
        <f t="shared" si="4"/>
        <v>2.871976859504132</v>
      </c>
      <c r="S15" s="86">
        <f>R15-'[1]09315000 '!R15</f>
        <v>-6.8776859504132482E-2</v>
      </c>
      <c r="T15" s="86">
        <f>R15-'[1]09315000 '!R15-'[1]09328500 '!R15</f>
        <v>-8.2170247933884541E-2</v>
      </c>
    </row>
    <row r="16" spans="1:20">
      <c r="A16" s="80">
        <v>5875</v>
      </c>
      <c r="B16" s="65">
        <v>3268</v>
      </c>
      <c r="C16" s="83">
        <v>31</v>
      </c>
      <c r="D16" s="65">
        <f t="shared" si="0"/>
        <v>8753011200</v>
      </c>
      <c r="E16" s="40">
        <f t="shared" si="1"/>
        <v>200941.48760330578</v>
      </c>
      <c r="F16" s="65">
        <f>E16-'[1]09315000 '!E16</f>
        <v>7562.9752066115616</v>
      </c>
      <c r="G16" s="104">
        <f t="shared" si="2"/>
        <v>3.7637698898408768E-2</v>
      </c>
      <c r="I16" s="1">
        <v>2019</v>
      </c>
      <c r="J16" s="146">
        <f>SUM(E49:E60)/1000000</f>
        <v>4.4102995041322313</v>
      </c>
      <c r="M16" s="147">
        <v>2019</v>
      </c>
      <c r="N16" s="147">
        <v>6092</v>
      </c>
      <c r="O16" s="1">
        <v>365</v>
      </c>
      <c r="P16" s="1">
        <v>86400</v>
      </c>
      <c r="Q16">
        <f t="shared" si="3"/>
        <v>192117312000</v>
      </c>
      <c r="R16" s="86">
        <f t="shared" si="4"/>
        <v>4.4104066115702487</v>
      </c>
      <c r="S16" s="86">
        <f>R16-'[1]09315000 '!R16</f>
        <v>0.10569917355371938</v>
      </c>
      <c r="T16" s="86">
        <f>R16-'[1]09315000 '!R16-'[1]09328500 '!R16</f>
        <v>-2.1139834710743405E-2</v>
      </c>
    </row>
    <row r="17" spans="1:20">
      <c r="A17" s="80">
        <v>5904</v>
      </c>
      <c r="B17" s="65">
        <v>3930</v>
      </c>
      <c r="C17" s="83">
        <v>29</v>
      </c>
      <c r="D17" s="65">
        <f t="shared" si="0"/>
        <v>9847008000</v>
      </c>
      <c r="E17" s="40">
        <f t="shared" si="1"/>
        <v>226056.19834710745</v>
      </c>
      <c r="F17" s="65">
        <f>E17-'[1]09315000 '!E17</f>
        <v>1150.4132231404947</v>
      </c>
      <c r="G17" s="104">
        <f t="shared" si="2"/>
        <v>5.0890585241730223E-3</v>
      </c>
      <c r="I17" t="s">
        <v>325</v>
      </c>
      <c r="J17" s="86">
        <f>AVERAGE(J13:J16)</f>
        <v>4.1100545454545454</v>
      </c>
      <c r="M17" t="s">
        <v>325</v>
      </c>
      <c r="R17" s="86">
        <f>AVERAGE(R13:R16)</f>
        <v>4.1099752066115709</v>
      </c>
      <c r="S17" s="86">
        <f>R17-'[1]09315000 '!R17</f>
        <v>3.5849256198347668E-2</v>
      </c>
      <c r="T17" s="86">
        <f>R17-'[1]09315000 '!R17-'[1]09328500 '!R17</f>
        <v>-3.0486148760330012E-2</v>
      </c>
    </row>
    <row r="18" spans="1:20">
      <c r="A18" s="80">
        <v>5935</v>
      </c>
      <c r="B18" s="65">
        <v>3234</v>
      </c>
      <c r="C18" s="83">
        <v>31</v>
      </c>
      <c r="D18" s="65">
        <f t="shared" si="0"/>
        <v>8661945600</v>
      </c>
      <c r="E18" s="40">
        <f t="shared" si="1"/>
        <v>198850.90909090909</v>
      </c>
      <c r="F18" s="65">
        <f>E18-'[1]09315000 '!E18</f>
        <v>18753.719008264452</v>
      </c>
      <c r="G18" s="104">
        <f t="shared" si="2"/>
        <v>9.4310451453308547E-2</v>
      </c>
    </row>
    <row r="19" spans="1:20">
      <c r="A19" s="80">
        <v>5965</v>
      </c>
      <c r="B19" s="65">
        <v>4932</v>
      </c>
      <c r="C19" s="83">
        <v>30</v>
      </c>
      <c r="D19" s="65">
        <f t="shared" si="0"/>
        <v>12783744000</v>
      </c>
      <c r="E19" s="40">
        <f t="shared" si="1"/>
        <v>293474.38016528927</v>
      </c>
      <c r="F19" s="65">
        <f>E19-'[1]09315000 '!E19</f>
        <v>-6307.438016528904</v>
      </c>
      <c r="G19" s="104">
        <f t="shared" si="2"/>
        <v>-2.1492295214922876E-2</v>
      </c>
    </row>
    <row r="20" spans="1:20">
      <c r="A20" s="80">
        <v>5996</v>
      </c>
      <c r="B20" s="65">
        <v>12380</v>
      </c>
      <c r="C20" s="83">
        <v>31</v>
      </c>
      <c r="D20" s="65">
        <f t="shared" si="0"/>
        <v>33158592000</v>
      </c>
      <c r="E20" s="40">
        <f t="shared" si="1"/>
        <v>761216.52892561979</v>
      </c>
      <c r="F20" s="65">
        <f>E20-'[1]09315000 '!E20</f>
        <v>-15371.900826446363</v>
      </c>
      <c r="G20" s="104">
        <f t="shared" si="2"/>
        <v>-2.0193861066235972E-2</v>
      </c>
    </row>
    <row r="21" spans="1:20">
      <c r="A21" s="80">
        <v>6026</v>
      </c>
      <c r="B21" s="65">
        <v>18330</v>
      </c>
      <c r="C21" s="83">
        <v>30</v>
      </c>
      <c r="D21" s="65">
        <f t="shared" si="0"/>
        <v>47511360000</v>
      </c>
      <c r="E21" s="40">
        <f t="shared" si="1"/>
        <v>1090710.7438016529</v>
      </c>
      <c r="F21" s="65">
        <f>E21-'[1]09315000 '!E21</f>
        <v>4760.3305785125121</v>
      </c>
      <c r="G21" s="104">
        <f t="shared" si="2"/>
        <v>4.3644298963448954E-3</v>
      </c>
    </row>
    <row r="22" spans="1:20">
      <c r="A22" s="80">
        <v>6057</v>
      </c>
      <c r="B22" s="65">
        <v>5041</v>
      </c>
      <c r="C22" s="83">
        <v>31</v>
      </c>
      <c r="D22" s="65">
        <f t="shared" si="0"/>
        <v>13501814400</v>
      </c>
      <c r="E22" s="40">
        <f t="shared" si="1"/>
        <v>309959.00826446281</v>
      </c>
      <c r="F22" s="65">
        <f>E22-'[1]09315000 '!E22</f>
        <v>5349.4214876033366</v>
      </c>
      <c r="G22" s="104">
        <f t="shared" si="2"/>
        <v>1.7258480460226246E-2</v>
      </c>
    </row>
    <row r="23" spans="1:20">
      <c r="A23" s="80">
        <v>6088</v>
      </c>
      <c r="B23" s="65">
        <v>2189</v>
      </c>
      <c r="C23" s="83">
        <v>31</v>
      </c>
      <c r="D23" s="65">
        <f t="shared" si="0"/>
        <v>5863017600</v>
      </c>
      <c r="E23" s="40">
        <f t="shared" si="1"/>
        <v>134596.36363636365</v>
      </c>
      <c r="F23" s="65">
        <f>E23-'[1]09315000 '!E23</f>
        <v>-3320.3305785123957</v>
      </c>
      <c r="G23" s="104">
        <f t="shared" si="2"/>
        <v>-2.4668798538145263E-2</v>
      </c>
    </row>
    <row r="24" spans="1:20">
      <c r="A24" s="80">
        <v>6118</v>
      </c>
      <c r="B24" s="65">
        <v>2989</v>
      </c>
      <c r="C24" s="83">
        <v>30</v>
      </c>
      <c r="D24" s="65">
        <f t="shared" si="0"/>
        <v>7747488000</v>
      </c>
      <c r="E24" s="40">
        <f t="shared" si="1"/>
        <v>177857.85123966943</v>
      </c>
      <c r="F24" s="65">
        <f>E24-'[1]09315000 '!E24</f>
        <v>-6069.4214876033075</v>
      </c>
      <c r="G24" s="104">
        <f t="shared" si="2"/>
        <v>-3.4125125460020084E-2</v>
      </c>
    </row>
    <row r="25" spans="1:20">
      <c r="A25" s="80">
        <v>6149</v>
      </c>
      <c r="B25" s="65">
        <v>2885</v>
      </c>
      <c r="C25" s="83">
        <v>31</v>
      </c>
      <c r="D25" s="65">
        <f t="shared" si="0"/>
        <v>7727184000</v>
      </c>
      <c r="E25" s="40">
        <f t="shared" si="1"/>
        <v>177391.73553719008</v>
      </c>
      <c r="F25" s="65">
        <f>E25-'[1]09315000 '!E25</f>
        <v>-2520.9917355371872</v>
      </c>
      <c r="G25" s="104">
        <f t="shared" si="2"/>
        <v>-1.4211438474870001E-2</v>
      </c>
    </row>
    <row r="26" spans="1:20">
      <c r="A26" s="80">
        <v>6179</v>
      </c>
      <c r="B26" s="65">
        <v>2702</v>
      </c>
      <c r="C26" s="83">
        <v>30</v>
      </c>
      <c r="D26" s="65">
        <f t="shared" si="0"/>
        <v>7003584000</v>
      </c>
      <c r="E26" s="40">
        <f t="shared" si="1"/>
        <v>160780.1652892562</v>
      </c>
      <c r="F26" s="65">
        <f>E26-'[1]09315000 '!E26</f>
        <v>-4224.7933884297381</v>
      </c>
      <c r="G26" s="104">
        <f t="shared" si="2"/>
        <v>-2.6276831976313756E-2</v>
      </c>
    </row>
    <row r="27" spans="1:20">
      <c r="A27" s="80">
        <v>6210</v>
      </c>
      <c r="B27" s="65">
        <v>2768</v>
      </c>
      <c r="C27" s="83">
        <v>31</v>
      </c>
      <c r="D27" s="65">
        <f t="shared" si="0"/>
        <v>7413811200</v>
      </c>
      <c r="E27" s="40">
        <f t="shared" si="1"/>
        <v>170197.68595041323</v>
      </c>
      <c r="F27" s="65">
        <f>E27-'[1]09315000 '!E27</f>
        <v>15679.338842975209</v>
      </c>
      <c r="G27" s="104">
        <f t="shared" si="2"/>
        <v>9.2124277456647405E-2</v>
      </c>
    </row>
    <row r="28" spans="1:20">
      <c r="A28" s="80">
        <v>6241</v>
      </c>
      <c r="B28" s="65">
        <v>3044</v>
      </c>
      <c r="C28" s="83">
        <v>31</v>
      </c>
      <c r="D28" s="65">
        <f t="shared" si="0"/>
        <v>8153049600</v>
      </c>
      <c r="E28" s="40">
        <f t="shared" si="1"/>
        <v>187168.26446280992</v>
      </c>
      <c r="F28" s="65">
        <f>E28-'[1]09315000 '!E28</f>
        <v>12481.983471074374</v>
      </c>
      <c r="G28" s="104">
        <f t="shared" si="2"/>
        <v>6.6688567674112978E-2</v>
      </c>
    </row>
    <row r="29" spans="1:20">
      <c r="A29" s="80">
        <v>6269</v>
      </c>
      <c r="B29" s="65">
        <v>5006</v>
      </c>
      <c r="C29" s="83">
        <v>28</v>
      </c>
      <c r="D29" s="65">
        <f t="shared" si="0"/>
        <v>12110515200</v>
      </c>
      <c r="E29" s="40">
        <f t="shared" si="1"/>
        <v>278019.17355371901</v>
      </c>
      <c r="F29" s="65">
        <f>E29-'[1]09315000 '!E29</f>
        <v>-28046.280991735519</v>
      </c>
      <c r="G29" s="104">
        <f t="shared" si="2"/>
        <v>-0.10087894526568111</v>
      </c>
    </row>
    <row r="30" spans="1:20">
      <c r="A30" s="80">
        <v>6300</v>
      </c>
      <c r="B30" s="65">
        <v>7260</v>
      </c>
      <c r="C30" s="83">
        <v>31</v>
      </c>
      <c r="D30" s="65">
        <f t="shared" si="0"/>
        <v>19445184000</v>
      </c>
      <c r="E30" s="40">
        <f t="shared" si="1"/>
        <v>446400</v>
      </c>
      <c r="F30" s="65">
        <f>E30-'[1]09315000 '!E30</f>
        <v>-35724.297520661145</v>
      </c>
      <c r="G30" s="104">
        <f t="shared" si="2"/>
        <v>-8.0027548209366361E-2</v>
      </c>
    </row>
    <row r="31" spans="1:20">
      <c r="A31" s="80">
        <v>6330</v>
      </c>
      <c r="B31" s="65">
        <v>13940</v>
      </c>
      <c r="C31" s="83">
        <v>30</v>
      </c>
      <c r="D31" s="65">
        <f t="shared" si="0"/>
        <v>36132480000</v>
      </c>
      <c r="E31" s="40">
        <f t="shared" si="1"/>
        <v>829487.6033057851</v>
      </c>
      <c r="F31" s="65">
        <f>E31-'[1]09315000 '!E31</f>
        <v>4760.3305785123957</v>
      </c>
      <c r="G31" s="104">
        <f t="shared" si="2"/>
        <v>5.7388809182209455E-3</v>
      </c>
    </row>
    <row r="32" spans="1:20">
      <c r="A32" s="80">
        <v>6361</v>
      </c>
      <c r="B32" s="65">
        <v>17040</v>
      </c>
      <c r="C32" s="83">
        <v>31</v>
      </c>
      <c r="D32" s="65">
        <f t="shared" si="0"/>
        <v>45639936000</v>
      </c>
      <c r="E32" s="40">
        <f t="shared" si="1"/>
        <v>1047748.7603305785</v>
      </c>
      <c r="F32" s="65">
        <f>E32-'[1]09315000 '!E32</f>
        <v>23980.165289256256</v>
      </c>
      <c r="G32" s="104">
        <f t="shared" si="2"/>
        <v>2.2887323943662025E-2</v>
      </c>
    </row>
    <row r="33" spans="1:7">
      <c r="A33" s="80">
        <v>6391</v>
      </c>
      <c r="B33" s="65">
        <v>18420</v>
      </c>
      <c r="C33" s="83">
        <v>30</v>
      </c>
      <c r="D33" s="65">
        <f t="shared" si="0"/>
        <v>47744640000</v>
      </c>
      <c r="E33" s="40">
        <f t="shared" si="1"/>
        <v>1096066.1157024794</v>
      </c>
      <c r="F33" s="65">
        <f>E33-'[1]09315000 '!E33</f>
        <v>81520.661157024791</v>
      </c>
      <c r="G33" s="104">
        <f t="shared" si="2"/>
        <v>7.4375678610206289E-2</v>
      </c>
    </row>
    <row r="34" spans="1:7">
      <c r="A34" s="80">
        <v>6422</v>
      </c>
      <c r="B34" s="65">
        <v>6596</v>
      </c>
      <c r="C34" s="83">
        <v>31</v>
      </c>
      <c r="D34" s="65">
        <f t="shared" si="0"/>
        <v>17666726400</v>
      </c>
      <c r="E34" s="40">
        <f t="shared" si="1"/>
        <v>405572.2314049587</v>
      </c>
      <c r="F34" s="65">
        <f>E34-'[1]09315000 '!E34</f>
        <v>20659.834710743802</v>
      </c>
      <c r="G34" s="104">
        <f t="shared" si="2"/>
        <v>5.0939963614311703E-2</v>
      </c>
    </row>
    <row r="35" spans="1:7">
      <c r="A35" s="80">
        <v>6453</v>
      </c>
      <c r="B35" s="65">
        <v>3211</v>
      </c>
      <c r="C35" s="83">
        <v>31</v>
      </c>
      <c r="D35" s="65">
        <f t="shared" si="0"/>
        <v>8600342400</v>
      </c>
      <c r="E35" s="40">
        <f t="shared" si="1"/>
        <v>197436.69421487604</v>
      </c>
      <c r="F35" s="65">
        <f>E35-'[1]09315000 '!E35</f>
        <v>1598.6776859504171</v>
      </c>
      <c r="G35" s="104">
        <f t="shared" si="2"/>
        <v>8.0971659919028532E-3</v>
      </c>
    </row>
    <row r="36" spans="1:7">
      <c r="A36" s="80">
        <v>6483</v>
      </c>
      <c r="B36" s="65">
        <v>2776</v>
      </c>
      <c r="C36" s="83">
        <v>30</v>
      </c>
      <c r="D36" s="65">
        <f t="shared" si="0"/>
        <v>7195392000</v>
      </c>
      <c r="E36" s="40">
        <f t="shared" si="1"/>
        <v>165183.47107438016</v>
      </c>
      <c r="F36" s="65">
        <f>E36-'[1]09315000 '!E36</f>
        <v>-1725.6198347107565</v>
      </c>
      <c r="G36" s="104">
        <f t="shared" si="2"/>
        <v>-1.0446685878962613E-2</v>
      </c>
    </row>
    <row r="37" spans="1:7">
      <c r="A37" s="80">
        <v>6514</v>
      </c>
      <c r="B37" s="65">
        <v>3248</v>
      </c>
      <c r="C37" s="83">
        <v>31</v>
      </c>
      <c r="D37" s="65">
        <f t="shared" si="0"/>
        <v>8699443200</v>
      </c>
      <c r="E37" s="40">
        <f t="shared" si="1"/>
        <v>199711.73553719008</v>
      </c>
      <c r="F37" s="65">
        <f>E37-'[1]09315000 '!E37</f>
        <v>-1660.1652892561979</v>
      </c>
      <c r="G37" s="104">
        <f t="shared" si="2"/>
        <v>-8.3128078817733975E-3</v>
      </c>
    </row>
    <row r="38" spans="1:7">
      <c r="A38" s="80">
        <v>6544</v>
      </c>
      <c r="B38" s="65">
        <v>3402</v>
      </c>
      <c r="C38" s="83">
        <v>30</v>
      </c>
      <c r="D38" s="65">
        <f t="shared" si="0"/>
        <v>8817984000</v>
      </c>
      <c r="E38" s="40">
        <f t="shared" si="1"/>
        <v>202433.05785123966</v>
      </c>
      <c r="F38" s="65">
        <f>E38-'[1]09315000 '!E38</f>
        <v>-8390.0826446280989</v>
      </c>
      <c r="G38" s="104">
        <f t="shared" si="2"/>
        <v>-4.1446208112874777E-2</v>
      </c>
    </row>
    <row r="39" spans="1:7">
      <c r="A39" s="80">
        <v>6575</v>
      </c>
      <c r="B39" s="65">
        <v>3965</v>
      </c>
      <c r="C39" s="83">
        <v>31</v>
      </c>
      <c r="D39" s="65">
        <f t="shared" si="0"/>
        <v>10619856000</v>
      </c>
      <c r="E39" s="40">
        <f t="shared" si="1"/>
        <v>243798.34710743802</v>
      </c>
      <c r="F39" s="65">
        <f>E39-'[1]09315000 '!E39</f>
        <v>-553.38842975205625</v>
      </c>
      <c r="G39" s="104">
        <f t="shared" si="2"/>
        <v>-2.2698612862546885E-3</v>
      </c>
    </row>
    <row r="40" spans="1:7">
      <c r="A40" s="80">
        <v>6606</v>
      </c>
      <c r="B40" s="65">
        <v>3922</v>
      </c>
      <c r="C40" s="83">
        <v>31</v>
      </c>
      <c r="D40" s="65">
        <f t="shared" si="0"/>
        <v>10504684800</v>
      </c>
      <c r="E40" s="40">
        <f t="shared" si="1"/>
        <v>241154.38016528924</v>
      </c>
      <c r="F40" s="65">
        <f>E40-'[1]09315000 '!E40</f>
        <v>-3935.2066115702619</v>
      </c>
      <c r="G40" s="104">
        <f t="shared" si="2"/>
        <v>-1.631820499745034E-2</v>
      </c>
    </row>
    <row r="41" spans="1:7">
      <c r="A41" s="80">
        <v>6634</v>
      </c>
      <c r="B41" s="65">
        <v>4069</v>
      </c>
      <c r="C41" s="83">
        <v>28</v>
      </c>
      <c r="D41" s="65">
        <f t="shared" si="0"/>
        <v>9843724800</v>
      </c>
      <c r="E41" s="40">
        <f t="shared" si="1"/>
        <v>225980.82644628099</v>
      </c>
      <c r="F41" s="65">
        <f>E41-'[1]09315000 '!E41</f>
        <v>-9941.1570247933851</v>
      </c>
      <c r="G41" s="104">
        <f t="shared" si="2"/>
        <v>-4.3991152617350683E-2</v>
      </c>
    </row>
    <row r="42" spans="1:7">
      <c r="A42" s="80">
        <v>6665</v>
      </c>
      <c r="B42" s="65">
        <v>3548</v>
      </c>
      <c r="C42" s="83">
        <v>31</v>
      </c>
      <c r="D42" s="65">
        <f t="shared" si="0"/>
        <v>9502963200</v>
      </c>
      <c r="E42" s="40">
        <f t="shared" si="1"/>
        <v>218158.01652892563</v>
      </c>
      <c r="F42" s="65">
        <f>E42-'[1]09315000 '!E42</f>
        <v>-7747.4380165289331</v>
      </c>
      <c r="G42" s="104">
        <f t="shared" si="2"/>
        <v>-3.5512965050732842E-2</v>
      </c>
    </row>
    <row r="43" spans="1:7">
      <c r="A43" s="80">
        <v>6695</v>
      </c>
      <c r="B43" s="65">
        <v>4311</v>
      </c>
      <c r="C43" s="83">
        <v>30</v>
      </c>
      <c r="D43" s="65">
        <f t="shared" si="0"/>
        <v>11174112000</v>
      </c>
      <c r="E43" s="40">
        <f t="shared" si="1"/>
        <v>256522.31404958677</v>
      </c>
      <c r="F43" s="65">
        <f>E43-'[1]09315000 '!E43</f>
        <v>-6545.4545454545296</v>
      </c>
      <c r="G43" s="104">
        <f t="shared" si="2"/>
        <v>-2.5516121549524411E-2</v>
      </c>
    </row>
    <row r="44" spans="1:7">
      <c r="A44" s="80">
        <v>6726</v>
      </c>
      <c r="B44" s="65">
        <v>9203</v>
      </c>
      <c r="C44" s="83">
        <v>31</v>
      </c>
      <c r="D44" s="65">
        <f t="shared" si="0"/>
        <v>24649315200</v>
      </c>
      <c r="E44" s="40">
        <f t="shared" si="1"/>
        <v>565870.41322314052</v>
      </c>
      <c r="F44" s="65">
        <f>E44-'[1]09315000 '!E44</f>
        <v>-18692.231404958642</v>
      </c>
      <c r="G44" s="104">
        <f t="shared" si="2"/>
        <v>-3.3032706726067521E-2</v>
      </c>
    </row>
    <row r="45" spans="1:7">
      <c r="A45" s="80">
        <v>6756</v>
      </c>
      <c r="B45" s="65">
        <v>5586</v>
      </c>
      <c r="C45" s="83">
        <v>30</v>
      </c>
      <c r="D45" s="65">
        <f t="shared" si="0"/>
        <v>14478912000</v>
      </c>
      <c r="E45" s="40">
        <f t="shared" si="1"/>
        <v>332390.08264462813</v>
      </c>
      <c r="F45" s="65">
        <f>E45-'[1]09315000 '!E45</f>
        <v>-12674.380165289214</v>
      </c>
      <c r="G45" s="104">
        <f t="shared" si="2"/>
        <v>-3.8131041890440261E-2</v>
      </c>
    </row>
    <row r="46" spans="1:7">
      <c r="A46" s="80">
        <v>6787</v>
      </c>
      <c r="B46" s="65">
        <v>2268</v>
      </c>
      <c r="C46" s="83">
        <v>31</v>
      </c>
      <c r="D46" s="65">
        <f t="shared" si="0"/>
        <v>6074611200</v>
      </c>
      <c r="E46" s="40">
        <f t="shared" si="1"/>
        <v>139453.88429752065</v>
      </c>
      <c r="F46" s="65">
        <f>E46-'[1]09315000 '!E46</f>
        <v>1414.2148760330456</v>
      </c>
      <c r="G46" s="104">
        <f t="shared" si="2"/>
        <v>1.014109347442672E-2</v>
      </c>
    </row>
    <row r="47" spans="1:7">
      <c r="A47" s="80">
        <v>6818</v>
      </c>
      <c r="B47" s="65">
        <v>2101</v>
      </c>
      <c r="C47" s="83">
        <v>31</v>
      </c>
      <c r="D47" s="65">
        <f t="shared" si="0"/>
        <v>5627318400</v>
      </c>
      <c r="E47" s="40">
        <f t="shared" si="1"/>
        <v>129185.45454545454</v>
      </c>
      <c r="F47" s="65">
        <f>E47-'[1]09315000 '!E47</f>
        <v>1906.1157024793356</v>
      </c>
      <c r="G47" s="104">
        <f t="shared" si="2"/>
        <v>1.4754878629224154E-2</v>
      </c>
    </row>
    <row r="48" spans="1:7">
      <c r="A48" s="80">
        <v>6848</v>
      </c>
      <c r="B48" s="65">
        <v>1975</v>
      </c>
      <c r="C48" s="83">
        <v>30</v>
      </c>
      <c r="D48" s="65">
        <f t="shared" si="0"/>
        <v>5119200000</v>
      </c>
      <c r="E48" s="40">
        <f t="shared" si="1"/>
        <v>117520.66115702479</v>
      </c>
      <c r="F48" s="65">
        <f>E48-'[1]09315000 '!E48</f>
        <v>-1725.619834710742</v>
      </c>
      <c r="G48" s="104">
        <f t="shared" si="2"/>
        <v>-1.4683544303797454E-2</v>
      </c>
    </row>
    <row r="49" spans="1:7">
      <c r="A49" s="80">
        <v>6879</v>
      </c>
      <c r="B49" s="65">
        <v>2807</v>
      </c>
      <c r="C49" s="83">
        <v>31</v>
      </c>
      <c r="D49" s="65">
        <f t="shared" si="0"/>
        <v>7518268800</v>
      </c>
      <c r="E49" s="40">
        <f t="shared" si="1"/>
        <v>172595.70247933886</v>
      </c>
      <c r="F49" s="65">
        <f>E49-'[1]09315000 '!E49</f>
        <v>4980.4958677685936</v>
      </c>
      <c r="G49" s="104">
        <f t="shared" si="2"/>
        <v>2.8856430352689692E-2</v>
      </c>
    </row>
    <row r="50" spans="1:7">
      <c r="A50" s="80">
        <v>6909</v>
      </c>
      <c r="B50" s="65">
        <v>2494</v>
      </c>
      <c r="C50" s="83">
        <v>30</v>
      </c>
      <c r="D50" s="65">
        <f t="shared" si="0"/>
        <v>6464448000</v>
      </c>
      <c r="E50" s="40">
        <f t="shared" si="1"/>
        <v>148403.30578512396</v>
      </c>
      <c r="F50" s="65">
        <f>E50-'[1]09315000 '!E50</f>
        <v>7914.0495867768477</v>
      </c>
      <c r="G50" s="104">
        <f t="shared" si="2"/>
        <v>5.3327987169206018E-2</v>
      </c>
    </row>
    <row r="51" spans="1:7">
      <c r="A51" s="80">
        <v>6940</v>
      </c>
      <c r="B51" s="65">
        <v>2875</v>
      </c>
      <c r="C51" s="83">
        <v>31</v>
      </c>
      <c r="D51" s="65">
        <f t="shared" si="0"/>
        <v>7700400000</v>
      </c>
      <c r="E51" s="40">
        <f t="shared" si="1"/>
        <v>176776.85950413224</v>
      </c>
      <c r="F51" s="65">
        <f>E51-'[1]09315000 '!E51</f>
        <v>12789.421487603307</v>
      </c>
      <c r="G51" s="104">
        <f t="shared" si="2"/>
        <v>7.2347826086956529E-2</v>
      </c>
    </row>
    <row r="52" spans="1:7">
      <c r="A52" s="80">
        <v>6971</v>
      </c>
      <c r="B52" s="65">
        <v>2934</v>
      </c>
      <c r="C52" s="83">
        <v>31</v>
      </c>
      <c r="D52" s="65">
        <f t="shared" si="0"/>
        <v>7858425600</v>
      </c>
      <c r="E52" s="40">
        <f t="shared" si="1"/>
        <v>180404.62809917354</v>
      </c>
      <c r="F52" s="65">
        <f>E52-'[1]09315000 '!E52</f>
        <v>10821.818181818177</v>
      </c>
      <c r="G52" s="104">
        <f t="shared" si="2"/>
        <v>5.9986366734832965E-2</v>
      </c>
    </row>
    <row r="53" spans="1:7">
      <c r="A53" s="80">
        <v>6999</v>
      </c>
      <c r="B53" s="65">
        <v>2961</v>
      </c>
      <c r="C53" s="83">
        <v>28</v>
      </c>
      <c r="D53" s="65">
        <f t="shared" si="0"/>
        <v>7163251200</v>
      </c>
      <c r="E53" s="40">
        <f t="shared" si="1"/>
        <v>164445.61983471076</v>
      </c>
      <c r="F53" s="65">
        <f>E53-'[1]09315000 '!E53</f>
        <v>4109.7520661157032</v>
      </c>
      <c r="G53" s="104">
        <f t="shared" si="2"/>
        <v>2.4991556906450527E-2</v>
      </c>
    </row>
    <row r="54" spans="1:7">
      <c r="A54" s="80">
        <v>7030</v>
      </c>
      <c r="B54" s="65">
        <v>3425</v>
      </c>
      <c r="C54" s="83">
        <v>31</v>
      </c>
      <c r="D54" s="65">
        <f t="shared" si="0"/>
        <v>9173520000</v>
      </c>
      <c r="E54" s="40">
        <f t="shared" si="1"/>
        <v>210595.04132231406</v>
      </c>
      <c r="F54" s="65">
        <f>E54-'[1]09315000 '!E54</f>
        <v>122.97520661159069</v>
      </c>
      <c r="G54" s="104">
        <f t="shared" si="2"/>
        <v>5.8394160583951314E-4</v>
      </c>
    </row>
    <row r="55" spans="1:7">
      <c r="A55" s="80">
        <v>7060</v>
      </c>
      <c r="B55" s="65">
        <v>5740</v>
      </c>
      <c r="C55" s="83">
        <v>30</v>
      </c>
      <c r="D55" s="65">
        <f t="shared" si="0"/>
        <v>14878080000</v>
      </c>
      <c r="E55" s="40">
        <f t="shared" si="1"/>
        <v>341553.71900826448</v>
      </c>
      <c r="F55" s="65">
        <f>E55-'[1]09315000 '!E55</f>
        <v>-15887.603305785102</v>
      </c>
      <c r="G55" s="104">
        <f t="shared" si="2"/>
        <v>-4.6515679442508645E-2</v>
      </c>
    </row>
    <row r="56" spans="1:7">
      <c r="A56" s="80">
        <v>7091</v>
      </c>
      <c r="B56" s="65">
        <v>11870</v>
      </c>
      <c r="C56" s="83">
        <v>31</v>
      </c>
      <c r="D56" s="65">
        <f t="shared" si="0"/>
        <v>31792608000</v>
      </c>
      <c r="E56" s="40">
        <f t="shared" si="1"/>
        <v>729857.85123966937</v>
      </c>
      <c r="F56" s="65">
        <f>E56-'[1]09315000 '!E56</f>
        <v>17216.528925619787</v>
      </c>
      <c r="G56" s="104">
        <f t="shared" si="2"/>
        <v>2.3588879528222344E-2</v>
      </c>
    </row>
    <row r="57" spans="1:7">
      <c r="A57" s="80">
        <v>7121</v>
      </c>
      <c r="B57" s="65">
        <v>22240</v>
      </c>
      <c r="C57" s="83">
        <v>30</v>
      </c>
      <c r="D57" s="65">
        <f t="shared" si="0"/>
        <v>57646080000</v>
      </c>
      <c r="E57" s="40">
        <f t="shared" si="1"/>
        <v>1323371.9008264462</v>
      </c>
      <c r="F57" s="65">
        <f>E57-'[1]09315000 '!E57</f>
        <v>18446.280991735402</v>
      </c>
      <c r="G57" s="104">
        <f t="shared" si="2"/>
        <v>1.3938848920863207E-2</v>
      </c>
    </row>
    <row r="58" spans="1:7">
      <c r="A58" s="80">
        <v>7152</v>
      </c>
      <c r="B58" s="65">
        <v>9952</v>
      </c>
      <c r="C58" s="83">
        <v>31</v>
      </c>
      <c r="D58" s="65">
        <f t="shared" si="0"/>
        <v>26655436800</v>
      </c>
      <c r="E58" s="40">
        <f t="shared" si="1"/>
        <v>611924.62809917354</v>
      </c>
      <c r="F58" s="65">
        <f>E58-'[1]09315000 '!E58</f>
        <v>37261.487603305723</v>
      </c>
      <c r="G58" s="104">
        <f t="shared" si="2"/>
        <v>6.0892282958199255E-2</v>
      </c>
    </row>
    <row r="59" spans="1:7">
      <c r="A59" s="80">
        <v>7183</v>
      </c>
      <c r="B59" s="65">
        <v>3095</v>
      </c>
      <c r="C59" s="83">
        <v>31</v>
      </c>
      <c r="D59" s="65">
        <f t="shared" si="0"/>
        <v>8289648000</v>
      </c>
      <c r="E59" s="40">
        <f t="shared" si="1"/>
        <v>190304.13223140495</v>
      </c>
      <c r="F59" s="65">
        <f>E59-'[1]09315000 '!E59</f>
        <v>7194.0495867768477</v>
      </c>
      <c r="G59" s="104">
        <f t="shared" si="2"/>
        <v>3.7802907915993479E-2</v>
      </c>
    </row>
    <row r="60" spans="1:7">
      <c r="A60" s="80">
        <v>7213</v>
      </c>
      <c r="B60" s="65">
        <v>2690</v>
      </c>
      <c r="C60" s="83">
        <v>30</v>
      </c>
      <c r="D60" s="65">
        <f t="shared" si="0"/>
        <v>6972480000</v>
      </c>
      <c r="E60" s="40">
        <f t="shared" si="1"/>
        <v>160066.11570247935</v>
      </c>
      <c r="F60" s="65">
        <f>E60-'[1]09315000 '!E60</f>
        <v>297.52066115703201</v>
      </c>
      <c r="G60" s="104">
        <f t="shared" si="2"/>
        <v>1.8587360594795989E-3</v>
      </c>
    </row>
    <row r="61" spans="1:7">
      <c r="C61" s="83"/>
      <c r="E61" s="40">
        <f t="shared" si="1"/>
        <v>0</v>
      </c>
      <c r="F61" s="65">
        <f>SUM(F13:F60)</f>
        <v>144733.88429752065</v>
      </c>
      <c r="G61" s="104" t="e">
        <f t="shared" si="2"/>
        <v>#DIV/0!</v>
      </c>
    </row>
    <row r="62" spans="1:7">
      <c r="C62" s="83"/>
      <c r="E62" s="40">
        <f t="shared" si="1"/>
        <v>0</v>
      </c>
      <c r="F62" s="1">
        <f>F61/4</f>
        <v>36183.471074380162</v>
      </c>
      <c r="G62" s="104" t="e">
        <f t="shared" si="2"/>
        <v>#DIV/0!</v>
      </c>
    </row>
    <row r="63" spans="1:7">
      <c r="C63" s="83"/>
    </row>
    <row r="64" spans="1:7">
      <c r="C64" s="83"/>
    </row>
    <row r="65" spans="2:5">
      <c r="B65">
        <v>9074</v>
      </c>
      <c r="C65" s="83">
        <v>31</v>
      </c>
      <c r="D65" s="65">
        <f t="shared" ref="D65:D67" si="5">B65*C65*86400</f>
        <v>24303801600</v>
      </c>
      <c r="E65" s="40">
        <f t="shared" ref="E65:E67" si="6">D65*0.0000229569</f>
        <v>557939.94295103999</v>
      </c>
    </row>
    <row r="66" spans="2:5">
      <c r="B66">
        <v>9899</v>
      </c>
      <c r="C66" s="83">
        <v>30</v>
      </c>
      <c r="D66" s="65">
        <f t="shared" si="5"/>
        <v>25658208000</v>
      </c>
      <c r="E66" s="40">
        <f t="shared" si="6"/>
        <v>589032.91523519997</v>
      </c>
    </row>
    <row r="67" spans="2:5">
      <c r="B67">
        <v>10486</v>
      </c>
      <c r="C67" s="83">
        <v>31</v>
      </c>
      <c r="D67" s="65">
        <f t="shared" si="5"/>
        <v>28085702400</v>
      </c>
      <c r="E67" s="40">
        <f t="shared" si="6"/>
        <v>644760.66142656002</v>
      </c>
    </row>
    <row r="68" spans="2:5">
      <c r="C68" s="83"/>
    </row>
    <row r="69" spans="2:5">
      <c r="C69" s="83"/>
    </row>
  </sheetData>
  <hyperlinks>
    <hyperlink ref="A2" r:id="rId1" display="https://waterdata.usgs.gov/ut/nwis/monthly/?referred_module=sw&amp;amp;site_no=09328920&amp;amp;por_09328920_143156=2674131,00060,143156,2014-03,2020-04&amp;amp;format=html_table&amp;amp;date_format=YYYY-MM-DD&amp;amp;rdb_compression=file&amp;amp;submitted_form=parameter_selection_list" xr:uid="{458C8C5C-AB14-48B8-A144-78D25A38EB34}"/>
    <hyperlink ref="N11" r:id="rId2" display="https://waterdata.usgs.gov/ut/nwis/annual/?referred_module=sw&amp;amp;site_no=09328920&amp;amp;por_09328920_143156=2674131,00060,143156,2014,2020&amp;amp;year_type=W&amp;amp;format=html_table&amp;amp;date_format=YYYY-MM-DD&amp;amp;rdb_compression=file&amp;amp;submitted_form=parameter_selection_list" xr:uid="{764E9681-4CDF-4C42-8148-4FA92C7069CA}"/>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DF71-0539-45D2-B936-26CE8B7C7078}">
  <dimension ref="A1:R62"/>
  <sheetViews>
    <sheetView workbookViewId="0">
      <selection activeCell="Q20" sqref="Q20"/>
    </sheetView>
  </sheetViews>
  <sheetFormatPr defaultColWidth="8.81640625" defaultRowHeight="14.5"/>
  <cols>
    <col min="4" max="4" width="10.81640625" bestFit="1" customWidth="1"/>
    <col min="5" max="5" width="12" bestFit="1" customWidth="1"/>
    <col min="13" max="13" width="14.81640625" bestFit="1" customWidth="1"/>
    <col min="16" max="16" width="14.08984375" bestFit="1" customWidth="1"/>
    <col min="17" max="17" width="12" bestFit="1" customWidth="1"/>
  </cols>
  <sheetData>
    <row r="1" spans="1:18" ht="16.5">
      <c r="A1" s="111" t="s">
        <v>344</v>
      </c>
    </row>
    <row r="2" spans="1:18">
      <c r="A2" s="44" t="s">
        <v>345</v>
      </c>
    </row>
    <row r="3" spans="1:18">
      <c r="B3" s="110" t="s">
        <v>250</v>
      </c>
    </row>
    <row r="4" spans="1:18">
      <c r="A4" s="149"/>
      <c r="B4" s="138" t="s">
        <v>210</v>
      </c>
      <c r="C4" s="139" t="s">
        <v>211</v>
      </c>
      <c r="D4" s="138" t="s">
        <v>50</v>
      </c>
      <c r="E4" s="139" t="s">
        <v>212</v>
      </c>
      <c r="F4" s="138" t="s">
        <v>52</v>
      </c>
      <c r="G4" s="139" t="s">
        <v>53</v>
      </c>
      <c r="H4" s="138" t="s">
        <v>54</v>
      </c>
      <c r="I4" s="139" t="s">
        <v>213</v>
      </c>
      <c r="J4" s="138" t="s">
        <v>214</v>
      </c>
      <c r="K4" s="139" t="s">
        <v>215</v>
      </c>
      <c r="L4" s="138" t="s">
        <v>216</v>
      </c>
      <c r="M4" s="139" t="s">
        <v>217</v>
      </c>
    </row>
    <row r="5" spans="1:18">
      <c r="A5" s="107">
        <v>2015</v>
      </c>
      <c r="B5" s="112">
        <v>130.19999999999999</v>
      </c>
      <c r="C5" s="112">
        <v>115.5</v>
      </c>
      <c r="D5" s="112">
        <v>108.1</v>
      </c>
      <c r="E5" s="112">
        <v>48.5</v>
      </c>
      <c r="F5" s="112">
        <v>62.9</v>
      </c>
      <c r="G5" s="112">
        <v>118.4</v>
      </c>
      <c r="H5" s="112">
        <v>85.3</v>
      </c>
      <c r="I5" s="112">
        <v>127.4</v>
      </c>
      <c r="J5" s="112">
        <v>58.6</v>
      </c>
      <c r="K5" s="112">
        <v>296.89999999999998</v>
      </c>
      <c r="L5" s="112">
        <v>102.6</v>
      </c>
      <c r="M5" s="112">
        <v>92</v>
      </c>
    </row>
    <row r="6" spans="1:18">
      <c r="A6" s="107">
        <v>2016</v>
      </c>
      <c r="B6" s="112">
        <v>105.2</v>
      </c>
      <c r="C6" s="112">
        <v>130.5</v>
      </c>
      <c r="D6" s="112">
        <v>91.1</v>
      </c>
      <c r="E6" s="112">
        <v>117.4</v>
      </c>
      <c r="F6" s="112">
        <v>60.6</v>
      </c>
      <c r="G6" s="112">
        <v>11.3</v>
      </c>
      <c r="H6" s="112">
        <v>56.9</v>
      </c>
      <c r="I6" s="112">
        <v>37.6</v>
      </c>
      <c r="J6" s="112">
        <v>213.8</v>
      </c>
      <c r="K6" s="112">
        <v>97</v>
      </c>
      <c r="L6" s="112">
        <v>90.9</v>
      </c>
      <c r="M6" s="112">
        <v>89.3</v>
      </c>
    </row>
    <row r="7" spans="1:18">
      <c r="A7" s="107">
        <v>2017</v>
      </c>
      <c r="B7" s="112">
        <v>107</v>
      </c>
      <c r="C7" s="112">
        <v>129.69999999999999</v>
      </c>
      <c r="D7" s="112">
        <v>107.2</v>
      </c>
      <c r="E7" s="112">
        <v>63.6</v>
      </c>
      <c r="F7" s="112">
        <v>75.2</v>
      </c>
      <c r="G7" s="112">
        <v>65.599999999999994</v>
      </c>
      <c r="H7" s="112">
        <v>57.8</v>
      </c>
      <c r="I7" s="112">
        <v>33.9</v>
      </c>
      <c r="J7" s="112">
        <v>77.7</v>
      </c>
      <c r="K7" s="112">
        <v>47.9</v>
      </c>
      <c r="L7" s="112">
        <v>70.900000000000006</v>
      </c>
      <c r="M7" s="112">
        <v>80.099999999999994</v>
      </c>
    </row>
    <row r="8" spans="1:18">
      <c r="A8" s="107">
        <v>2018</v>
      </c>
      <c r="B8" s="112">
        <v>105.3</v>
      </c>
      <c r="C8" s="112">
        <v>101.1</v>
      </c>
      <c r="D8" s="112">
        <v>94.3</v>
      </c>
      <c r="E8" s="112">
        <v>54.4</v>
      </c>
      <c r="F8" s="112">
        <v>20.7</v>
      </c>
      <c r="G8" s="112">
        <v>0.46</v>
      </c>
      <c r="H8" s="112">
        <v>16.3</v>
      </c>
      <c r="I8" s="112">
        <v>31.6</v>
      </c>
      <c r="J8" s="112">
        <v>9.52</v>
      </c>
      <c r="K8" s="112">
        <v>232.4</v>
      </c>
      <c r="L8" s="112">
        <v>83.7</v>
      </c>
      <c r="M8" s="112">
        <v>91.8</v>
      </c>
    </row>
    <row r="9" spans="1:18">
      <c r="A9" s="107">
        <v>2019</v>
      </c>
      <c r="B9" s="112">
        <v>101.9</v>
      </c>
      <c r="C9" s="112">
        <v>109.2</v>
      </c>
      <c r="D9" s="112">
        <v>157.4</v>
      </c>
      <c r="E9" s="112">
        <v>79.5</v>
      </c>
      <c r="F9" s="112">
        <v>106.1</v>
      </c>
      <c r="G9" s="112">
        <v>176.9</v>
      </c>
      <c r="H9" s="112">
        <v>62.8</v>
      </c>
      <c r="I9" s="112">
        <v>14.4</v>
      </c>
      <c r="J9" s="112">
        <v>7.48</v>
      </c>
      <c r="K9" s="112">
        <v>43.6</v>
      </c>
      <c r="L9" s="112">
        <v>133</v>
      </c>
      <c r="M9" s="112">
        <v>124.6</v>
      </c>
    </row>
    <row r="10" spans="1:18">
      <c r="A10" s="107">
        <v>2020</v>
      </c>
      <c r="B10" s="112">
        <v>118.8</v>
      </c>
      <c r="C10" s="112">
        <v>132.30000000000001</v>
      </c>
      <c r="D10" s="112">
        <v>128.69999999999999</v>
      </c>
      <c r="E10" s="112">
        <v>68.2</v>
      </c>
      <c r="F10" s="112"/>
      <c r="G10" s="112"/>
      <c r="H10" s="112"/>
      <c r="I10" s="112"/>
      <c r="J10" s="112"/>
      <c r="K10" s="112"/>
      <c r="L10" s="112"/>
      <c r="M10" s="140"/>
    </row>
    <row r="11" spans="1:18">
      <c r="N11" s="44" t="s">
        <v>346</v>
      </c>
    </row>
    <row r="12" spans="1:18">
      <c r="A12" s="141"/>
      <c r="B12" s="1" t="s">
        <v>248</v>
      </c>
      <c r="C12" s="1" t="s">
        <v>247</v>
      </c>
      <c r="D12" s="1" t="s">
        <v>246</v>
      </c>
      <c r="E12" s="142" t="s">
        <v>245</v>
      </c>
      <c r="G12" s="143" t="s">
        <v>320</v>
      </c>
      <c r="H12" s="144" t="s">
        <v>321</v>
      </c>
      <c r="M12" s="145" t="s">
        <v>322</v>
      </c>
      <c r="N12" s="143" t="s">
        <v>248</v>
      </c>
      <c r="O12" s="143" t="s">
        <v>247</v>
      </c>
      <c r="P12" s="145" t="s">
        <v>323</v>
      </c>
      <c r="Q12" s="145" t="s">
        <v>246</v>
      </c>
      <c r="R12" s="145" t="s">
        <v>324</v>
      </c>
    </row>
    <row r="13" spans="1:18">
      <c r="A13" s="80">
        <v>5783</v>
      </c>
      <c r="B13" s="65">
        <v>296.89999999999998</v>
      </c>
      <c r="C13" s="83">
        <v>31</v>
      </c>
      <c r="D13" s="65">
        <f>B13*C13*86400</f>
        <v>795216960</v>
      </c>
      <c r="E13" s="40">
        <f>D13/43560</f>
        <v>18255.669421487604</v>
      </c>
      <c r="G13" s="1">
        <v>2016</v>
      </c>
      <c r="H13" s="146">
        <f>SUM(E13:E24)/1000000</f>
        <v>7.9511008264462807E-2</v>
      </c>
      <c r="M13" s="147">
        <v>2016</v>
      </c>
      <c r="N13" s="155">
        <v>109.5</v>
      </c>
      <c r="O13" s="1">
        <v>366</v>
      </c>
      <c r="P13" s="1">
        <v>86400</v>
      </c>
      <c r="Q13">
        <f>N13*O13*P13</f>
        <v>3462652800</v>
      </c>
      <c r="R13" s="31">
        <f>Q13/43560/1000000</f>
        <v>7.9491570247933879E-2</v>
      </c>
    </row>
    <row r="14" spans="1:18">
      <c r="A14" s="80">
        <v>5813</v>
      </c>
      <c r="B14" s="65">
        <v>102.6</v>
      </c>
      <c r="C14" s="83">
        <v>30</v>
      </c>
      <c r="D14" s="65">
        <f t="shared" ref="D14:D60" si="0">B14*C14*86400</f>
        <v>265939200</v>
      </c>
      <c r="E14" s="40">
        <f t="shared" ref="E14:E62" si="1">D14/43560</f>
        <v>6105.1239669421484</v>
      </c>
      <c r="G14" s="1">
        <v>2017</v>
      </c>
      <c r="H14" s="146">
        <f>SUM(E25:E36)/1000000</f>
        <v>5.9811570247933883E-2</v>
      </c>
      <c r="M14" s="147">
        <v>2017</v>
      </c>
      <c r="N14" s="155">
        <v>82.6</v>
      </c>
      <c r="O14" s="1">
        <v>365</v>
      </c>
      <c r="P14" s="1">
        <v>86400</v>
      </c>
      <c r="Q14">
        <f t="shared" ref="Q14:Q16" si="2">N14*O14*P14</f>
        <v>2604873599.9999995</v>
      </c>
      <c r="R14" s="31">
        <f t="shared" ref="R14:R16" si="3">Q14/43560/1000000</f>
        <v>5.9799669421487588E-2</v>
      </c>
    </row>
    <row r="15" spans="1:18">
      <c r="A15" s="80">
        <v>5844</v>
      </c>
      <c r="B15" s="65">
        <v>92</v>
      </c>
      <c r="C15" s="83">
        <v>31</v>
      </c>
      <c r="D15" s="65">
        <f t="shared" si="0"/>
        <v>246412800</v>
      </c>
      <c r="E15" s="40">
        <f t="shared" si="1"/>
        <v>5656.8595041322315</v>
      </c>
      <c r="G15" s="1">
        <v>2018</v>
      </c>
      <c r="H15" s="146">
        <f>SUM(E37:E48)/1000000</f>
        <v>3.8025917355371898E-2</v>
      </c>
      <c r="M15" s="147">
        <v>2018</v>
      </c>
      <c r="N15" s="155">
        <v>52.5</v>
      </c>
      <c r="O15" s="1">
        <v>365</v>
      </c>
      <c r="P15" s="1">
        <v>86400</v>
      </c>
      <c r="Q15">
        <f t="shared" si="2"/>
        <v>1655640000</v>
      </c>
      <c r="R15" s="31">
        <f t="shared" si="3"/>
        <v>3.8008264462809915E-2</v>
      </c>
    </row>
    <row r="16" spans="1:18">
      <c r="A16" s="80">
        <v>5875</v>
      </c>
      <c r="B16">
        <v>105.2</v>
      </c>
      <c r="C16" s="83">
        <v>31</v>
      </c>
      <c r="D16" s="65">
        <f t="shared" si="0"/>
        <v>281767680</v>
      </c>
      <c r="E16" s="40">
        <f t="shared" si="1"/>
        <v>6468.4958677685954</v>
      </c>
      <c r="G16" s="1">
        <v>2019</v>
      </c>
      <c r="H16" s="146">
        <f>SUM(E49:E60)/1000000</f>
        <v>7.389580165289257E-2</v>
      </c>
      <c r="M16" s="147">
        <v>2019</v>
      </c>
      <c r="N16" s="155">
        <v>102.1</v>
      </c>
      <c r="O16" s="1">
        <v>365</v>
      </c>
      <c r="P16" s="1">
        <v>86400</v>
      </c>
      <c r="Q16">
        <f t="shared" si="2"/>
        <v>3219825600</v>
      </c>
      <c r="R16" s="31">
        <f t="shared" si="3"/>
        <v>7.3917024793388422E-2</v>
      </c>
    </row>
    <row r="17" spans="1:18">
      <c r="A17" s="80">
        <v>5904</v>
      </c>
      <c r="B17">
        <v>130.5</v>
      </c>
      <c r="C17" s="83">
        <v>29</v>
      </c>
      <c r="D17" s="65">
        <f t="shared" si="0"/>
        <v>326980800</v>
      </c>
      <c r="E17" s="40">
        <f t="shared" si="1"/>
        <v>7506.4462809917359</v>
      </c>
      <c r="G17" s="1" t="s">
        <v>325</v>
      </c>
      <c r="H17" s="146">
        <f>AVERAGE(H13:H16)</f>
        <v>6.2811074380165283E-2</v>
      </c>
      <c r="M17" s="1" t="s">
        <v>325</v>
      </c>
      <c r="R17" s="31">
        <f>AVERAGE(R13:R16)</f>
        <v>6.2804132231404949E-2</v>
      </c>
    </row>
    <row r="18" spans="1:18">
      <c r="A18" s="80">
        <v>5935</v>
      </c>
      <c r="B18">
        <v>91.1</v>
      </c>
      <c r="C18" s="83">
        <v>31</v>
      </c>
      <c r="D18" s="65">
        <f t="shared" si="0"/>
        <v>244002240</v>
      </c>
      <c r="E18" s="40">
        <f t="shared" si="1"/>
        <v>5601.5206611570247</v>
      </c>
    </row>
    <row r="19" spans="1:18">
      <c r="A19" s="80">
        <v>5965</v>
      </c>
      <c r="B19">
        <v>117.4</v>
      </c>
      <c r="C19" s="83">
        <v>30</v>
      </c>
      <c r="D19" s="65">
        <f t="shared" si="0"/>
        <v>304300800</v>
      </c>
      <c r="E19" s="40">
        <f t="shared" si="1"/>
        <v>6985.7851239669426</v>
      </c>
    </row>
    <row r="20" spans="1:18">
      <c r="A20" s="80">
        <v>5996</v>
      </c>
      <c r="B20">
        <v>60.6</v>
      </c>
      <c r="C20" s="83">
        <v>31</v>
      </c>
      <c r="D20" s="65">
        <f t="shared" si="0"/>
        <v>162311040</v>
      </c>
      <c r="E20" s="40">
        <f t="shared" si="1"/>
        <v>3726.1487603305786</v>
      </c>
    </row>
    <row r="21" spans="1:18">
      <c r="A21" s="80">
        <v>6026</v>
      </c>
      <c r="B21">
        <v>11.3</v>
      </c>
      <c r="C21" s="83">
        <v>30</v>
      </c>
      <c r="D21" s="65">
        <f t="shared" si="0"/>
        <v>29289600</v>
      </c>
      <c r="E21" s="40">
        <f t="shared" si="1"/>
        <v>672.39669421487599</v>
      </c>
    </row>
    <row r="22" spans="1:18">
      <c r="A22" s="80">
        <v>6057</v>
      </c>
      <c r="B22">
        <v>56.9</v>
      </c>
      <c r="C22" s="83">
        <v>31</v>
      </c>
      <c r="D22" s="65">
        <f t="shared" si="0"/>
        <v>152400960</v>
      </c>
      <c r="E22" s="40">
        <f t="shared" si="1"/>
        <v>3498.6446280991736</v>
      </c>
    </row>
    <row r="23" spans="1:18">
      <c r="A23" s="80">
        <v>6088</v>
      </c>
      <c r="B23">
        <v>37.6</v>
      </c>
      <c r="C23" s="83">
        <v>31</v>
      </c>
      <c r="D23" s="65">
        <f t="shared" si="0"/>
        <v>100707840.00000001</v>
      </c>
      <c r="E23" s="40">
        <f t="shared" si="1"/>
        <v>2311.9338842975212</v>
      </c>
    </row>
    <row r="24" spans="1:18">
      <c r="A24" s="80">
        <v>6118</v>
      </c>
      <c r="B24">
        <v>213.8</v>
      </c>
      <c r="C24" s="83">
        <v>30</v>
      </c>
      <c r="D24" s="65">
        <f t="shared" si="0"/>
        <v>554169600</v>
      </c>
      <c r="E24" s="40">
        <f t="shared" si="1"/>
        <v>12721.98347107438</v>
      </c>
    </row>
    <row r="25" spans="1:18">
      <c r="A25" s="80">
        <v>6149</v>
      </c>
      <c r="B25">
        <v>97</v>
      </c>
      <c r="C25" s="83">
        <v>31</v>
      </c>
      <c r="D25" s="65">
        <f t="shared" si="0"/>
        <v>259804800</v>
      </c>
      <c r="E25" s="40">
        <f t="shared" si="1"/>
        <v>5964.2975206611573</v>
      </c>
    </row>
    <row r="26" spans="1:18">
      <c r="A26" s="80">
        <v>6179</v>
      </c>
      <c r="B26">
        <v>90.9</v>
      </c>
      <c r="C26" s="83">
        <v>30</v>
      </c>
      <c r="D26" s="65">
        <f t="shared" si="0"/>
        <v>235612800</v>
      </c>
      <c r="E26" s="40">
        <f t="shared" si="1"/>
        <v>5408.9256198347111</v>
      </c>
    </row>
    <row r="27" spans="1:18">
      <c r="A27" s="80">
        <v>6210</v>
      </c>
      <c r="B27">
        <v>89.3</v>
      </c>
      <c r="C27" s="83">
        <v>31</v>
      </c>
      <c r="D27" s="65">
        <f t="shared" si="0"/>
        <v>239181119.99999997</v>
      </c>
      <c r="E27" s="40">
        <f t="shared" si="1"/>
        <v>5490.8429752066113</v>
      </c>
    </row>
    <row r="28" spans="1:18">
      <c r="A28" s="80">
        <v>6241</v>
      </c>
      <c r="B28">
        <v>107</v>
      </c>
      <c r="C28" s="83">
        <v>31</v>
      </c>
      <c r="D28" s="65">
        <f t="shared" si="0"/>
        <v>286588800</v>
      </c>
      <c r="E28" s="40">
        <f t="shared" si="1"/>
        <v>6579.1735537190079</v>
      </c>
    </row>
    <row r="29" spans="1:18">
      <c r="A29" s="80">
        <v>6269</v>
      </c>
      <c r="B29">
        <v>129.69999999999999</v>
      </c>
      <c r="C29" s="83">
        <v>28</v>
      </c>
      <c r="D29" s="65">
        <f t="shared" si="0"/>
        <v>313770239.99999994</v>
      </c>
      <c r="E29" s="40">
        <f t="shared" si="1"/>
        <v>7203.173553719007</v>
      </c>
    </row>
    <row r="30" spans="1:18">
      <c r="A30" s="80">
        <v>6300</v>
      </c>
      <c r="B30">
        <v>107.2</v>
      </c>
      <c r="C30" s="83">
        <v>31</v>
      </c>
      <c r="D30" s="65">
        <f t="shared" si="0"/>
        <v>287124480</v>
      </c>
      <c r="E30" s="40">
        <f t="shared" si="1"/>
        <v>6591.4710743801652</v>
      </c>
    </row>
    <row r="31" spans="1:18">
      <c r="A31" s="80">
        <v>6330</v>
      </c>
      <c r="B31">
        <v>63.6</v>
      </c>
      <c r="C31" s="83">
        <v>30</v>
      </c>
      <c r="D31" s="65">
        <f t="shared" si="0"/>
        <v>164851200</v>
      </c>
      <c r="E31" s="40">
        <f t="shared" si="1"/>
        <v>3784.4628099173556</v>
      </c>
    </row>
    <row r="32" spans="1:18">
      <c r="A32" s="80">
        <v>6361</v>
      </c>
      <c r="B32">
        <v>75.2</v>
      </c>
      <c r="C32" s="83">
        <v>31</v>
      </c>
      <c r="D32" s="65">
        <f t="shared" si="0"/>
        <v>201415680.00000003</v>
      </c>
      <c r="E32" s="40">
        <f t="shared" si="1"/>
        <v>4623.8677685950424</v>
      </c>
    </row>
    <row r="33" spans="1:5">
      <c r="A33" s="80">
        <v>6391</v>
      </c>
      <c r="B33">
        <v>65.599999999999994</v>
      </c>
      <c r="C33" s="83">
        <v>30</v>
      </c>
      <c r="D33" s="65">
        <f t="shared" si="0"/>
        <v>170035199.99999997</v>
      </c>
      <c r="E33" s="40">
        <f t="shared" si="1"/>
        <v>3903.4710743801647</v>
      </c>
    </row>
    <row r="34" spans="1:5">
      <c r="A34" s="80">
        <v>6422</v>
      </c>
      <c r="B34">
        <v>57.8</v>
      </c>
      <c r="C34" s="83">
        <v>31</v>
      </c>
      <c r="D34" s="65">
        <f t="shared" si="0"/>
        <v>154811520</v>
      </c>
      <c r="E34" s="40">
        <f t="shared" si="1"/>
        <v>3553.9834710743803</v>
      </c>
    </row>
    <row r="35" spans="1:5">
      <c r="A35" s="80">
        <v>6453</v>
      </c>
      <c r="B35">
        <v>33.9</v>
      </c>
      <c r="C35" s="83">
        <v>31</v>
      </c>
      <c r="D35" s="65">
        <f t="shared" si="0"/>
        <v>90797759.999999985</v>
      </c>
      <c r="E35" s="40">
        <f t="shared" si="1"/>
        <v>2084.4297520661153</v>
      </c>
    </row>
    <row r="36" spans="1:5">
      <c r="A36" s="80">
        <v>6483</v>
      </c>
      <c r="B36">
        <v>77.7</v>
      </c>
      <c r="C36" s="83">
        <v>30</v>
      </c>
      <c r="D36" s="65">
        <f t="shared" si="0"/>
        <v>201398400</v>
      </c>
      <c r="E36" s="40">
        <f t="shared" si="1"/>
        <v>4623.4710743801652</v>
      </c>
    </row>
    <row r="37" spans="1:5">
      <c r="A37" s="80">
        <v>6514</v>
      </c>
      <c r="B37">
        <v>47.9</v>
      </c>
      <c r="C37" s="83">
        <v>31</v>
      </c>
      <c r="D37" s="65">
        <f t="shared" si="0"/>
        <v>128295359.99999999</v>
      </c>
      <c r="E37" s="40">
        <f t="shared" si="1"/>
        <v>2945.2561983471069</v>
      </c>
    </row>
    <row r="38" spans="1:5">
      <c r="A38" s="80">
        <v>6544</v>
      </c>
      <c r="B38">
        <v>70.900000000000006</v>
      </c>
      <c r="C38" s="83">
        <v>30</v>
      </c>
      <c r="D38" s="65">
        <f t="shared" si="0"/>
        <v>183772800</v>
      </c>
      <c r="E38" s="40">
        <f t="shared" si="1"/>
        <v>4218.8429752066113</v>
      </c>
    </row>
    <row r="39" spans="1:5">
      <c r="A39" s="80">
        <v>6575</v>
      </c>
      <c r="B39">
        <v>80.099999999999994</v>
      </c>
      <c r="C39" s="83">
        <v>31</v>
      </c>
      <c r="D39" s="65">
        <f t="shared" si="0"/>
        <v>214539840</v>
      </c>
      <c r="E39" s="40">
        <f t="shared" si="1"/>
        <v>4925.1570247933887</v>
      </c>
    </row>
    <row r="40" spans="1:5">
      <c r="A40" s="80">
        <v>6606</v>
      </c>
      <c r="B40">
        <v>105.3</v>
      </c>
      <c r="C40" s="83">
        <v>31</v>
      </c>
      <c r="D40" s="65">
        <f t="shared" si="0"/>
        <v>282035520</v>
      </c>
      <c r="E40" s="40">
        <f t="shared" si="1"/>
        <v>6474.6446280991731</v>
      </c>
    </row>
    <row r="41" spans="1:5">
      <c r="A41" s="80">
        <v>6634</v>
      </c>
      <c r="B41">
        <v>101.1</v>
      </c>
      <c r="C41" s="83">
        <v>28</v>
      </c>
      <c r="D41" s="65">
        <f t="shared" si="0"/>
        <v>244581119.99999997</v>
      </c>
      <c r="E41" s="40">
        <f t="shared" si="1"/>
        <v>5614.809917355371</v>
      </c>
    </row>
    <row r="42" spans="1:5">
      <c r="A42" s="80">
        <v>6665</v>
      </c>
      <c r="B42">
        <v>94.3</v>
      </c>
      <c r="C42" s="83">
        <v>31</v>
      </c>
      <c r="D42" s="65">
        <f t="shared" si="0"/>
        <v>252573119.99999997</v>
      </c>
      <c r="E42" s="40">
        <f t="shared" si="1"/>
        <v>5798.2809917355362</v>
      </c>
    </row>
    <row r="43" spans="1:5">
      <c r="A43" s="80">
        <v>6695</v>
      </c>
      <c r="B43">
        <v>54.4</v>
      </c>
      <c r="C43" s="83">
        <v>30</v>
      </c>
      <c r="D43" s="65">
        <f t="shared" si="0"/>
        <v>141004800</v>
      </c>
      <c r="E43" s="40">
        <f t="shared" si="1"/>
        <v>3237.0247933884298</v>
      </c>
    </row>
    <row r="44" spans="1:5">
      <c r="A44" s="80">
        <v>6726</v>
      </c>
      <c r="B44">
        <v>20.7</v>
      </c>
      <c r="C44" s="83">
        <v>31</v>
      </c>
      <c r="D44" s="65">
        <f t="shared" si="0"/>
        <v>55442879.999999993</v>
      </c>
      <c r="E44" s="40">
        <f t="shared" si="1"/>
        <v>1272.793388429752</v>
      </c>
    </row>
    <row r="45" spans="1:5">
      <c r="A45" s="80">
        <v>6756</v>
      </c>
      <c r="B45">
        <v>0.46</v>
      </c>
      <c r="C45" s="83">
        <v>30</v>
      </c>
      <c r="D45" s="65">
        <f t="shared" si="0"/>
        <v>1192320</v>
      </c>
      <c r="E45" s="40">
        <f t="shared" si="1"/>
        <v>27.371900826446282</v>
      </c>
    </row>
    <row r="46" spans="1:5">
      <c r="A46" s="80">
        <v>6787</v>
      </c>
      <c r="B46">
        <v>16.3</v>
      </c>
      <c r="C46" s="83">
        <v>31</v>
      </c>
      <c r="D46" s="65">
        <f t="shared" si="0"/>
        <v>43657920</v>
      </c>
      <c r="E46" s="40">
        <f t="shared" si="1"/>
        <v>1002.2479338842975</v>
      </c>
    </row>
    <row r="47" spans="1:5">
      <c r="A47" s="80">
        <v>6818</v>
      </c>
      <c r="B47">
        <v>31.6</v>
      </c>
      <c r="C47" s="83">
        <v>31</v>
      </c>
      <c r="D47" s="65">
        <f t="shared" si="0"/>
        <v>84637440</v>
      </c>
      <c r="E47" s="40">
        <f t="shared" si="1"/>
        <v>1943.0082644628098</v>
      </c>
    </row>
    <row r="48" spans="1:5">
      <c r="A48" s="80">
        <v>6848</v>
      </c>
      <c r="B48">
        <v>9.52</v>
      </c>
      <c r="C48" s="83">
        <v>30</v>
      </c>
      <c r="D48" s="65">
        <f t="shared" si="0"/>
        <v>24675839.999999996</v>
      </c>
      <c r="E48" s="40">
        <f t="shared" si="1"/>
        <v>566.47933884297515</v>
      </c>
    </row>
    <row r="49" spans="1:5">
      <c r="A49" s="80">
        <v>6879</v>
      </c>
      <c r="B49">
        <v>232.4</v>
      </c>
      <c r="C49" s="83">
        <v>31</v>
      </c>
      <c r="D49" s="65">
        <f t="shared" si="0"/>
        <v>622460160</v>
      </c>
      <c r="E49" s="40">
        <f t="shared" si="1"/>
        <v>14289.719008264463</v>
      </c>
    </row>
    <row r="50" spans="1:5">
      <c r="A50" s="80">
        <v>6909</v>
      </c>
      <c r="B50">
        <v>83.7</v>
      </c>
      <c r="C50" s="83">
        <v>30</v>
      </c>
      <c r="D50" s="65">
        <f t="shared" si="0"/>
        <v>216950400</v>
      </c>
      <c r="E50" s="40">
        <f t="shared" si="1"/>
        <v>4980.4958677685954</v>
      </c>
    </row>
    <row r="51" spans="1:5">
      <c r="A51" s="80">
        <v>6940</v>
      </c>
      <c r="B51">
        <v>91.8</v>
      </c>
      <c r="C51" s="83">
        <v>31</v>
      </c>
      <c r="D51" s="65">
        <f t="shared" si="0"/>
        <v>245877119.99999997</v>
      </c>
      <c r="E51" s="40">
        <f t="shared" si="1"/>
        <v>5644.5619834710733</v>
      </c>
    </row>
    <row r="52" spans="1:5">
      <c r="A52" s="80">
        <v>6971</v>
      </c>
      <c r="B52">
        <v>101.9</v>
      </c>
      <c r="C52" s="83">
        <v>31</v>
      </c>
      <c r="D52" s="65">
        <f t="shared" si="0"/>
        <v>272928960</v>
      </c>
      <c r="E52" s="40">
        <f t="shared" si="1"/>
        <v>6265.5867768595044</v>
      </c>
    </row>
    <row r="53" spans="1:5">
      <c r="A53" s="80">
        <v>6999</v>
      </c>
      <c r="B53">
        <v>109.2</v>
      </c>
      <c r="C53" s="83">
        <v>28</v>
      </c>
      <c r="D53" s="65">
        <f t="shared" si="0"/>
        <v>264176640</v>
      </c>
      <c r="E53" s="40">
        <f t="shared" si="1"/>
        <v>6064.6611570247933</v>
      </c>
    </row>
    <row r="54" spans="1:5">
      <c r="A54" s="80">
        <v>7030</v>
      </c>
      <c r="B54">
        <v>157.4</v>
      </c>
      <c r="C54" s="83">
        <v>31</v>
      </c>
      <c r="D54" s="65">
        <f t="shared" si="0"/>
        <v>421580160.00000006</v>
      </c>
      <c r="E54" s="40">
        <f t="shared" si="1"/>
        <v>9678.1487603305795</v>
      </c>
    </row>
    <row r="55" spans="1:5">
      <c r="A55" s="80">
        <v>7060</v>
      </c>
      <c r="B55">
        <v>79.5</v>
      </c>
      <c r="C55" s="83">
        <v>30</v>
      </c>
      <c r="D55" s="65">
        <f t="shared" si="0"/>
        <v>206064000</v>
      </c>
      <c r="E55" s="40">
        <f t="shared" si="1"/>
        <v>4730.5785123966944</v>
      </c>
    </row>
    <row r="56" spans="1:5">
      <c r="A56" s="80">
        <v>7091</v>
      </c>
      <c r="B56">
        <v>106.1</v>
      </c>
      <c r="C56" s="83">
        <v>31</v>
      </c>
      <c r="D56" s="65">
        <f t="shared" si="0"/>
        <v>284178240</v>
      </c>
      <c r="E56" s="40">
        <f t="shared" si="1"/>
        <v>6523.8347107438012</v>
      </c>
    </row>
    <row r="57" spans="1:5">
      <c r="A57" s="80">
        <v>7121</v>
      </c>
      <c r="B57">
        <v>176.9</v>
      </c>
      <c r="C57" s="83">
        <v>30</v>
      </c>
      <c r="D57" s="65">
        <f t="shared" si="0"/>
        <v>458524800</v>
      </c>
      <c r="E57" s="40">
        <f t="shared" si="1"/>
        <v>10526.280991735537</v>
      </c>
    </row>
    <row r="58" spans="1:5">
      <c r="A58" s="80">
        <v>7152</v>
      </c>
      <c r="B58">
        <v>62.8</v>
      </c>
      <c r="C58" s="83">
        <v>31</v>
      </c>
      <c r="D58" s="65">
        <f t="shared" si="0"/>
        <v>168203520</v>
      </c>
      <c r="E58" s="40">
        <f t="shared" si="1"/>
        <v>3861.4214876033056</v>
      </c>
    </row>
    <row r="59" spans="1:5">
      <c r="A59" s="80">
        <v>7183</v>
      </c>
      <c r="B59">
        <v>14.4</v>
      </c>
      <c r="C59" s="83">
        <v>31</v>
      </c>
      <c r="D59" s="65">
        <f t="shared" si="0"/>
        <v>38568960</v>
      </c>
      <c r="E59" s="40">
        <f t="shared" si="1"/>
        <v>885.42148760330576</v>
      </c>
    </row>
    <row r="60" spans="1:5">
      <c r="A60" s="80">
        <v>7213</v>
      </c>
      <c r="B60">
        <v>7.48</v>
      </c>
      <c r="C60" s="83">
        <v>30</v>
      </c>
      <c r="D60" s="65">
        <f t="shared" si="0"/>
        <v>19388160</v>
      </c>
      <c r="E60" s="40">
        <f t="shared" si="1"/>
        <v>445.09090909090907</v>
      </c>
    </row>
    <row r="61" spans="1:5">
      <c r="E61" s="40">
        <f t="shared" si="1"/>
        <v>0</v>
      </c>
    </row>
    <row r="62" spans="1:5">
      <c r="E62" s="40">
        <f t="shared" si="1"/>
        <v>0</v>
      </c>
    </row>
  </sheetData>
  <hyperlinks>
    <hyperlink ref="A2" r:id="rId1" display="https://waterdata.usgs.gov/nwis/monthly/?referred_module=sw&amp;amp;site_no=09333500&amp;amp;por_09333500_143180=448672,00060,143180,1948-06,2020-05&amp;amp;format=html_table&amp;amp;date_format=YYYY-MM-DD&amp;amp;rdb_compression=file&amp;amp;submitted_form=parameter_selection_list" xr:uid="{F7B8DF0F-DDDC-4AF2-8C23-047E9CE3C603}"/>
    <hyperlink ref="N11" r:id="rId2" display="https://waterdata.usgs.gov/nwis/annual/?referred_module=sw&amp;amp;site_no=09333500&amp;amp;por_09333500_143180=448672,00060,143180,1948,2020&amp;amp;year_type=W&amp;amp;format=html_table&amp;amp;date_format=YYYY-MM-DD&amp;amp;rdb_compression=file&amp;amp;submitted_form=parameter_selection_list" xr:uid="{9301945A-8AEA-4103-A9D2-322AFAF2F82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55EDE-6394-43F9-A57D-41D23E4957BC}">
  <dimension ref="A1:R62"/>
  <sheetViews>
    <sheetView topLeftCell="B1" zoomScale="115" zoomScaleNormal="115" workbookViewId="0">
      <selection activeCell="P6" sqref="P6"/>
    </sheetView>
  </sheetViews>
  <sheetFormatPr defaultColWidth="8.81640625" defaultRowHeight="14.5"/>
  <cols>
    <col min="4" max="4" width="11" bestFit="1" customWidth="1"/>
    <col min="5" max="5" width="11.453125" bestFit="1" customWidth="1"/>
    <col min="13" max="13" width="15.36328125" bestFit="1" customWidth="1"/>
    <col min="16" max="16" width="14.1796875" bestFit="1" customWidth="1"/>
    <col min="17" max="17" width="11.54296875" bestFit="1" customWidth="1"/>
  </cols>
  <sheetData>
    <row r="1" spans="1:18" ht="16.5">
      <c r="A1" s="111" t="s">
        <v>347</v>
      </c>
    </row>
    <row r="2" spans="1:18">
      <c r="A2" s="44" t="s">
        <v>348</v>
      </c>
    </row>
    <row r="3" spans="1:18">
      <c r="B3" s="110" t="s">
        <v>250</v>
      </c>
      <c r="E3" t="s">
        <v>349</v>
      </c>
    </row>
    <row r="4" spans="1:18">
      <c r="B4" s="138" t="s">
        <v>210</v>
      </c>
      <c r="C4" s="139" t="s">
        <v>211</v>
      </c>
      <c r="D4" s="138" t="s">
        <v>50</v>
      </c>
      <c r="E4" s="139" t="s">
        <v>212</v>
      </c>
      <c r="F4" s="138" t="s">
        <v>52</v>
      </c>
      <c r="G4" s="139" t="s">
        <v>53</v>
      </c>
      <c r="H4" s="138" t="s">
        <v>54</v>
      </c>
      <c r="I4" s="139" t="s">
        <v>213</v>
      </c>
      <c r="J4" s="138" t="s">
        <v>214</v>
      </c>
      <c r="K4" s="139" t="s">
        <v>215</v>
      </c>
      <c r="L4" s="138" t="s">
        <v>216</v>
      </c>
      <c r="M4" s="139" t="s">
        <v>217</v>
      </c>
    </row>
    <row r="5" spans="1:18">
      <c r="A5" s="107">
        <v>2015</v>
      </c>
      <c r="B5" s="112">
        <v>3.52</v>
      </c>
      <c r="C5" s="112">
        <v>3.17</v>
      </c>
      <c r="D5" s="112">
        <v>4.28</v>
      </c>
      <c r="E5" s="112">
        <v>1.91</v>
      </c>
      <c r="F5" s="112">
        <v>1.42</v>
      </c>
      <c r="G5" s="112">
        <v>5.3</v>
      </c>
      <c r="H5" s="112">
        <v>2</v>
      </c>
      <c r="I5" s="112">
        <v>5.83</v>
      </c>
      <c r="J5" s="112">
        <v>5.33</v>
      </c>
      <c r="K5" s="112">
        <v>8.3000000000000007</v>
      </c>
      <c r="L5" s="112">
        <v>3.81</v>
      </c>
      <c r="M5" s="112">
        <v>3.94</v>
      </c>
    </row>
    <row r="6" spans="1:18">
      <c r="A6" s="107">
        <v>2016</v>
      </c>
      <c r="B6" s="112">
        <v>3.59</v>
      </c>
      <c r="C6" s="112">
        <v>6.27</v>
      </c>
      <c r="D6" s="112">
        <v>6.46</v>
      </c>
      <c r="E6" s="112">
        <v>3</v>
      </c>
      <c r="F6" s="112">
        <v>11.8</v>
      </c>
      <c r="G6" s="112">
        <v>9.7200000000000006</v>
      </c>
      <c r="H6" s="112">
        <v>6.25</v>
      </c>
      <c r="I6" s="112">
        <v>8.06</v>
      </c>
      <c r="J6" s="112">
        <v>14.6</v>
      </c>
      <c r="K6" s="112">
        <v>3.61</v>
      </c>
      <c r="L6" s="112">
        <v>5.1100000000000003</v>
      </c>
      <c r="M6" s="112">
        <v>4.3600000000000003</v>
      </c>
    </row>
    <row r="7" spans="1:18">
      <c r="A7" s="107">
        <v>2017</v>
      </c>
      <c r="B7" s="112">
        <v>3.73</v>
      </c>
      <c r="C7" s="112">
        <v>14.2</v>
      </c>
      <c r="D7" s="112">
        <v>5.65</v>
      </c>
      <c r="E7" s="112">
        <v>8.1300000000000008</v>
      </c>
      <c r="F7" s="112">
        <v>9.01</v>
      </c>
      <c r="G7" s="112">
        <v>1.73</v>
      </c>
      <c r="H7" s="112">
        <v>17.5</v>
      </c>
      <c r="I7" s="112">
        <v>6.2</v>
      </c>
      <c r="J7" s="112">
        <v>4.33</v>
      </c>
      <c r="K7" s="112">
        <v>2.58</v>
      </c>
      <c r="L7" s="112">
        <v>4.45</v>
      </c>
      <c r="M7" s="112">
        <v>4.29</v>
      </c>
    </row>
    <row r="8" spans="1:18">
      <c r="A8" s="107">
        <v>2018</v>
      </c>
      <c r="B8" s="112">
        <v>4.5199999999999996</v>
      </c>
      <c r="C8" s="112">
        <v>3.66</v>
      </c>
      <c r="D8" s="112">
        <v>2.74</v>
      </c>
      <c r="E8" s="112">
        <v>1.78</v>
      </c>
      <c r="F8" s="112">
        <v>0.77100000000000002</v>
      </c>
      <c r="G8" s="112">
        <v>0.253</v>
      </c>
      <c r="H8" s="112">
        <v>6.05</v>
      </c>
      <c r="I8" s="112">
        <v>0.48599999999999999</v>
      </c>
      <c r="J8" s="112">
        <v>0.51</v>
      </c>
      <c r="K8" s="112">
        <v>2.69</v>
      </c>
      <c r="L8" s="112">
        <v>2.0699999999999998</v>
      </c>
      <c r="M8" s="112">
        <v>2.36</v>
      </c>
    </row>
    <row r="9" spans="1:18">
      <c r="A9" s="107">
        <v>2019</v>
      </c>
      <c r="B9" s="112">
        <v>2.57</v>
      </c>
      <c r="C9" s="112">
        <v>3.13</v>
      </c>
      <c r="D9" s="112">
        <v>7.94</v>
      </c>
      <c r="E9" s="112">
        <v>7.17</v>
      </c>
      <c r="F9" s="112">
        <v>11</v>
      </c>
      <c r="G9" s="112">
        <v>48.5</v>
      </c>
      <c r="H9" s="112">
        <v>5.44</v>
      </c>
      <c r="I9" s="112">
        <v>5.73</v>
      </c>
      <c r="J9" s="112">
        <v>0.64400000000000002</v>
      </c>
      <c r="K9" s="112">
        <v>1.59</v>
      </c>
      <c r="L9" s="112">
        <v>5.59</v>
      </c>
      <c r="M9" s="112">
        <v>5.28</v>
      </c>
    </row>
    <row r="10" spans="1:18">
      <c r="A10" s="107">
        <v>2020</v>
      </c>
      <c r="B10" s="156">
        <v>7.6</v>
      </c>
      <c r="C10" s="156">
        <v>9.6</v>
      </c>
      <c r="D10" s="156">
        <v>12</v>
      </c>
    </row>
    <row r="11" spans="1:18">
      <c r="N11" s="44" t="s">
        <v>89</v>
      </c>
    </row>
    <row r="12" spans="1:18">
      <c r="A12" s="141"/>
      <c r="B12" s="1" t="s">
        <v>248</v>
      </c>
      <c r="C12" s="1" t="s">
        <v>247</v>
      </c>
      <c r="D12" s="1" t="s">
        <v>246</v>
      </c>
      <c r="E12" s="142" t="s">
        <v>245</v>
      </c>
      <c r="G12" s="143" t="s">
        <v>320</v>
      </c>
      <c r="H12" s="144" t="s">
        <v>321</v>
      </c>
      <c r="M12" s="145" t="s">
        <v>322</v>
      </c>
      <c r="N12" s="143" t="s">
        <v>248</v>
      </c>
      <c r="O12" s="143" t="s">
        <v>247</v>
      </c>
      <c r="P12" s="145" t="s">
        <v>323</v>
      </c>
      <c r="Q12" s="145" t="s">
        <v>246</v>
      </c>
      <c r="R12" s="145" t="s">
        <v>324</v>
      </c>
    </row>
    <row r="13" spans="1:18">
      <c r="A13" s="80">
        <v>5783</v>
      </c>
      <c r="B13" s="82">
        <v>8.3000000000000007</v>
      </c>
      <c r="C13" s="83">
        <v>31</v>
      </c>
      <c r="D13" s="65">
        <f>B13*C13*86400</f>
        <v>22230720</v>
      </c>
      <c r="E13" s="40">
        <f>D13/43560</f>
        <v>510.34710743801651</v>
      </c>
      <c r="G13" s="1">
        <v>2016</v>
      </c>
      <c r="H13" s="146">
        <f>SUM(E13:E24)/1000000</f>
        <v>5.1890181818181821E-3</v>
      </c>
      <c r="M13" s="147">
        <v>2016</v>
      </c>
      <c r="N13" s="157">
        <v>7.15</v>
      </c>
      <c r="O13" s="1">
        <v>366</v>
      </c>
      <c r="P13" s="1">
        <v>86400</v>
      </c>
      <c r="Q13">
        <f>N13*O13*P13</f>
        <v>226100160</v>
      </c>
      <c r="R13" s="31">
        <f>Q13/43560/1000000</f>
        <v>5.1905454545454546E-3</v>
      </c>
    </row>
    <row r="14" spans="1:18">
      <c r="A14" s="80">
        <v>5813</v>
      </c>
      <c r="B14" s="82">
        <v>3.81</v>
      </c>
      <c r="C14" s="83">
        <v>30</v>
      </c>
      <c r="D14" s="65">
        <f t="shared" ref="D14:D60" si="0">B14*C14*86400</f>
        <v>9875520</v>
      </c>
      <c r="E14" s="40">
        <f t="shared" ref="E14:E62" si="1">D14/43560</f>
        <v>226.71074380165288</v>
      </c>
      <c r="G14" s="1">
        <v>2017</v>
      </c>
      <c r="H14" s="146">
        <f>SUM(E25:E36)/1000000</f>
        <v>5.0151272727272716E-3</v>
      </c>
      <c r="M14" s="147">
        <v>2017</v>
      </c>
      <c r="N14" s="157">
        <v>6.93</v>
      </c>
      <c r="O14" s="1">
        <v>365</v>
      </c>
      <c r="P14" s="1">
        <v>86400</v>
      </c>
      <c r="Q14">
        <f t="shared" ref="Q14:Q16" si="2">N14*O14*P14</f>
        <v>218544479.99999997</v>
      </c>
      <c r="R14" s="31">
        <f t="shared" ref="R14:R16" si="3">Q14/43560/1000000</f>
        <v>5.0170909090909077E-3</v>
      </c>
    </row>
    <row r="15" spans="1:18">
      <c r="A15" s="80">
        <v>5844</v>
      </c>
      <c r="B15" s="82">
        <v>3.94</v>
      </c>
      <c r="C15" s="83">
        <v>31</v>
      </c>
      <c r="D15" s="65">
        <f t="shared" si="0"/>
        <v>10552896</v>
      </c>
      <c r="E15" s="40">
        <f t="shared" si="1"/>
        <v>242.26115702479339</v>
      </c>
      <c r="G15" s="1">
        <v>2018</v>
      </c>
      <c r="H15" s="146">
        <f>SUM(E37:E48)/1000000</f>
        <v>1.93748826446281E-3</v>
      </c>
      <c r="M15" s="147">
        <v>2018</v>
      </c>
      <c r="N15" s="157">
        <v>2.68</v>
      </c>
      <c r="O15" s="1">
        <v>365</v>
      </c>
      <c r="P15" s="1">
        <v>86400</v>
      </c>
      <c r="Q15">
        <f t="shared" si="2"/>
        <v>84516480</v>
      </c>
      <c r="R15" s="31">
        <f t="shared" si="3"/>
        <v>1.9402314049586779E-3</v>
      </c>
    </row>
    <row r="16" spans="1:18">
      <c r="A16" s="80">
        <v>5875</v>
      </c>
      <c r="B16" s="82">
        <v>3.59</v>
      </c>
      <c r="C16" s="83">
        <v>31</v>
      </c>
      <c r="D16" s="65">
        <f t="shared" si="0"/>
        <v>9615456</v>
      </c>
      <c r="E16" s="40">
        <f t="shared" si="1"/>
        <v>220.7404958677686</v>
      </c>
      <c r="G16" s="1">
        <v>2019</v>
      </c>
      <c r="H16" s="146">
        <f>SUM(E49:E60)/1000000</f>
        <v>5.9678479338842981E-3</v>
      </c>
      <c r="M16" s="147">
        <v>2019</v>
      </c>
      <c r="N16" s="157">
        <v>8.25</v>
      </c>
      <c r="O16" s="1">
        <v>365</v>
      </c>
      <c r="P16" s="1">
        <v>86400</v>
      </c>
      <c r="Q16">
        <f t="shared" si="2"/>
        <v>260172000</v>
      </c>
      <c r="R16" s="31">
        <f t="shared" si="3"/>
        <v>5.9727272727272728E-3</v>
      </c>
    </row>
    <row r="17" spans="1:18">
      <c r="A17" s="80">
        <v>5904</v>
      </c>
      <c r="B17" s="82">
        <v>6.27</v>
      </c>
      <c r="C17" s="83">
        <v>29</v>
      </c>
      <c r="D17" s="65">
        <f t="shared" si="0"/>
        <v>15710111.999999998</v>
      </c>
      <c r="E17" s="40">
        <f t="shared" si="1"/>
        <v>360.65454545454543</v>
      </c>
      <c r="G17" s="1" t="s">
        <v>325</v>
      </c>
      <c r="H17" s="146">
        <f>AVERAGE(H13:H16)</f>
        <v>4.5273704132231408E-3</v>
      </c>
      <c r="M17" s="1" t="s">
        <v>325</v>
      </c>
      <c r="R17" s="31">
        <f>AVERAGE(R13:R16)</f>
        <v>4.5301487603305783E-3</v>
      </c>
    </row>
    <row r="18" spans="1:18">
      <c r="A18" s="80">
        <v>5935</v>
      </c>
      <c r="B18" s="82">
        <v>6.46</v>
      </c>
      <c r="C18" s="83">
        <v>31</v>
      </c>
      <c r="D18" s="65">
        <f t="shared" si="0"/>
        <v>17302464</v>
      </c>
      <c r="E18" s="40">
        <f t="shared" si="1"/>
        <v>397.20991735537189</v>
      </c>
    </row>
    <row r="19" spans="1:18">
      <c r="A19" s="80">
        <v>5965</v>
      </c>
      <c r="B19" s="82">
        <v>3</v>
      </c>
      <c r="C19" s="83">
        <v>30</v>
      </c>
      <c r="D19" s="65">
        <f t="shared" si="0"/>
        <v>7776000</v>
      </c>
      <c r="E19" s="40">
        <f t="shared" si="1"/>
        <v>178.51239669421489</v>
      </c>
    </row>
    <row r="20" spans="1:18">
      <c r="A20" s="80">
        <v>5996</v>
      </c>
      <c r="B20" s="82">
        <v>11.8</v>
      </c>
      <c r="C20" s="83">
        <v>31</v>
      </c>
      <c r="D20" s="65">
        <f t="shared" si="0"/>
        <v>31605120</v>
      </c>
      <c r="E20" s="40">
        <f t="shared" si="1"/>
        <v>725.55371900826447</v>
      </c>
    </row>
    <row r="21" spans="1:18">
      <c r="A21" s="80">
        <v>6026</v>
      </c>
      <c r="B21" s="82">
        <v>9.7200000000000006</v>
      </c>
      <c r="C21" s="83">
        <v>30</v>
      </c>
      <c r="D21" s="65">
        <f t="shared" si="0"/>
        <v>25194240.000000004</v>
      </c>
      <c r="E21" s="40">
        <f t="shared" si="1"/>
        <v>578.3801652892563</v>
      </c>
    </row>
    <row r="22" spans="1:18">
      <c r="A22" s="80">
        <v>6057</v>
      </c>
      <c r="B22" s="82">
        <v>6.25</v>
      </c>
      <c r="C22" s="83">
        <v>31</v>
      </c>
      <c r="D22" s="65">
        <f t="shared" si="0"/>
        <v>16740000</v>
      </c>
      <c r="E22" s="40">
        <f t="shared" si="1"/>
        <v>384.29752066115702</v>
      </c>
    </row>
    <row r="23" spans="1:18">
      <c r="A23" s="80">
        <v>6088</v>
      </c>
      <c r="B23" s="82">
        <v>8.06</v>
      </c>
      <c r="C23" s="83">
        <v>31</v>
      </c>
      <c r="D23" s="65">
        <f t="shared" si="0"/>
        <v>21587904</v>
      </c>
      <c r="E23" s="40">
        <f t="shared" si="1"/>
        <v>495.59008264462813</v>
      </c>
    </row>
    <row r="24" spans="1:18">
      <c r="A24" s="80">
        <v>6118</v>
      </c>
      <c r="B24" s="82">
        <v>14.6</v>
      </c>
      <c r="C24" s="83">
        <v>30</v>
      </c>
      <c r="D24" s="65">
        <f t="shared" si="0"/>
        <v>37843200</v>
      </c>
      <c r="E24" s="40">
        <f t="shared" si="1"/>
        <v>868.76033057851237</v>
      </c>
    </row>
    <row r="25" spans="1:18">
      <c r="A25" s="80">
        <v>6149</v>
      </c>
      <c r="B25" s="82">
        <v>3.61</v>
      </c>
      <c r="C25" s="83">
        <v>31</v>
      </c>
      <c r="D25" s="65">
        <f t="shared" si="0"/>
        <v>9669024</v>
      </c>
      <c r="E25" s="40">
        <f t="shared" si="1"/>
        <v>221.97024793388431</v>
      </c>
    </row>
    <row r="26" spans="1:18">
      <c r="A26" s="80">
        <v>6179</v>
      </c>
      <c r="B26" s="82">
        <v>5.1100000000000003</v>
      </c>
      <c r="C26" s="83">
        <v>30</v>
      </c>
      <c r="D26" s="65">
        <f t="shared" si="0"/>
        <v>13245120.000000002</v>
      </c>
      <c r="E26" s="40">
        <f t="shared" si="1"/>
        <v>304.06611570247941</v>
      </c>
    </row>
    <row r="27" spans="1:18">
      <c r="A27" s="80">
        <v>6210</v>
      </c>
      <c r="B27" s="82">
        <v>4.3600000000000003</v>
      </c>
      <c r="C27" s="83">
        <v>31</v>
      </c>
      <c r="D27" s="65">
        <f t="shared" si="0"/>
        <v>11677824</v>
      </c>
      <c r="E27" s="40">
        <f t="shared" si="1"/>
        <v>268.08595041322315</v>
      </c>
    </row>
    <row r="28" spans="1:18">
      <c r="A28" s="80">
        <v>6241</v>
      </c>
      <c r="B28" s="82">
        <v>3.73</v>
      </c>
      <c r="C28" s="83">
        <v>31</v>
      </c>
      <c r="D28" s="65">
        <f t="shared" si="0"/>
        <v>9990432</v>
      </c>
      <c r="E28" s="40">
        <f t="shared" si="1"/>
        <v>229.3487603305785</v>
      </c>
    </row>
    <row r="29" spans="1:18">
      <c r="A29" s="80">
        <v>6269</v>
      </c>
      <c r="B29" s="82">
        <v>14.2</v>
      </c>
      <c r="C29" s="83">
        <v>28</v>
      </c>
      <c r="D29" s="65">
        <f t="shared" si="0"/>
        <v>34352640</v>
      </c>
      <c r="E29" s="40">
        <f t="shared" si="1"/>
        <v>788.62809917355366</v>
      </c>
    </row>
    <row r="30" spans="1:18">
      <c r="A30" s="80">
        <v>6300</v>
      </c>
      <c r="B30" s="82">
        <v>5.65</v>
      </c>
      <c r="C30" s="83">
        <v>31</v>
      </c>
      <c r="D30" s="65">
        <f t="shared" si="0"/>
        <v>15132960</v>
      </c>
      <c r="E30" s="40">
        <f t="shared" si="1"/>
        <v>347.40495867768595</v>
      </c>
    </row>
    <row r="31" spans="1:18">
      <c r="A31" s="80">
        <v>6330</v>
      </c>
      <c r="B31" s="82">
        <v>8.1300000000000008</v>
      </c>
      <c r="C31" s="83">
        <v>30</v>
      </c>
      <c r="D31" s="65">
        <f t="shared" si="0"/>
        <v>21072960.000000004</v>
      </c>
      <c r="E31" s="40">
        <f t="shared" si="1"/>
        <v>483.76859504132238</v>
      </c>
    </row>
    <row r="32" spans="1:18">
      <c r="A32" s="80">
        <v>6361</v>
      </c>
      <c r="B32" s="82">
        <v>9.01</v>
      </c>
      <c r="C32" s="83">
        <v>31</v>
      </c>
      <c r="D32" s="65">
        <f t="shared" si="0"/>
        <v>24132384</v>
      </c>
      <c r="E32" s="40">
        <f t="shared" si="1"/>
        <v>554.00330578512398</v>
      </c>
    </row>
    <row r="33" spans="1:5">
      <c r="A33" s="80">
        <v>6391</v>
      </c>
      <c r="B33" s="82">
        <v>1.73</v>
      </c>
      <c r="C33" s="83">
        <v>30</v>
      </c>
      <c r="D33" s="65">
        <f t="shared" si="0"/>
        <v>4484160</v>
      </c>
      <c r="E33" s="40">
        <f t="shared" si="1"/>
        <v>102.94214876033058</v>
      </c>
    </row>
    <row r="34" spans="1:5">
      <c r="A34" s="80">
        <v>6422</v>
      </c>
      <c r="B34" s="82">
        <v>17.5</v>
      </c>
      <c r="C34" s="83">
        <v>31</v>
      </c>
      <c r="D34" s="65">
        <f t="shared" si="0"/>
        <v>46872000</v>
      </c>
      <c r="E34" s="40">
        <f t="shared" si="1"/>
        <v>1076.0330578512396</v>
      </c>
    </row>
    <row r="35" spans="1:5">
      <c r="A35" s="80">
        <v>6453</v>
      </c>
      <c r="B35" s="82">
        <v>6.2</v>
      </c>
      <c r="C35" s="83">
        <v>31</v>
      </c>
      <c r="D35" s="65">
        <f t="shared" si="0"/>
        <v>16606080.000000002</v>
      </c>
      <c r="E35" s="40">
        <f t="shared" si="1"/>
        <v>381.22314049586782</v>
      </c>
    </row>
    <row r="36" spans="1:5">
      <c r="A36" s="80">
        <v>6483</v>
      </c>
      <c r="B36" s="82">
        <v>4.33</v>
      </c>
      <c r="C36" s="83">
        <v>30</v>
      </c>
      <c r="D36" s="65">
        <f t="shared" si="0"/>
        <v>11223360</v>
      </c>
      <c r="E36" s="40">
        <f t="shared" si="1"/>
        <v>257.65289256198349</v>
      </c>
    </row>
    <row r="37" spans="1:5">
      <c r="A37" s="80">
        <v>6514</v>
      </c>
      <c r="B37" s="82">
        <v>2.58</v>
      </c>
      <c r="C37" s="83">
        <v>31</v>
      </c>
      <c r="D37" s="65">
        <f t="shared" si="0"/>
        <v>6910272</v>
      </c>
      <c r="E37" s="40">
        <f t="shared" si="1"/>
        <v>158.63801652892562</v>
      </c>
    </row>
    <row r="38" spans="1:5">
      <c r="A38" s="80">
        <v>6544</v>
      </c>
      <c r="B38" s="82">
        <v>4.45</v>
      </c>
      <c r="C38" s="83">
        <v>30</v>
      </c>
      <c r="D38" s="65">
        <f t="shared" si="0"/>
        <v>11534400</v>
      </c>
      <c r="E38" s="40">
        <f t="shared" si="1"/>
        <v>264.79338842975204</v>
      </c>
    </row>
    <row r="39" spans="1:5">
      <c r="A39" s="80">
        <v>6575</v>
      </c>
      <c r="B39" s="82">
        <v>4.29</v>
      </c>
      <c r="C39" s="83">
        <v>31</v>
      </c>
      <c r="D39" s="65">
        <f t="shared" si="0"/>
        <v>11490336</v>
      </c>
      <c r="E39" s="40">
        <f t="shared" si="1"/>
        <v>263.78181818181821</v>
      </c>
    </row>
    <row r="40" spans="1:5">
      <c r="A40" s="80">
        <v>6606</v>
      </c>
      <c r="B40" s="82">
        <v>4.5199999999999996</v>
      </c>
      <c r="C40" s="83">
        <v>31</v>
      </c>
      <c r="D40" s="65">
        <f t="shared" si="0"/>
        <v>12106367.999999998</v>
      </c>
      <c r="E40" s="40">
        <f t="shared" si="1"/>
        <v>277.9239669421487</v>
      </c>
    </row>
    <row r="41" spans="1:5">
      <c r="A41" s="80">
        <v>6634</v>
      </c>
      <c r="B41" s="82">
        <v>3.66</v>
      </c>
      <c r="C41" s="83">
        <v>28</v>
      </c>
      <c r="D41" s="65">
        <f t="shared" si="0"/>
        <v>8854272</v>
      </c>
      <c r="E41" s="40">
        <f t="shared" si="1"/>
        <v>203.26611570247934</v>
      </c>
    </row>
    <row r="42" spans="1:5">
      <c r="A42" s="80">
        <v>6665</v>
      </c>
      <c r="B42" s="82">
        <v>2.74</v>
      </c>
      <c r="C42" s="83">
        <v>31</v>
      </c>
      <c r="D42" s="65">
        <f t="shared" si="0"/>
        <v>7338816.0000000009</v>
      </c>
      <c r="E42" s="40">
        <f t="shared" si="1"/>
        <v>168.47603305785125</v>
      </c>
    </row>
    <row r="43" spans="1:5">
      <c r="A43" s="80">
        <v>6695</v>
      </c>
      <c r="B43" s="82">
        <v>1.78</v>
      </c>
      <c r="C43" s="83">
        <v>30</v>
      </c>
      <c r="D43" s="65">
        <f t="shared" si="0"/>
        <v>4613760</v>
      </c>
      <c r="E43" s="40">
        <f t="shared" si="1"/>
        <v>105.91735537190083</v>
      </c>
    </row>
    <row r="44" spans="1:5">
      <c r="A44" s="80">
        <v>6726</v>
      </c>
      <c r="B44" s="82">
        <v>0.77100000000000002</v>
      </c>
      <c r="C44" s="83">
        <v>31</v>
      </c>
      <c r="D44" s="65">
        <f t="shared" si="0"/>
        <v>2065046.4</v>
      </c>
      <c r="E44" s="40">
        <f t="shared" si="1"/>
        <v>47.406942148760329</v>
      </c>
    </row>
    <row r="45" spans="1:5">
      <c r="A45" s="80">
        <v>6756</v>
      </c>
      <c r="B45" s="82">
        <v>0.253</v>
      </c>
      <c r="C45" s="83">
        <v>30</v>
      </c>
      <c r="D45" s="65">
        <f t="shared" si="0"/>
        <v>655776</v>
      </c>
      <c r="E45" s="40">
        <f t="shared" si="1"/>
        <v>15.054545454545455</v>
      </c>
    </row>
    <row r="46" spans="1:5">
      <c r="A46" s="80">
        <v>6787</v>
      </c>
      <c r="B46" s="82">
        <v>6.05</v>
      </c>
      <c r="C46" s="83">
        <v>31</v>
      </c>
      <c r="D46" s="65">
        <f t="shared" si="0"/>
        <v>16204319.999999998</v>
      </c>
      <c r="E46" s="40">
        <f t="shared" si="1"/>
        <v>371.99999999999994</v>
      </c>
    </row>
    <row r="47" spans="1:5">
      <c r="A47" s="80">
        <v>6818</v>
      </c>
      <c r="B47" s="82">
        <v>0.48599999999999999</v>
      </c>
      <c r="C47" s="83">
        <v>31</v>
      </c>
      <c r="D47" s="65">
        <f t="shared" si="0"/>
        <v>1301702.3999999999</v>
      </c>
      <c r="E47" s="40">
        <f t="shared" si="1"/>
        <v>29.882975206611569</v>
      </c>
    </row>
    <row r="48" spans="1:5">
      <c r="A48" s="80">
        <v>6848</v>
      </c>
      <c r="B48" s="82">
        <v>0.51</v>
      </c>
      <c r="C48" s="83">
        <v>30</v>
      </c>
      <c r="D48" s="65">
        <f t="shared" si="0"/>
        <v>1321920</v>
      </c>
      <c r="E48" s="40">
        <f t="shared" si="1"/>
        <v>30.347107438016529</v>
      </c>
    </row>
    <row r="49" spans="1:5">
      <c r="A49" s="80">
        <v>6879</v>
      </c>
      <c r="B49" s="82">
        <v>2.69</v>
      </c>
      <c r="C49" s="83">
        <v>31</v>
      </c>
      <c r="D49" s="65">
        <f t="shared" si="0"/>
        <v>7204896</v>
      </c>
      <c r="E49" s="40">
        <f t="shared" si="1"/>
        <v>165.40165289256197</v>
      </c>
    </row>
    <row r="50" spans="1:5">
      <c r="A50" s="80">
        <v>6909</v>
      </c>
      <c r="B50" s="82">
        <v>2.0699999999999998</v>
      </c>
      <c r="C50" s="83">
        <v>30</v>
      </c>
      <c r="D50" s="65">
        <f t="shared" si="0"/>
        <v>5365439.9999999991</v>
      </c>
      <c r="E50" s="40">
        <f t="shared" si="1"/>
        <v>123.17355371900824</v>
      </c>
    </row>
    <row r="51" spans="1:5">
      <c r="A51" s="80">
        <v>6940</v>
      </c>
      <c r="B51" s="82">
        <v>2.36</v>
      </c>
      <c r="C51" s="83">
        <v>31</v>
      </c>
      <c r="D51" s="65">
        <f t="shared" si="0"/>
        <v>6321024</v>
      </c>
      <c r="E51" s="40">
        <f t="shared" si="1"/>
        <v>145.11074380165289</v>
      </c>
    </row>
    <row r="52" spans="1:5">
      <c r="A52" s="80">
        <v>6971</v>
      </c>
      <c r="B52" s="82">
        <v>2.57</v>
      </c>
      <c r="C52" s="83">
        <v>31</v>
      </c>
      <c r="D52" s="65">
        <f t="shared" si="0"/>
        <v>6883488</v>
      </c>
      <c r="E52" s="40">
        <f t="shared" si="1"/>
        <v>158.02314049586778</v>
      </c>
    </row>
    <row r="53" spans="1:5">
      <c r="A53" s="80">
        <v>6999</v>
      </c>
      <c r="B53" s="82">
        <v>3.13</v>
      </c>
      <c r="C53" s="83">
        <v>28</v>
      </c>
      <c r="D53" s="65">
        <f t="shared" si="0"/>
        <v>7572096</v>
      </c>
      <c r="E53" s="40">
        <f t="shared" si="1"/>
        <v>173.83140495867769</v>
      </c>
    </row>
    <row r="54" spans="1:5">
      <c r="A54" s="80">
        <v>7030</v>
      </c>
      <c r="B54" s="82">
        <v>7.94</v>
      </c>
      <c r="C54" s="83">
        <v>31</v>
      </c>
      <c r="D54" s="65">
        <f t="shared" si="0"/>
        <v>21266496</v>
      </c>
      <c r="E54" s="40">
        <f t="shared" si="1"/>
        <v>488.21157024793388</v>
      </c>
    </row>
    <row r="55" spans="1:5">
      <c r="A55" s="80">
        <v>7060</v>
      </c>
      <c r="B55" s="82">
        <v>7.17</v>
      </c>
      <c r="C55" s="83">
        <v>30</v>
      </c>
      <c r="D55" s="65">
        <f t="shared" si="0"/>
        <v>18584640</v>
      </c>
      <c r="E55" s="40">
        <f t="shared" si="1"/>
        <v>426.64462809917353</v>
      </c>
    </row>
    <row r="56" spans="1:5">
      <c r="A56" s="80">
        <v>7091</v>
      </c>
      <c r="B56" s="82">
        <v>11</v>
      </c>
      <c r="C56" s="83">
        <v>31</v>
      </c>
      <c r="D56" s="65">
        <f t="shared" si="0"/>
        <v>29462400</v>
      </c>
      <c r="E56" s="40">
        <f t="shared" si="1"/>
        <v>676.36363636363637</v>
      </c>
    </row>
    <row r="57" spans="1:5">
      <c r="A57" s="80">
        <v>7121</v>
      </c>
      <c r="B57" s="82">
        <v>48.5</v>
      </c>
      <c r="C57" s="83">
        <v>30</v>
      </c>
      <c r="D57" s="65">
        <f t="shared" si="0"/>
        <v>125712000</v>
      </c>
      <c r="E57" s="40">
        <f t="shared" si="1"/>
        <v>2885.9504132231405</v>
      </c>
    </row>
    <row r="58" spans="1:5">
      <c r="A58" s="80">
        <v>7152</v>
      </c>
      <c r="B58" s="82">
        <v>5.44</v>
      </c>
      <c r="C58" s="83">
        <v>31</v>
      </c>
      <c r="D58" s="65">
        <f t="shared" si="0"/>
        <v>14570496.000000002</v>
      </c>
      <c r="E58" s="40">
        <f t="shared" si="1"/>
        <v>334.49256198347109</v>
      </c>
    </row>
    <row r="59" spans="1:5">
      <c r="A59" s="80">
        <v>7183</v>
      </c>
      <c r="B59" s="82">
        <v>5.73</v>
      </c>
      <c r="C59" s="83">
        <v>31</v>
      </c>
      <c r="D59" s="65">
        <f t="shared" si="0"/>
        <v>15347232.000000002</v>
      </c>
      <c r="E59" s="40">
        <f t="shared" si="1"/>
        <v>352.32396694214879</v>
      </c>
    </row>
    <row r="60" spans="1:5">
      <c r="A60" s="80">
        <v>7213</v>
      </c>
      <c r="B60" s="82">
        <v>0.64400000000000002</v>
      </c>
      <c r="C60" s="83">
        <v>30</v>
      </c>
      <c r="D60" s="65">
        <f t="shared" si="0"/>
        <v>1669248</v>
      </c>
      <c r="E60" s="40">
        <f t="shared" si="1"/>
        <v>38.320661157024794</v>
      </c>
    </row>
    <row r="61" spans="1:5">
      <c r="E61" s="40">
        <f t="shared" si="1"/>
        <v>0</v>
      </c>
    </row>
    <row r="62" spans="1:5">
      <c r="E62" s="40">
        <f t="shared" si="1"/>
        <v>0</v>
      </c>
    </row>
  </sheetData>
  <hyperlinks>
    <hyperlink ref="A2" r:id="rId1" display="https://waterdata.usgs.gov/nwis/monthly/?referred_module=sw&amp;amp;site_no=09337500&amp;amp;por_09337500_143192=448685,00060,143192,1911-01,2020-01&amp;amp;format=html_table&amp;amp;date_format=YYYY-MM-DD&amp;amp;rdb_compression=file&amp;amp;submitted_form=parameter_selection_list" xr:uid="{48A2DC84-D01D-411D-AEC7-FA711AEE784F}"/>
    <hyperlink ref="N11" r:id="rId2" display="https://waterdata.usgs.gov/nwis/annual/?referred_module=sw&amp;amp;site_no=09337500&amp;amp;por_09337500_143192=448685,00060,143192,1911,2020&amp;amp;year_type=W&amp;amp;format=html_table&amp;amp;date_format=YYYY-MM-DD&amp;amp;rdb_compression=file&amp;amp;submitted_form=parameter_selection_list" xr:uid="{74878C61-660D-467C-8869-21CCD4A2B78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CE73D-1345-43B7-9B88-38FC5A3E93D0}">
  <dimension ref="A1:B126"/>
  <sheetViews>
    <sheetView topLeftCell="A60" workbookViewId="0">
      <selection activeCell="S78" sqref="S78"/>
    </sheetView>
  </sheetViews>
  <sheetFormatPr defaultRowHeight="14.5"/>
  <sheetData>
    <row r="1" spans="1:1">
      <c r="A1" s="47" t="s">
        <v>447</v>
      </c>
    </row>
    <row r="25" spans="2:2">
      <c r="B25" s="54" t="s">
        <v>110</v>
      </c>
    </row>
    <row r="26" spans="2:2">
      <c r="B26" s="54"/>
    </row>
    <row r="27" spans="2:2">
      <c r="B27" s="54"/>
    </row>
    <row r="28" spans="2:2">
      <c r="B28" s="54"/>
    </row>
    <row r="49" spans="2:2">
      <c r="B49" s="54" t="s">
        <v>109</v>
      </c>
    </row>
    <row r="70" spans="2:2">
      <c r="B70" s="54" t="s">
        <v>293</v>
      </c>
    </row>
    <row r="93" spans="2:2">
      <c r="B93" s="54" t="s">
        <v>294</v>
      </c>
    </row>
    <row r="126" spans="2:2">
      <c r="B126" s="54" t="s">
        <v>425</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FE7BE-73CB-43C0-8679-89A8A70BA104}">
  <dimension ref="A1:R66"/>
  <sheetViews>
    <sheetView workbookViewId="0">
      <selection activeCell="H34" sqref="H34"/>
    </sheetView>
  </sheetViews>
  <sheetFormatPr defaultColWidth="8.81640625" defaultRowHeight="14.5"/>
  <cols>
    <col min="4" max="4" width="14.453125" bestFit="1" customWidth="1"/>
    <col min="5" max="5" width="12.453125" bestFit="1" customWidth="1"/>
    <col min="16" max="16" width="14.08984375" bestFit="1" customWidth="1"/>
    <col min="17" max="17" width="9" bestFit="1" customWidth="1"/>
  </cols>
  <sheetData>
    <row r="1" spans="1:18" ht="16.5">
      <c r="A1" s="111" t="s">
        <v>350</v>
      </c>
    </row>
    <row r="2" spans="1:18">
      <c r="A2" s="44" t="s">
        <v>351</v>
      </c>
    </row>
    <row r="3" spans="1:18">
      <c r="B3" s="110" t="s">
        <v>250</v>
      </c>
    </row>
    <row r="4" spans="1:18">
      <c r="A4" s="149"/>
      <c r="B4" s="138" t="s">
        <v>210</v>
      </c>
      <c r="C4" s="139" t="s">
        <v>211</v>
      </c>
      <c r="D4" s="138" t="s">
        <v>50</v>
      </c>
      <c r="E4" s="139" t="s">
        <v>212</v>
      </c>
      <c r="F4" s="138" t="s">
        <v>52</v>
      </c>
      <c r="G4" s="139" t="s">
        <v>53</v>
      </c>
      <c r="H4" s="138" t="s">
        <v>54</v>
      </c>
      <c r="I4" s="139" t="s">
        <v>213</v>
      </c>
      <c r="J4" s="138" t="s">
        <v>214</v>
      </c>
      <c r="K4" s="139" t="s">
        <v>215</v>
      </c>
      <c r="L4" s="138" t="s">
        <v>216</v>
      </c>
      <c r="M4" s="139" t="s">
        <v>217</v>
      </c>
    </row>
    <row r="5" spans="1:18">
      <c r="A5" s="107">
        <v>2015</v>
      </c>
      <c r="B5" s="112">
        <v>733</v>
      </c>
      <c r="C5" s="112">
        <v>903.3</v>
      </c>
      <c r="D5" s="106">
        <v>1192</v>
      </c>
      <c r="E5" s="112">
        <v>680.8</v>
      </c>
      <c r="F5" s="106">
        <v>1337</v>
      </c>
      <c r="G5" s="106">
        <v>4668</v>
      </c>
      <c r="H5" s="106">
        <v>1941</v>
      </c>
      <c r="I5" s="106">
        <v>1659</v>
      </c>
      <c r="J5" s="112">
        <v>878</v>
      </c>
      <c r="K5" s="106">
        <v>1334</v>
      </c>
      <c r="L5" s="112">
        <v>901.3</v>
      </c>
      <c r="M5" s="112">
        <v>706.1</v>
      </c>
    </row>
    <row r="6" spans="1:18">
      <c r="A6" s="107">
        <v>2016</v>
      </c>
      <c r="B6" s="112">
        <v>797.8</v>
      </c>
      <c r="C6" s="106">
        <v>1100</v>
      </c>
      <c r="D6" s="112">
        <v>999.6</v>
      </c>
      <c r="E6" s="112">
        <v>954.5</v>
      </c>
      <c r="F6" s="106">
        <v>3026</v>
      </c>
      <c r="G6" s="106">
        <v>6538</v>
      </c>
      <c r="H6" s="106">
        <v>1732</v>
      </c>
      <c r="I6" s="106">
        <v>1779</v>
      </c>
      <c r="J6" s="112">
        <v>771.2</v>
      </c>
      <c r="K6" s="112">
        <v>769.8</v>
      </c>
      <c r="L6" s="112">
        <v>851.1</v>
      </c>
      <c r="M6" s="112">
        <v>796.7</v>
      </c>
    </row>
    <row r="7" spans="1:18">
      <c r="A7" s="107">
        <v>2017</v>
      </c>
      <c r="B7" s="112">
        <v>979.1</v>
      </c>
      <c r="C7" s="106">
        <v>1173</v>
      </c>
      <c r="D7" s="106">
        <v>1565</v>
      </c>
      <c r="E7" s="106">
        <v>2019</v>
      </c>
      <c r="F7" s="106">
        <v>4960</v>
      </c>
      <c r="G7" s="106">
        <v>7065</v>
      </c>
      <c r="H7" s="106">
        <v>1573</v>
      </c>
      <c r="I7" s="106">
        <v>1084</v>
      </c>
      <c r="J7" s="112">
        <v>761.7</v>
      </c>
      <c r="K7" s="106">
        <v>1049</v>
      </c>
      <c r="L7" s="112">
        <v>782.8</v>
      </c>
      <c r="M7" s="112">
        <v>685.5</v>
      </c>
    </row>
    <row r="8" spans="1:18">
      <c r="A8" s="107">
        <v>2018</v>
      </c>
      <c r="B8" s="112">
        <v>646.4</v>
      </c>
      <c r="C8" s="112">
        <v>574.5</v>
      </c>
      <c r="D8" s="112">
        <v>506.5</v>
      </c>
      <c r="E8" s="112">
        <v>537.70000000000005</v>
      </c>
      <c r="F8" s="112">
        <v>886.5</v>
      </c>
      <c r="G8" s="112">
        <v>623.6</v>
      </c>
      <c r="H8" s="112">
        <v>702.1</v>
      </c>
      <c r="I8" s="112">
        <v>504</v>
      </c>
      <c r="J8" s="112">
        <v>471.2</v>
      </c>
      <c r="K8" s="112">
        <v>667.3</v>
      </c>
      <c r="L8" s="112">
        <v>613.79999999999995</v>
      </c>
      <c r="M8" s="112">
        <v>523.5</v>
      </c>
    </row>
    <row r="9" spans="1:18">
      <c r="A9" s="107">
        <v>2019</v>
      </c>
      <c r="B9" s="112">
        <v>579.70000000000005</v>
      </c>
      <c r="C9" s="112">
        <v>803.8</v>
      </c>
      <c r="D9" s="106">
        <v>1831</v>
      </c>
      <c r="E9" s="106">
        <v>1920</v>
      </c>
      <c r="F9" s="106">
        <v>2564</v>
      </c>
      <c r="G9" s="106">
        <v>6280</v>
      </c>
      <c r="H9" s="106">
        <v>3435</v>
      </c>
      <c r="I9" s="106">
        <v>1550</v>
      </c>
      <c r="J9" s="106">
        <v>1209</v>
      </c>
      <c r="K9" s="151"/>
      <c r="L9" s="151"/>
      <c r="M9" s="140"/>
    </row>
    <row r="10" spans="1:18">
      <c r="N10" s="44" t="s">
        <v>352</v>
      </c>
    </row>
    <row r="11" spans="1:18">
      <c r="A11" s="141"/>
      <c r="B11" s="1" t="s">
        <v>248</v>
      </c>
      <c r="C11" s="1" t="s">
        <v>247</v>
      </c>
      <c r="D11" s="1" t="s">
        <v>246</v>
      </c>
      <c r="E11" s="142" t="s">
        <v>245</v>
      </c>
      <c r="G11" s="143" t="s">
        <v>320</v>
      </c>
      <c r="H11" s="144" t="s">
        <v>321</v>
      </c>
      <c r="M11" s="145" t="s">
        <v>322</v>
      </c>
      <c r="N11" s="143" t="s">
        <v>248</v>
      </c>
      <c r="O11" s="143" t="s">
        <v>247</v>
      </c>
      <c r="P11" s="145" t="s">
        <v>323</v>
      </c>
      <c r="Q11" s="145" t="s">
        <v>246</v>
      </c>
      <c r="R11" s="145" t="s">
        <v>324</v>
      </c>
    </row>
    <row r="12" spans="1:18">
      <c r="A12" s="80">
        <v>5783</v>
      </c>
      <c r="B12" s="65">
        <v>1334</v>
      </c>
      <c r="C12" s="83">
        <v>31</v>
      </c>
      <c r="D12" s="65">
        <f>B12*C12*86400</f>
        <v>3572985600</v>
      </c>
      <c r="E12" s="40">
        <f>D12/43560</f>
        <v>82024.462809917357</v>
      </c>
      <c r="G12" s="1">
        <v>2016</v>
      </c>
      <c r="H12" s="146">
        <f>SUM(E12:E23)/1000000</f>
        <v>1.2465312396694215</v>
      </c>
      <c r="M12" s="147">
        <v>2016</v>
      </c>
      <c r="N12" s="148">
        <v>1717</v>
      </c>
      <c r="O12" s="1">
        <v>366</v>
      </c>
      <c r="P12" s="1">
        <v>86400</v>
      </c>
      <c r="Q12">
        <f>N12*O12*P12</f>
        <v>54295660800</v>
      </c>
      <c r="R12" s="86">
        <f>Q12/43560/1000000</f>
        <v>1.2464568595041323</v>
      </c>
    </row>
    <row r="13" spans="1:18">
      <c r="A13" s="80">
        <v>5813</v>
      </c>
      <c r="B13" s="65">
        <v>901.3</v>
      </c>
      <c r="C13" s="83">
        <v>30</v>
      </c>
      <c r="D13" s="65">
        <f t="shared" ref="D13:D59" si="0">B13*C13*86400</f>
        <v>2336169600</v>
      </c>
      <c r="E13" s="40">
        <f t="shared" ref="E13:E61" si="1">D13/43560</f>
        <v>53631.074380165286</v>
      </c>
      <c r="G13" s="1">
        <v>2017</v>
      </c>
      <c r="H13" s="146">
        <f>SUM(E24:E35)/1000000</f>
        <v>1.4227509421487605</v>
      </c>
      <c r="M13" s="147">
        <v>2017</v>
      </c>
      <c r="N13" s="147">
        <v>1965</v>
      </c>
      <c r="O13" s="1">
        <v>365</v>
      </c>
      <c r="P13" s="1">
        <v>86400</v>
      </c>
      <c r="Q13">
        <f t="shared" ref="Q13:Q15" si="2">N13*O13*P13</f>
        <v>61968240000</v>
      </c>
      <c r="R13" s="86">
        <f t="shared" ref="R13:R15" si="3">Q13/43560/1000000</f>
        <v>1.4225950413223138</v>
      </c>
    </row>
    <row r="14" spans="1:18">
      <c r="A14" s="80">
        <v>5844</v>
      </c>
      <c r="B14" s="65">
        <v>706.1</v>
      </c>
      <c r="C14" s="83">
        <v>31</v>
      </c>
      <c r="D14" s="65">
        <f t="shared" si="0"/>
        <v>1891218240.0000002</v>
      </c>
      <c r="E14" s="40">
        <f t="shared" si="1"/>
        <v>43416.396694214884</v>
      </c>
      <c r="G14" s="1">
        <v>2018</v>
      </c>
      <c r="H14" s="146">
        <f>SUM(E36:E47)/1000000</f>
        <v>0.48183471074380169</v>
      </c>
      <c r="M14" s="147">
        <v>2018</v>
      </c>
      <c r="N14" s="147">
        <v>665.5</v>
      </c>
      <c r="O14" s="1">
        <v>365</v>
      </c>
      <c r="P14" s="1">
        <v>86400</v>
      </c>
      <c r="Q14">
        <f t="shared" si="2"/>
        <v>20987208000</v>
      </c>
      <c r="R14" s="86">
        <f t="shared" si="3"/>
        <v>0.48180000000000001</v>
      </c>
    </row>
    <row r="15" spans="1:18">
      <c r="A15" s="80">
        <v>5875</v>
      </c>
      <c r="B15" s="1">
        <v>797.8</v>
      </c>
      <c r="C15" s="83">
        <v>31</v>
      </c>
      <c r="D15" s="65">
        <f t="shared" si="0"/>
        <v>2136827520</v>
      </c>
      <c r="E15" s="40">
        <f t="shared" si="1"/>
        <v>49054.809917355371</v>
      </c>
      <c r="G15" s="1">
        <v>2019</v>
      </c>
      <c r="H15" s="146">
        <f>SUM(E48:E59)/1000000</f>
        <v>1.3266563305785122</v>
      </c>
      <c r="M15" s="147">
        <v>2019</v>
      </c>
      <c r="N15" s="147">
        <v>1833</v>
      </c>
      <c r="O15" s="1">
        <v>365</v>
      </c>
      <c r="P15" s="1">
        <v>86400</v>
      </c>
      <c r="Q15">
        <f t="shared" si="2"/>
        <v>57805488000</v>
      </c>
      <c r="R15" s="86">
        <f t="shared" si="3"/>
        <v>1.3270314049586778</v>
      </c>
    </row>
    <row r="16" spans="1:18">
      <c r="A16" s="80">
        <v>5904</v>
      </c>
      <c r="B16" s="1">
        <v>1100</v>
      </c>
      <c r="C16" s="83">
        <v>29</v>
      </c>
      <c r="D16" s="65">
        <f t="shared" si="0"/>
        <v>2756160000</v>
      </c>
      <c r="E16" s="40">
        <f t="shared" si="1"/>
        <v>63272.727272727272</v>
      </c>
      <c r="G16" s="1" t="s">
        <v>325</v>
      </c>
      <c r="H16" s="146">
        <f>AVERAGE(H12:H15)</f>
        <v>1.1194433057851239</v>
      </c>
      <c r="M16" t="s">
        <v>325</v>
      </c>
      <c r="R16" s="86">
        <f>AVERAGE(R12:R15)</f>
        <v>1.1194708264462809</v>
      </c>
    </row>
    <row r="17" spans="1:5">
      <c r="A17" s="80">
        <v>5935</v>
      </c>
      <c r="B17" s="1">
        <v>999.6</v>
      </c>
      <c r="C17" s="83">
        <v>31</v>
      </c>
      <c r="D17" s="65">
        <f t="shared" si="0"/>
        <v>2677328640</v>
      </c>
      <c r="E17" s="40">
        <f t="shared" si="1"/>
        <v>61463.008264462813</v>
      </c>
    </row>
    <row r="18" spans="1:5">
      <c r="A18" s="80">
        <v>5965</v>
      </c>
      <c r="B18" s="1">
        <v>954.5</v>
      </c>
      <c r="C18" s="83">
        <v>30</v>
      </c>
      <c r="D18" s="65">
        <f t="shared" si="0"/>
        <v>2474064000</v>
      </c>
      <c r="E18" s="40">
        <f t="shared" si="1"/>
        <v>56796.694214876035</v>
      </c>
    </row>
    <row r="19" spans="1:5">
      <c r="A19" s="80">
        <v>5996</v>
      </c>
      <c r="B19" s="1">
        <v>3026</v>
      </c>
      <c r="C19" s="83">
        <v>31</v>
      </c>
      <c r="D19" s="65">
        <f t="shared" si="0"/>
        <v>8104838400</v>
      </c>
      <c r="E19" s="40">
        <f t="shared" si="1"/>
        <v>186061.48760330578</v>
      </c>
    </row>
    <row r="20" spans="1:5">
      <c r="A20" s="80">
        <v>6026</v>
      </c>
      <c r="B20" s="1">
        <v>6538</v>
      </c>
      <c r="C20" s="83">
        <v>30</v>
      </c>
      <c r="D20" s="65">
        <f t="shared" si="0"/>
        <v>16946496000</v>
      </c>
      <c r="E20" s="40">
        <f t="shared" si="1"/>
        <v>389038.01652892563</v>
      </c>
    </row>
    <row r="21" spans="1:5">
      <c r="A21" s="80">
        <v>6057</v>
      </c>
      <c r="B21" s="1">
        <v>1732</v>
      </c>
      <c r="C21" s="83">
        <v>31</v>
      </c>
      <c r="D21" s="65">
        <f t="shared" si="0"/>
        <v>4638988800</v>
      </c>
      <c r="E21" s="40">
        <f t="shared" si="1"/>
        <v>106496.52892561983</v>
      </c>
    </row>
    <row r="22" spans="1:5">
      <c r="A22" s="80">
        <v>6088</v>
      </c>
      <c r="B22" s="1">
        <v>1779</v>
      </c>
      <c r="C22" s="83">
        <v>31</v>
      </c>
      <c r="D22" s="65">
        <f t="shared" si="0"/>
        <v>4764873600</v>
      </c>
      <c r="E22" s="40">
        <f t="shared" si="1"/>
        <v>109386.44628099173</v>
      </c>
    </row>
    <row r="23" spans="1:5">
      <c r="A23" s="80">
        <v>6118</v>
      </c>
      <c r="B23" s="1">
        <v>771.2</v>
      </c>
      <c r="C23" s="83">
        <v>30</v>
      </c>
      <c r="D23" s="65">
        <f t="shared" si="0"/>
        <v>1998950400</v>
      </c>
      <c r="E23" s="40">
        <f t="shared" si="1"/>
        <v>45889.586776859505</v>
      </c>
    </row>
    <row r="24" spans="1:5">
      <c r="A24" s="80">
        <v>6149</v>
      </c>
      <c r="B24" s="1">
        <v>769.8</v>
      </c>
      <c r="C24" s="83">
        <v>31</v>
      </c>
      <c r="D24" s="65">
        <f t="shared" si="0"/>
        <v>2061832320</v>
      </c>
      <c r="E24" s="40">
        <f t="shared" si="1"/>
        <v>47333.157024793385</v>
      </c>
    </row>
    <row r="25" spans="1:5">
      <c r="A25" s="80">
        <v>6179</v>
      </c>
      <c r="B25" s="1">
        <v>851.1</v>
      </c>
      <c r="C25" s="83">
        <v>30</v>
      </c>
      <c r="D25" s="65">
        <f t="shared" si="0"/>
        <v>2206051200</v>
      </c>
      <c r="E25" s="40">
        <f t="shared" si="1"/>
        <v>50643.966942148763</v>
      </c>
    </row>
    <row r="26" spans="1:5">
      <c r="A26" s="80">
        <v>6210</v>
      </c>
      <c r="B26" s="1">
        <v>796.7</v>
      </c>
      <c r="C26" s="83">
        <v>31</v>
      </c>
      <c r="D26" s="65">
        <f t="shared" si="0"/>
        <v>2133881280</v>
      </c>
      <c r="E26" s="40">
        <f t="shared" si="1"/>
        <v>48987.173553719011</v>
      </c>
    </row>
    <row r="27" spans="1:5">
      <c r="A27" s="80">
        <v>6241</v>
      </c>
      <c r="B27" s="1">
        <v>979.1</v>
      </c>
      <c r="C27" s="83">
        <v>31</v>
      </c>
      <c r="D27" s="65">
        <f t="shared" si="0"/>
        <v>2622421440</v>
      </c>
      <c r="E27" s="40">
        <f t="shared" si="1"/>
        <v>60202.512396694212</v>
      </c>
    </row>
    <row r="28" spans="1:5">
      <c r="A28" s="80">
        <v>6269</v>
      </c>
      <c r="B28" s="1">
        <v>1173</v>
      </c>
      <c r="C28" s="83">
        <v>28</v>
      </c>
      <c r="D28" s="65">
        <f t="shared" si="0"/>
        <v>2837721600</v>
      </c>
      <c r="E28" s="40">
        <f t="shared" si="1"/>
        <v>65145.123966942148</v>
      </c>
    </row>
    <row r="29" spans="1:5">
      <c r="A29" s="80">
        <v>6300</v>
      </c>
      <c r="B29" s="1">
        <v>1565</v>
      </c>
      <c r="C29" s="83">
        <v>31</v>
      </c>
      <c r="D29" s="65">
        <f t="shared" si="0"/>
        <v>4191696000</v>
      </c>
      <c r="E29" s="40">
        <f t="shared" si="1"/>
        <v>96228.099173553725</v>
      </c>
    </row>
    <row r="30" spans="1:5">
      <c r="A30" s="80">
        <v>6330</v>
      </c>
      <c r="B30" s="1">
        <v>2019</v>
      </c>
      <c r="C30" s="83">
        <v>30</v>
      </c>
      <c r="D30" s="65">
        <f t="shared" si="0"/>
        <v>5233248000</v>
      </c>
      <c r="E30" s="40">
        <f t="shared" si="1"/>
        <v>120138.84297520661</v>
      </c>
    </row>
    <row r="31" spans="1:5">
      <c r="A31" s="80">
        <v>6361</v>
      </c>
      <c r="B31" s="1">
        <v>4960</v>
      </c>
      <c r="C31" s="83">
        <v>31</v>
      </c>
      <c r="D31" s="65">
        <f t="shared" si="0"/>
        <v>13284864000</v>
      </c>
      <c r="E31" s="40">
        <f t="shared" si="1"/>
        <v>304978.51239669422</v>
      </c>
    </row>
    <row r="32" spans="1:5">
      <c r="A32" s="80">
        <v>6391</v>
      </c>
      <c r="B32" s="1">
        <v>7065</v>
      </c>
      <c r="C32" s="83">
        <v>30</v>
      </c>
      <c r="D32" s="65">
        <f t="shared" si="0"/>
        <v>18312480000</v>
      </c>
      <c r="E32" s="40">
        <f t="shared" si="1"/>
        <v>420396.69421487604</v>
      </c>
    </row>
    <row r="33" spans="1:5">
      <c r="A33" s="80">
        <v>6422</v>
      </c>
      <c r="B33" s="1">
        <v>1573</v>
      </c>
      <c r="C33" s="83">
        <v>31</v>
      </c>
      <c r="D33" s="65">
        <f t="shared" si="0"/>
        <v>4213123200</v>
      </c>
      <c r="E33" s="40">
        <f t="shared" si="1"/>
        <v>96720</v>
      </c>
    </row>
    <row r="34" spans="1:5">
      <c r="A34" s="80">
        <v>6453</v>
      </c>
      <c r="B34" s="1">
        <v>1084</v>
      </c>
      <c r="C34" s="83">
        <v>31</v>
      </c>
      <c r="D34" s="65">
        <f t="shared" si="0"/>
        <v>2903385600</v>
      </c>
      <c r="E34" s="40">
        <f t="shared" si="1"/>
        <v>66652.561983471081</v>
      </c>
    </row>
    <row r="35" spans="1:5">
      <c r="A35" s="80">
        <v>6483</v>
      </c>
      <c r="B35" s="1">
        <v>761.7</v>
      </c>
      <c r="C35" s="83">
        <v>30</v>
      </c>
      <c r="D35" s="65">
        <f t="shared" si="0"/>
        <v>1974326400</v>
      </c>
      <c r="E35" s="40">
        <f t="shared" si="1"/>
        <v>45324.297520661159</v>
      </c>
    </row>
    <row r="36" spans="1:5">
      <c r="A36" s="80">
        <v>6514</v>
      </c>
      <c r="B36" s="1">
        <v>1049</v>
      </c>
      <c r="C36" s="83">
        <v>31</v>
      </c>
      <c r="D36" s="65">
        <f t="shared" si="0"/>
        <v>2809641600</v>
      </c>
      <c r="E36" s="40">
        <f t="shared" si="1"/>
        <v>64500.495867768594</v>
      </c>
    </row>
    <row r="37" spans="1:5">
      <c r="A37" s="80">
        <v>6544</v>
      </c>
      <c r="B37" s="1">
        <v>782.8</v>
      </c>
      <c r="C37" s="83">
        <v>30</v>
      </c>
      <c r="D37" s="65">
        <f t="shared" si="0"/>
        <v>2029017600</v>
      </c>
      <c r="E37" s="40">
        <f t="shared" si="1"/>
        <v>46579.834710743802</v>
      </c>
    </row>
    <row r="38" spans="1:5">
      <c r="A38" s="80">
        <v>6575</v>
      </c>
      <c r="B38" s="1">
        <v>685.5</v>
      </c>
      <c r="C38" s="83">
        <v>31</v>
      </c>
      <c r="D38" s="65">
        <f t="shared" si="0"/>
        <v>1836043200</v>
      </c>
      <c r="E38" s="40">
        <f t="shared" si="1"/>
        <v>42149.752066115703</v>
      </c>
    </row>
    <row r="39" spans="1:5">
      <c r="A39" s="80">
        <v>6606</v>
      </c>
      <c r="B39" s="1">
        <v>646.4</v>
      </c>
      <c r="C39" s="83">
        <v>31</v>
      </c>
      <c r="D39" s="65">
        <f t="shared" si="0"/>
        <v>1731317759.9999998</v>
      </c>
      <c r="E39" s="40">
        <f t="shared" si="1"/>
        <v>39745.586776859498</v>
      </c>
    </row>
    <row r="40" spans="1:5">
      <c r="A40" s="80">
        <v>6634</v>
      </c>
      <c r="B40" s="1">
        <v>574.5</v>
      </c>
      <c r="C40" s="83">
        <v>28</v>
      </c>
      <c r="D40" s="65">
        <f t="shared" si="0"/>
        <v>1389830400</v>
      </c>
      <c r="E40" s="40">
        <f t="shared" si="1"/>
        <v>31906.115702479339</v>
      </c>
    </row>
    <row r="41" spans="1:5">
      <c r="A41" s="80">
        <v>6665</v>
      </c>
      <c r="B41" s="1">
        <v>506.5</v>
      </c>
      <c r="C41" s="83">
        <v>31</v>
      </c>
      <c r="D41" s="65">
        <f t="shared" si="0"/>
        <v>1356609600</v>
      </c>
      <c r="E41" s="40">
        <f t="shared" si="1"/>
        <v>31143.471074380166</v>
      </c>
    </row>
    <row r="42" spans="1:5">
      <c r="A42" s="80">
        <v>6695</v>
      </c>
      <c r="B42" s="1">
        <v>537.70000000000005</v>
      </c>
      <c r="C42" s="83">
        <v>30</v>
      </c>
      <c r="D42" s="65">
        <f t="shared" si="0"/>
        <v>1393718400.0000002</v>
      </c>
      <c r="E42" s="40">
        <f t="shared" si="1"/>
        <v>31995.371900826452</v>
      </c>
    </row>
    <row r="43" spans="1:5">
      <c r="A43" s="80">
        <v>6726</v>
      </c>
      <c r="B43" s="1">
        <v>886.5</v>
      </c>
      <c r="C43" s="83">
        <v>31</v>
      </c>
      <c r="D43" s="65">
        <f t="shared" si="0"/>
        <v>2374401600</v>
      </c>
      <c r="E43" s="40">
        <f t="shared" si="1"/>
        <v>54508.760330578516</v>
      </c>
    </row>
    <row r="44" spans="1:5">
      <c r="A44" s="80">
        <v>6756</v>
      </c>
      <c r="B44" s="1">
        <v>623.6</v>
      </c>
      <c r="C44" s="83">
        <v>30</v>
      </c>
      <c r="D44" s="65">
        <f t="shared" si="0"/>
        <v>1616371200</v>
      </c>
      <c r="E44" s="40">
        <f t="shared" si="1"/>
        <v>37106.776859504134</v>
      </c>
    </row>
    <row r="45" spans="1:5">
      <c r="A45" s="80">
        <v>6787</v>
      </c>
      <c r="B45" s="1">
        <v>702.1</v>
      </c>
      <c r="C45" s="83">
        <v>31</v>
      </c>
      <c r="D45" s="65">
        <f t="shared" si="0"/>
        <v>1880504640.0000002</v>
      </c>
      <c r="E45" s="40">
        <f t="shared" si="1"/>
        <v>43170.446280991739</v>
      </c>
    </row>
    <row r="46" spans="1:5">
      <c r="A46" s="80">
        <v>6818</v>
      </c>
      <c r="B46" s="1">
        <v>504</v>
      </c>
      <c r="C46" s="83">
        <v>31</v>
      </c>
      <c r="D46" s="65">
        <f t="shared" si="0"/>
        <v>1349913600</v>
      </c>
      <c r="E46" s="40">
        <f t="shared" si="1"/>
        <v>30989.752066115703</v>
      </c>
    </row>
    <row r="47" spans="1:5">
      <c r="A47" s="80">
        <v>6848</v>
      </c>
      <c r="B47" s="1">
        <v>471.2</v>
      </c>
      <c r="C47" s="83">
        <v>30</v>
      </c>
      <c r="D47" s="65">
        <f t="shared" si="0"/>
        <v>1221350400</v>
      </c>
      <c r="E47" s="40">
        <f t="shared" si="1"/>
        <v>28038.347107438018</v>
      </c>
    </row>
    <row r="48" spans="1:5">
      <c r="A48" s="80">
        <v>6879</v>
      </c>
      <c r="B48" s="1">
        <v>667.3</v>
      </c>
      <c r="C48" s="83">
        <v>31</v>
      </c>
      <c r="D48" s="65">
        <f t="shared" si="0"/>
        <v>1787296320</v>
      </c>
      <c r="E48" s="40">
        <f t="shared" si="1"/>
        <v>41030.67768595041</v>
      </c>
    </row>
    <row r="49" spans="1:5">
      <c r="A49" s="80">
        <v>6909</v>
      </c>
      <c r="B49" s="1">
        <v>613.79999999999995</v>
      </c>
      <c r="C49" s="83">
        <v>30</v>
      </c>
      <c r="D49" s="65">
        <f t="shared" si="0"/>
        <v>1590969600</v>
      </c>
      <c r="E49" s="40">
        <f t="shared" si="1"/>
        <v>36523.63636363636</v>
      </c>
    </row>
    <row r="50" spans="1:5">
      <c r="A50" s="80">
        <v>6940</v>
      </c>
      <c r="B50" s="1">
        <v>523.5</v>
      </c>
      <c r="C50" s="83">
        <v>31</v>
      </c>
      <c r="D50" s="65">
        <f t="shared" si="0"/>
        <v>1402142400</v>
      </c>
      <c r="E50" s="40">
        <f t="shared" si="1"/>
        <v>32188.760330578512</v>
      </c>
    </row>
    <row r="51" spans="1:5">
      <c r="A51" s="80">
        <v>6971</v>
      </c>
      <c r="B51" s="1">
        <v>579.70000000000005</v>
      </c>
      <c r="C51" s="83">
        <v>31</v>
      </c>
      <c r="D51" s="65">
        <f t="shared" si="0"/>
        <v>1552668480</v>
      </c>
      <c r="E51" s="40">
        <f t="shared" si="1"/>
        <v>35644.36363636364</v>
      </c>
    </row>
    <row r="52" spans="1:5">
      <c r="A52" s="80">
        <v>6999</v>
      </c>
      <c r="B52" s="1">
        <v>803.8</v>
      </c>
      <c r="C52" s="83">
        <v>28</v>
      </c>
      <c r="D52" s="65">
        <f t="shared" si="0"/>
        <v>1944552959.9999998</v>
      </c>
      <c r="E52" s="40">
        <f t="shared" si="1"/>
        <v>44640.793388429745</v>
      </c>
    </row>
    <row r="53" spans="1:5">
      <c r="A53" s="80">
        <v>7030</v>
      </c>
      <c r="B53" s="1">
        <v>1831</v>
      </c>
      <c r="C53" s="83">
        <v>31</v>
      </c>
      <c r="D53" s="65">
        <f t="shared" si="0"/>
        <v>4904150400</v>
      </c>
      <c r="E53" s="40">
        <f t="shared" si="1"/>
        <v>112583.80165289257</v>
      </c>
    </row>
    <row r="54" spans="1:5">
      <c r="A54" s="80">
        <v>7060</v>
      </c>
      <c r="B54" s="1">
        <v>1920</v>
      </c>
      <c r="C54" s="83">
        <v>30</v>
      </c>
      <c r="D54" s="65">
        <f t="shared" si="0"/>
        <v>4976640000</v>
      </c>
      <c r="E54" s="40">
        <f t="shared" si="1"/>
        <v>114247.93388429753</v>
      </c>
    </row>
    <row r="55" spans="1:5">
      <c r="A55" s="80">
        <v>7091</v>
      </c>
      <c r="B55" s="1">
        <v>2564</v>
      </c>
      <c r="C55" s="83">
        <v>31</v>
      </c>
      <c r="D55" s="65">
        <f t="shared" si="0"/>
        <v>6867417600</v>
      </c>
      <c r="E55" s="40">
        <f t="shared" si="1"/>
        <v>157654.21487603305</v>
      </c>
    </row>
    <row r="56" spans="1:5">
      <c r="A56" s="80">
        <v>7121</v>
      </c>
      <c r="B56" s="1">
        <v>6280</v>
      </c>
      <c r="C56" s="83">
        <v>30</v>
      </c>
      <c r="D56" s="65">
        <f t="shared" si="0"/>
        <v>16277760000</v>
      </c>
      <c r="E56" s="40">
        <f t="shared" si="1"/>
        <v>373685.95041322312</v>
      </c>
    </row>
    <row r="57" spans="1:5">
      <c r="A57" s="80">
        <v>7152</v>
      </c>
      <c r="B57" s="1">
        <v>3435</v>
      </c>
      <c r="C57" s="83">
        <v>31</v>
      </c>
      <c r="D57" s="65">
        <f t="shared" si="0"/>
        <v>9200304000</v>
      </c>
      <c r="E57" s="40">
        <f t="shared" si="1"/>
        <v>211209.9173553719</v>
      </c>
    </row>
    <row r="58" spans="1:5">
      <c r="A58" s="80">
        <v>7183</v>
      </c>
      <c r="B58" s="1">
        <v>1550</v>
      </c>
      <c r="C58" s="83">
        <v>31</v>
      </c>
      <c r="D58" s="65">
        <f t="shared" si="0"/>
        <v>4151520000</v>
      </c>
      <c r="E58" s="40">
        <f t="shared" si="1"/>
        <v>95305.78512396694</v>
      </c>
    </row>
    <row r="59" spans="1:5">
      <c r="A59" s="80">
        <v>7213</v>
      </c>
      <c r="B59" s="1">
        <v>1209</v>
      </c>
      <c r="C59" s="83">
        <v>30</v>
      </c>
      <c r="D59" s="65">
        <f t="shared" si="0"/>
        <v>3133728000</v>
      </c>
      <c r="E59" s="40">
        <f t="shared" si="1"/>
        <v>71940.495867768594</v>
      </c>
    </row>
    <row r="60" spans="1:5">
      <c r="A60" s="80"/>
      <c r="B60" s="65"/>
      <c r="C60" s="83"/>
      <c r="D60" s="65"/>
      <c r="E60" s="40">
        <f t="shared" si="1"/>
        <v>0</v>
      </c>
    </row>
    <row r="61" spans="1:5">
      <c r="A61" s="80"/>
      <c r="B61" s="65"/>
      <c r="C61" s="83"/>
      <c r="D61" s="65"/>
      <c r="E61" s="40">
        <f t="shared" si="1"/>
        <v>0</v>
      </c>
    </row>
    <row r="62" spans="1:5">
      <c r="A62" s="80"/>
      <c r="B62" s="65"/>
      <c r="C62" s="83"/>
      <c r="D62" s="65"/>
      <c r="E62" s="40"/>
    </row>
    <row r="63" spans="1:5">
      <c r="A63" s="80"/>
      <c r="B63" s="65"/>
      <c r="C63" s="83"/>
      <c r="D63" s="65"/>
      <c r="E63" s="40"/>
    </row>
    <row r="64" spans="1:5">
      <c r="A64" s="80"/>
      <c r="B64" s="65"/>
      <c r="C64" s="83"/>
      <c r="D64" s="65"/>
      <c r="E64" s="40"/>
    </row>
    <row r="65" spans="1:5">
      <c r="A65" s="80"/>
      <c r="B65" s="65"/>
      <c r="C65" s="83"/>
      <c r="D65" s="65"/>
      <c r="E65" s="40"/>
    </row>
    <row r="66" spans="1:5">
      <c r="C66" s="83"/>
    </row>
  </sheetData>
  <hyperlinks>
    <hyperlink ref="A2" r:id="rId1" display="https://waterdata.usgs.gov/ut/nwis/monthly/?referred_module=sw&amp;amp;site_no=09379500&amp;amp;por_09379500_163674=448709,00060,163674,1914-10,2019-10&amp;amp;format=html_table&amp;amp;date_format=YYYY-MM-DD&amp;amp;rdb_compression=file&amp;amp;submitted_form=parameter_selection_list" xr:uid="{7960BD11-793E-411C-B70A-87EB3077A66A}"/>
    <hyperlink ref="N10" r:id="rId2" display="https://waterdata.usgs.gov/ut/nwis/annual/?referred_module=sw&amp;amp;site_no=09379500&amp;amp;por_09379500_163674=448709,00060,163674,1915,2020&amp;amp;year_type=W&amp;amp;format=html_table&amp;amp;date_format=YYYY-MM-DD&amp;amp;rdb_compression=file&amp;amp;submitted_form=parameter_selection_list" xr:uid="{DB0120C0-7046-41E3-9AE3-098EC0A798C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C09EA-B38B-4BED-887A-45271DE22C32}">
  <dimension ref="A1:R62"/>
  <sheetViews>
    <sheetView workbookViewId="0">
      <selection activeCell="M23" sqref="M23"/>
    </sheetView>
  </sheetViews>
  <sheetFormatPr defaultColWidth="8.81640625" defaultRowHeight="14.5"/>
  <cols>
    <col min="4" max="4" width="13.453125" bestFit="1" customWidth="1"/>
    <col min="13" max="13" width="14.81640625" bestFit="1" customWidth="1"/>
    <col min="14" max="14" width="10.1796875" bestFit="1" customWidth="1"/>
    <col min="16" max="16" width="14.08984375" bestFit="1" customWidth="1"/>
    <col min="17" max="17" width="10" bestFit="1" customWidth="1"/>
  </cols>
  <sheetData>
    <row r="1" spans="1:18" ht="16.5">
      <c r="A1" s="111" t="s">
        <v>252</v>
      </c>
    </row>
    <row r="2" spans="1:18">
      <c r="A2" s="44" t="s">
        <v>251</v>
      </c>
    </row>
    <row r="3" spans="1:18">
      <c r="B3" s="110" t="s">
        <v>250</v>
      </c>
    </row>
    <row r="4" spans="1:18">
      <c r="A4" s="149"/>
      <c r="B4" s="138" t="s">
        <v>210</v>
      </c>
      <c r="C4" s="139" t="s">
        <v>211</v>
      </c>
      <c r="D4" s="138" t="s">
        <v>50</v>
      </c>
      <c r="E4" s="139" t="s">
        <v>212</v>
      </c>
      <c r="F4" s="138" t="s">
        <v>52</v>
      </c>
      <c r="G4" s="139" t="s">
        <v>53</v>
      </c>
      <c r="H4" s="138" t="s">
        <v>54</v>
      </c>
      <c r="I4" s="139" t="s">
        <v>213</v>
      </c>
      <c r="J4" s="138" t="s">
        <v>214</v>
      </c>
      <c r="K4" s="139" t="s">
        <v>215</v>
      </c>
      <c r="L4" s="138" t="s">
        <v>216</v>
      </c>
      <c r="M4" s="139" t="s">
        <v>217</v>
      </c>
    </row>
    <row r="5" spans="1:18">
      <c r="A5" s="107">
        <v>2015</v>
      </c>
      <c r="B5" s="106">
        <v>14280</v>
      </c>
      <c r="C5" s="106">
        <v>10720</v>
      </c>
      <c r="D5" s="106">
        <v>10670</v>
      </c>
      <c r="E5" s="106">
        <v>10250</v>
      </c>
      <c r="F5" s="106">
        <v>11520</v>
      </c>
      <c r="G5" s="106">
        <v>13470</v>
      </c>
      <c r="H5" s="106">
        <v>17500</v>
      </c>
      <c r="I5" s="106">
        <v>13240</v>
      </c>
      <c r="J5" s="106">
        <v>12190</v>
      </c>
      <c r="K5" s="106">
        <v>9900</v>
      </c>
      <c r="L5" s="106">
        <v>9794</v>
      </c>
      <c r="M5" s="106">
        <v>14040</v>
      </c>
    </row>
    <row r="6" spans="1:18">
      <c r="A6" s="107">
        <v>2016</v>
      </c>
      <c r="B6" s="106">
        <v>14060</v>
      </c>
      <c r="C6" s="106">
        <v>12240</v>
      </c>
      <c r="D6" s="106">
        <v>11490</v>
      </c>
      <c r="E6" s="106">
        <v>11440</v>
      </c>
      <c r="F6" s="106">
        <v>11540</v>
      </c>
      <c r="G6" s="106">
        <v>13560</v>
      </c>
      <c r="H6" s="106">
        <v>15660</v>
      </c>
      <c r="I6" s="106">
        <v>14870</v>
      </c>
      <c r="J6" s="106">
        <v>11970</v>
      </c>
      <c r="K6" s="106">
        <v>9914</v>
      </c>
      <c r="L6" s="106">
        <v>12680</v>
      </c>
      <c r="M6" s="106">
        <v>14850</v>
      </c>
    </row>
    <row r="7" spans="1:18">
      <c r="A7" s="107">
        <v>2017</v>
      </c>
      <c r="B7" s="106">
        <v>14640</v>
      </c>
      <c r="C7" s="106">
        <v>12960</v>
      </c>
      <c r="D7" s="106">
        <v>11870</v>
      </c>
      <c r="E7" s="106">
        <v>10570</v>
      </c>
      <c r="F7" s="106">
        <v>10700</v>
      </c>
      <c r="G7" s="106">
        <v>12820</v>
      </c>
      <c r="H7" s="106">
        <v>14230</v>
      </c>
      <c r="I7" s="106">
        <v>15120</v>
      </c>
      <c r="J7" s="106">
        <v>11280</v>
      </c>
      <c r="K7" s="106">
        <v>10310</v>
      </c>
      <c r="L7" s="106">
        <v>10400</v>
      </c>
      <c r="M7" s="106">
        <v>11930</v>
      </c>
    </row>
    <row r="8" spans="1:18">
      <c r="A8" s="107">
        <v>2018</v>
      </c>
      <c r="B8" s="106">
        <v>14000</v>
      </c>
      <c r="C8" s="106">
        <v>13500</v>
      </c>
      <c r="D8" s="106">
        <v>13580</v>
      </c>
      <c r="E8" s="106">
        <v>12400</v>
      </c>
      <c r="F8" s="106">
        <v>11870</v>
      </c>
      <c r="G8" s="106">
        <v>13130</v>
      </c>
      <c r="H8" s="106">
        <v>14260</v>
      </c>
      <c r="I8" s="106">
        <v>14810</v>
      </c>
      <c r="J8" s="106">
        <v>11600</v>
      </c>
      <c r="K8" s="106">
        <v>10580</v>
      </c>
      <c r="L8" s="106">
        <v>11240</v>
      </c>
      <c r="M8" s="106">
        <v>12100</v>
      </c>
    </row>
    <row r="9" spans="1:18">
      <c r="A9" s="107">
        <v>2019</v>
      </c>
      <c r="B9" s="106">
        <v>13250</v>
      </c>
      <c r="C9" s="106">
        <v>13350</v>
      </c>
      <c r="D9" s="106">
        <v>12970</v>
      </c>
      <c r="E9" s="106">
        <v>12340</v>
      </c>
      <c r="F9" s="106">
        <v>12230</v>
      </c>
      <c r="G9" s="106">
        <v>13560</v>
      </c>
      <c r="H9" s="106">
        <v>14580</v>
      </c>
      <c r="I9" s="106">
        <v>15160</v>
      </c>
      <c r="J9" s="106">
        <v>11810</v>
      </c>
      <c r="K9" s="106">
        <v>10290</v>
      </c>
      <c r="L9" s="106">
        <v>10590</v>
      </c>
      <c r="M9" s="106">
        <v>12300</v>
      </c>
    </row>
    <row r="10" spans="1:18">
      <c r="A10" s="107">
        <v>2020</v>
      </c>
      <c r="B10" s="106">
        <v>12480</v>
      </c>
      <c r="C10" s="106">
        <v>11940</v>
      </c>
      <c r="D10" s="106">
        <v>11690</v>
      </c>
      <c r="E10" s="151"/>
      <c r="F10" s="151"/>
      <c r="G10" s="151"/>
      <c r="H10" s="151"/>
      <c r="I10" s="151"/>
      <c r="J10" s="151"/>
      <c r="K10" s="151"/>
      <c r="L10" s="151"/>
      <c r="M10" s="140"/>
    </row>
    <row r="12" spans="1:18">
      <c r="A12" s="141"/>
      <c r="B12" s="1" t="s">
        <v>248</v>
      </c>
      <c r="C12" s="1" t="s">
        <v>247</v>
      </c>
      <c r="D12" s="1" t="s">
        <v>246</v>
      </c>
      <c r="E12" s="142" t="s">
        <v>245</v>
      </c>
      <c r="G12" s="143" t="s">
        <v>320</v>
      </c>
      <c r="H12" s="144" t="s">
        <v>321</v>
      </c>
      <c r="M12" s="145" t="s">
        <v>322</v>
      </c>
      <c r="N12" s="143" t="s">
        <v>248</v>
      </c>
      <c r="O12" s="143" t="s">
        <v>247</v>
      </c>
      <c r="P12" s="145" t="s">
        <v>323</v>
      </c>
      <c r="Q12" s="145" t="s">
        <v>246</v>
      </c>
      <c r="R12" s="145" t="s">
        <v>324</v>
      </c>
    </row>
    <row r="13" spans="1:18">
      <c r="A13" s="80">
        <v>5783</v>
      </c>
      <c r="B13" s="65">
        <v>9900</v>
      </c>
      <c r="C13" s="83">
        <v>31</v>
      </c>
      <c r="D13" s="65">
        <f>B13*C13*86400</f>
        <v>26516160000</v>
      </c>
      <c r="E13" s="40">
        <f>D13/43560</f>
        <v>608727.27272727271</v>
      </c>
      <c r="G13" s="1">
        <v>2016</v>
      </c>
      <c r="H13" s="146">
        <f>SUM(E13:E24)/1000000</f>
        <v>9.1165090909090907</v>
      </c>
      <c r="M13" s="147">
        <v>2016</v>
      </c>
      <c r="N13" s="148">
        <v>12560</v>
      </c>
      <c r="O13" s="1">
        <v>366</v>
      </c>
      <c r="P13" s="1">
        <v>86400</v>
      </c>
      <c r="Q13">
        <f>N13*O13*P13</f>
        <v>397177344000</v>
      </c>
      <c r="R13" s="86">
        <f>Q13/43560/1000000</f>
        <v>9.1179371900826442</v>
      </c>
    </row>
    <row r="14" spans="1:18">
      <c r="A14" s="80">
        <v>5813</v>
      </c>
      <c r="B14" s="65">
        <v>9794</v>
      </c>
      <c r="C14" s="83">
        <v>30</v>
      </c>
      <c r="D14" s="65">
        <f>B14*C14*86400</f>
        <v>25386048000</v>
      </c>
      <c r="E14" s="40">
        <f t="shared" ref="E14:E60" si="0">D14/43560</f>
        <v>582783.47107438021</v>
      </c>
      <c r="G14" s="1">
        <v>2017</v>
      </c>
      <c r="H14" s="146">
        <f>SUM(E25:E36)/1000000</f>
        <v>9.1525765289256213</v>
      </c>
      <c r="M14" s="147">
        <v>2017</v>
      </c>
      <c r="N14" s="148">
        <v>12640</v>
      </c>
      <c r="O14" s="1">
        <v>365</v>
      </c>
      <c r="P14" s="1">
        <v>86400</v>
      </c>
      <c r="Q14">
        <f t="shared" ref="Q14:Q16" si="1">N14*O14*P14</f>
        <v>398615040000</v>
      </c>
      <c r="R14" s="86">
        <f t="shared" ref="R14:R16" si="2">Q14/43560/1000000</f>
        <v>9.1509421487603291</v>
      </c>
    </row>
    <row r="15" spans="1:18">
      <c r="A15" s="80">
        <v>5844</v>
      </c>
      <c r="B15" s="65">
        <v>14040</v>
      </c>
      <c r="C15" s="83">
        <v>31</v>
      </c>
      <c r="D15" s="65">
        <f>B15*C15*86400</f>
        <v>37604736000</v>
      </c>
      <c r="E15" s="40">
        <f t="shared" si="0"/>
        <v>863285.95041322312</v>
      </c>
      <c r="G15" s="1">
        <v>2018</v>
      </c>
      <c r="H15" s="146">
        <f>SUM(E37:E48)/1000000</f>
        <v>9.1585983471074357</v>
      </c>
      <c r="M15" s="147">
        <v>2018</v>
      </c>
      <c r="N15" s="148">
        <v>12650</v>
      </c>
      <c r="O15" s="1">
        <v>365</v>
      </c>
      <c r="P15" s="1">
        <v>86400</v>
      </c>
      <c r="Q15">
        <f t="shared" si="1"/>
        <v>398930400000</v>
      </c>
      <c r="R15" s="86">
        <f t="shared" si="2"/>
        <v>9.1581818181818182</v>
      </c>
    </row>
    <row r="16" spans="1:18">
      <c r="A16" s="80">
        <v>5875</v>
      </c>
      <c r="B16" s="1">
        <v>14060</v>
      </c>
      <c r="C16" s="83">
        <v>31</v>
      </c>
      <c r="D16" s="65">
        <f t="shared" ref="D16:D60" si="3">B16*C16*86400</f>
        <v>37658304000</v>
      </c>
      <c r="E16" s="40">
        <f t="shared" si="0"/>
        <v>864515.70247933886</v>
      </c>
      <c r="G16" s="1">
        <v>2019</v>
      </c>
      <c r="H16" s="146">
        <f>SUM(E49:E60)/1000000</f>
        <v>9.2415272727272733</v>
      </c>
      <c r="M16" s="147">
        <v>2019</v>
      </c>
      <c r="N16" s="148">
        <v>12770</v>
      </c>
      <c r="O16" s="1">
        <v>365</v>
      </c>
      <c r="P16" s="1">
        <v>86400</v>
      </c>
      <c r="Q16">
        <f t="shared" si="1"/>
        <v>402714720000</v>
      </c>
      <c r="R16" s="86">
        <f t="shared" si="2"/>
        <v>9.2450578512396699</v>
      </c>
    </row>
    <row r="17" spans="1:18">
      <c r="A17" s="80">
        <v>5904</v>
      </c>
      <c r="B17" s="1">
        <v>12240</v>
      </c>
      <c r="C17" s="83">
        <v>29</v>
      </c>
      <c r="D17" s="65">
        <f t="shared" si="3"/>
        <v>30668544000</v>
      </c>
      <c r="E17" s="40">
        <f t="shared" si="0"/>
        <v>704052.89256198343</v>
      </c>
      <c r="G17" s="1" t="s">
        <v>325</v>
      </c>
      <c r="H17" s="146">
        <f>AVERAGE(H13:H16)</f>
        <v>9.1673028099173557</v>
      </c>
      <c r="M17" s="1" t="s">
        <v>325</v>
      </c>
      <c r="R17" s="86">
        <f>AVERAGE(R13:R16)</f>
        <v>9.1680297520661149</v>
      </c>
    </row>
    <row r="18" spans="1:18">
      <c r="A18" s="80">
        <v>5935</v>
      </c>
      <c r="B18" s="1">
        <v>11490</v>
      </c>
      <c r="C18" s="83">
        <v>31</v>
      </c>
      <c r="D18" s="65">
        <f t="shared" si="3"/>
        <v>30774816000</v>
      </c>
      <c r="E18" s="40">
        <f t="shared" si="0"/>
        <v>706492.56198347104</v>
      </c>
    </row>
    <row r="19" spans="1:18">
      <c r="A19" s="80">
        <v>5965</v>
      </c>
      <c r="B19" s="1">
        <v>11440</v>
      </c>
      <c r="C19" s="83">
        <v>30</v>
      </c>
      <c r="D19" s="65">
        <f t="shared" si="3"/>
        <v>29652480000</v>
      </c>
      <c r="E19" s="40">
        <f t="shared" si="0"/>
        <v>680727.27272727271</v>
      </c>
    </row>
    <row r="20" spans="1:18">
      <c r="A20" s="80">
        <v>5996</v>
      </c>
      <c r="B20" s="1">
        <v>11540</v>
      </c>
      <c r="C20" s="83">
        <v>31</v>
      </c>
      <c r="D20" s="65">
        <f t="shared" si="3"/>
        <v>30908736000</v>
      </c>
      <c r="E20" s="40">
        <f t="shared" si="0"/>
        <v>709566.94214876031</v>
      </c>
    </row>
    <row r="21" spans="1:18">
      <c r="A21" s="80">
        <v>6026</v>
      </c>
      <c r="B21" s="1">
        <v>13560</v>
      </c>
      <c r="C21" s="83">
        <v>30</v>
      </c>
      <c r="D21" s="65">
        <f t="shared" si="3"/>
        <v>35147520000</v>
      </c>
      <c r="E21" s="40">
        <f t="shared" si="0"/>
        <v>806876.03305785125</v>
      </c>
    </row>
    <row r="22" spans="1:18">
      <c r="A22" s="80">
        <v>6057</v>
      </c>
      <c r="B22" s="1">
        <v>15660</v>
      </c>
      <c r="C22" s="83">
        <v>31</v>
      </c>
      <c r="D22" s="65">
        <f t="shared" si="3"/>
        <v>41943744000</v>
      </c>
      <c r="E22" s="40">
        <f t="shared" si="0"/>
        <v>962895.867768595</v>
      </c>
    </row>
    <row r="23" spans="1:18">
      <c r="A23" s="80">
        <v>6088</v>
      </c>
      <c r="B23" s="1">
        <v>14870</v>
      </c>
      <c r="C23" s="83">
        <v>31</v>
      </c>
      <c r="D23" s="65">
        <f t="shared" si="3"/>
        <v>39827808000</v>
      </c>
      <c r="E23" s="40">
        <f t="shared" si="0"/>
        <v>914320.66115702479</v>
      </c>
    </row>
    <row r="24" spans="1:18">
      <c r="A24" s="80">
        <v>6118</v>
      </c>
      <c r="B24" s="1">
        <v>11970</v>
      </c>
      <c r="C24" s="83">
        <v>30</v>
      </c>
      <c r="D24" s="65">
        <f t="shared" si="3"/>
        <v>31026240000</v>
      </c>
      <c r="E24" s="40">
        <f t="shared" si="0"/>
        <v>712264.4628099174</v>
      </c>
    </row>
    <row r="25" spans="1:18">
      <c r="A25" s="80">
        <v>6149</v>
      </c>
      <c r="B25" s="1">
        <v>9914</v>
      </c>
      <c r="C25" s="83">
        <v>31</v>
      </c>
      <c r="D25" s="65">
        <f t="shared" si="3"/>
        <v>26553657600</v>
      </c>
      <c r="E25" s="40">
        <f t="shared" si="0"/>
        <v>609588.09917355375</v>
      </c>
    </row>
    <row r="26" spans="1:18">
      <c r="A26" s="80">
        <v>6179</v>
      </c>
      <c r="B26" s="1">
        <v>12680</v>
      </c>
      <c r="C26" s="83">
        <v>30</v>
      </c>
      <c r="D26" s="65">
        <f t="shared" si="3"/>
        <v>32866560000</v>
      </c>
      <c r="E26" s="40">
        <f t="shared" si="0"/>
        <v>754512.3966942149</v>
      </c>
    </row>
    <row r="27" spans="1:18">
      <c r="A27" s="80">
        <v>6210</v>
      </c>
      <c r="B27" s="1">
        <v>14850</v>
      </c>
      <c r="C27" s="83">
        <v>31</v>
      </c>
      <c r="D27" s="65">
        <f t="shared" si="3"/>
        <v>39774240000</v>
      </c>
      <c r="E27" s="40">
        <f t="shared" si="0"/>
        <v>913090.90909090906</v>
      </c>
    </row>
    <row r="28" spans="1:18">
      <c r="A28" s="80">
        <v>6241</v>
      </c>
      <c r="B28" s="1">
        <v>14640</v>
      </c>
      <c r="C28" s="83">
        <v>31</v>
      </c>
      <c r="D28" s="65">
        <f t="shared" si="3"/>
        <v>39211776000</v>
      </c>
      <c r="E28" s="40">
        <f t="shared" si="0"/>
        <v>900178.51239669416</v>
      </c>
    </row>
    <row r="29" spans="1:18">
      <c r="A29" s="80">
        <v>6269</v>
      </c>
      <c r="B29" s="1">
        <v>12960</v>
      </c>
      <c r="C29" s="83">
        <v>28</v>
      </c>
      <c r="D29" s="65">
        <f t="shared" si="3"/>
        <v>31352832000</v>
      </c>
      <c r="E29" s="40">
        <f t="shared" si="0"/>
        <v>719761.98347107437</v>
      </c>
    </row>
    <row r="30" spans="1:18">
      <c r="A30" s="80">
        <v>6300</v>
      </c>
      <c r="B30" s="1">
        <v>11870</v>
      </c>
      <c r="C30" s="83">
        <v>31</v>
      </c>
      <c r="D30" s="65">
        <f t="shared" si="3"/>
        <v>31792608000</v>
      </c>
      <c r="E30" s="40">
        <f t="shared" si="0"/>
        <v>729857.85123966937</v>
      </c>
    </row>
    <row r="31" spans="1:18">
      <c r="A31" s="80">
        <v>6330</v>
      </c>
      <c r="B31" s="1">
        <v>10570</v>
      </c>
      <c r="C31" s="83">
        <v>30</v>
      </c>
      <c r="D31" s="65">
        <f t="shared" si="3"/>
        <v>27397440000</v>
      </c>
      <c r="E31" s="40">
        <f t="shared" si="0"/>
        <v>628958.67768595042</v>
      </c>
    </row>
    <row r="32" spans="1:18">
      <c r="A32" s="80">
        <v>6361</v>
      </c>
      <c r="B32" s="1">
        <v>10700</v>
      </c>
      <c r="C32" s="83">
        <v>31</v>
      </c>
      <c r="D32" s="65">
        <f t="shared" si="3"/>
        <v>28658880000</v>
      </c>
      <c r="E32" s="40">
        <f t="shared" si="0"/>
        <v>657917.35537190083</v>
      </c>
    </row>
    <row r="33" spans="1:5">
      <c r="A33" s="80">
        <v>6391</v>
      </c>
      <c r="B33" s="1">
        <v>12820</v>
      </c>
      <c r="C33" s="83">
        <v>30</v>
      </c>
      <c r="D33" s="65">
        <f t="shared" si="3"/>
        <v>33229440000</v>
      </c>
      <c r="E33" s="40">
        <f t="shared" si="0"/>
        <v>762842.97520661156</v>
      </c>
    </row>
    <row r="34" spans="1:5">
      <c r="A34" s="80">
        <v>6422</v>
      </c>
      <c r="B34" s="1">
        <v>14230</v>
      </c>
      <c r="C34" s="83">
        <v>31</v>
      </c>
      <c r="D34" s="65">
        <f t="shared" si="3"/>
        <v>38113632000</v>
      </c>
      <c r="E34" s="40">
        <f t="shared" si="0"/>
        <v>874968.59504132229</v>
      </c>
    </row>
    <row r="35" spans="1:5">
      <c r="A35" s="80">
        <v>6453</v>
      </c>
      <c r="B35" s="1">
        <v>15120</v>
      </c>
      <c r="C35" s="83">
        <v>31</v>
      </c>
      <c r="D35" s="65">
        <f t="shared" si="3"/>
        <v>40497408000</v>
      </c>
      <c r="E35" s="40">
        <f t="shared" si="0"/>
        <v>929692.56198347104</v>
      </c>
    </row>
    <row r="36" spans="1:5">
      <c r="A36" s="80">
        <v>6483</v>
      </c>
      <c r="B36" s="1">
        <v>11280</v>
      </c>
      <c r="C36" s="83">
        <v>30</v>
      </c>
      <c r="D36" s="65">
        <f t="shared" si="3"/>
        <v>29237760000</v>
      </c>
      <c r="E36" s="40">
        <f t="shared" si="0"/>
        <v>671206.61157024791</v>
      </c>
    </row>
    <row r="37" spans="1:5">
      <c r="A37" s="80">
        <v>6514</v>
      </c>
      <c r="B37" s="1">
        <v>10310</v>
      </c>
      <c r="C37" s="83">
        <v>31</v>
      </c>
      <c r="D37" s="65">
        <f t="shared" si="3"/>
        <v>27614304000</v>
      </c>
      <c r="E37" s="40">
        <f t="shared" si="0"/>
        <v>633937.19008264458</v>
      </c>
    </row>
    <row r="38" spans="1:5">
      <c r="A38" s="80">
        <v>6544</v>
      </c>
      <c r="B38" s="1">
        <v>10400</v>
      </c>
      <c r="C38" s="83">
        <v>30</v>
      </c>
      <c r="D38" s="65">
        <f t="shared" si="3"/>
        <v>26956800000</v>
      </c>
      <c r="E38" s="40">
        <f t="shared" si="0"/>
        <v>618842.97520661156</v>
      </c>
    </row>
    <row r="39" spans="1:5">
      <c r="A39" s="80">
        <v>6575</v>
      </c>
      <c r="B39" s="1">
        <v>11930</v>
      </c>
      <c r="C39" s="83">
        <v>31</v>
      </c>
      <c r="D39" s="65">
        <f t="shared" si="3"/>
        <v>31953312000</v>
      </c>
      <c r="E39" s="40">
        <f t="shared" si="0"/>
        <v>733547.10743801657</v>
      </c>
    </row>
    <row r="40" spans="1:5">
      <c r="A40" s="80">
        <v>6606</v>
      </c>
      <c r="B40" s="1">
        <v>14000</v>
      </c>
      <c r="C40" s="83">
        <v>31</v>
      </c>
      <c r="D40" s="65">
        <f t="shared" si="3"/>
        <v>37497600000</v>
      </c>
      <c r="E40" s="40">
        <f t="shared" si="0"/>
        <v>860826.44628099177</v>
      </c>
    </row>
    <row r="41" spans="1:5">
      <c r="A41" s="80">
        <v>6634</v>
      </c>
      <c r="B41" s="1">
        <v>13500</v>
      </c>
      <c r="C41" s="83">
        <v>28</v>
      </c>
      <c r="D41" s="65">
        <f t="shared" si="3"/>
        <v>32659200000</v>
      </c>
      <c r="E41" s="40">
        <f t="shared" si="0"/>
        <v>749752.0661157025</v>
      </c>
    </row>
    <row r="42" spans="1:5">
      <c r="A42" s="80">
        <v>6665</v>
      </c>
      <c r="B42" s="1">
        <v>13580</v>
      </c>
      <c r="C42" s="83">
        <v>31</v>
      </c>
      <c r="D42" s="65">
        <f t="shared" si="3"/>
        <v>36372672000</v>
      </c>
      <c r="E42" s="40">
        <f t="shared" si="0"/>
        <v>835001.65289256198</v>
      </c>
    </row>
    <row r="43" spans="1:5">
      <c r="A43" s="80">
        <v>6695</v>
      </c>
      <c r="B43" s="1">
        <v>12400</v>
      </c>
      <c r="C43" s="83">
        <v>30</v>
      </c>
      <c r="D43" s="65">
        <f t="shared" si="3"/>
        <v>32140800000</v>
      </c>
      <c r="E43" s="40">
        <f t="shared" si="0"/>
        <v>737851.23966942145</v>
      </c>
    </row>
    <row r="44" spans="1:5">
      <c r="A44" s="80">
        <v>6726</v>
      </c>
      <c r="B44" s="1">
        <v>11870</v>
      </c>
      <c r="C44" s="83">
        <v>31</v>
      </c>
      <c r="D44" s="65">
        <f t="shared" si="3"/>
        <v>31792608000</v>
      </c>
      <c r="E44" s="40">
        <f t="shared" si="0"/>
        <v>729857.85123966937</v>
      </c>
    </row>
    <row r="45" spans="1:5">
      <c r="A45" s="80">
        <v>6756</v>
      </c>
      <c r="B45" s="1">
        <v>13130</v>
      </c>
      <c r="C45" s="83">
        <v>30</v>
      </c>
      <c r="D45" s="65">
        <f t="shared" si="3"/>
        <v>34032960000</v>
      </c>
      <c r="E45" s="40">
        <f t="shared" si="0"/>
        <v>781289.25619834708</v>
      </c>
    </row>
    <row r="46" spans="1:5">
      <c r="A46" s="80">
        <v>6787</v>
      </c>
      <c r="B46" s="1">
        <v>14260</v>
      </c>
      <c r="C46" s="83">
        <v>31</v>
      </c>
      <c r="D46" s="65">
        <f t="shared" si="3"/>
        <v>38193984000</v>
      </c>
      <c r="E46" s="40">
        <f t="shared" si="0"/>
        <v>876813.22314049583</v>
      </c>
    </row>
    <row r="47" spans="1:5">
      <c r="A47" s="80">
        <v>6818</v>
      </c>
      <c r="B47" s="1">
        <v>14810</v>
      </c>
      <c r="C47" s="83">
        <v>31</v>
      </c>
      <c r="D47" s="65">
        <f t="shared" si="3"/>
        <v>39667104000</v>
      </c>
      <c r="E47" s="40">
        <f t="shared" si="0"/>
        <v>910631.40495867771</v>
      </c>
    </row>
    <row r="48" spans="1:5">
      <c r="A48" s="80">
        <v>6848</v>
      </c>
      <c r="B48" s="1">
        <v>11600</v>
      </c>
      <c r="C48" s="83">
        <v>30</v>
      </c>
      <c r="D48" s="65">
        <f t="shared" si="3"/>
        <v>30067200000</v>
      </c>
      <c r="E48" s="40">
        <f t="shared" si="0"/>
        <v>690247.9338842975</v>
      </c>
    </row>
    <row r="49" spans="1:5">
      <c r="A49" s="80">
        <v>6879</v>
      </c>
      <c r="B49" s="1">
        <v>10580</v>
      </c>
      <c r="C49" s="83">
        <v>31</v>
      </c>
      <c r="D49" s="65">
        <f t="shared" si="3"/>
        <v>28337472000</v>
      </c>
      <c r="E49" s="40">
        <f t="shared" si="0"/>
        <v>650538.84297520656</v>
      </c>
    </row>
    <row r="50" spans="1:5">
      <c r="A50" s="80">
        <v>6909</v>
      </c>
      <c r="B50" s="1">
        <v>11240</v>
      </c>
      <c r="C50" s="83">
        <v>30</v>
      </c>
      <c r="D50" s="65">
        <f t="shared" si="3"/>
        <v>29134080000</v>
      </c>
      <c r="E50" s="40">
        <f t="shared" si="0"/>
        <v>668826.44628099177</v>
      </c>
    </row>
    <row r="51" spans="1:5">
      <c r="A51" s="80">
        <v>6940</v>
      </c>
      <c r="B51" s="1">
        <v>12100</v>
      </c>
      <c r="C51" s="83">
        <v>31</v>
      </c>
      <c r="D51" s="65">
        <f t="shared" si="3"/>
        <v>32408640000</v>
      </c>
      <c r="E51" s="40">
        <f t="shared" si="0"/>
        <v>744000</v>
      </c>
    </row>
    <row r="52" spans="1:5">
      <c r="A52" s="80">
        <v>6971</v>
      </c>
      <c r="B52" s="1">
        <v>13250</v>
      </c>
      <c r="C52" s="83">
        <v>31</v>
      </c>
      <c r="D52" s="65">
        <f t="shared" si="3"/>
        <v>35488800000</v>
      </c>
      <c r="E52" s="40">
        <f t="shared" si="0"/>
        <v>814710.74380165292</v>
      </c>
    </row>
    <row r="53" spans="1:5">
      <c r="A53" s="80">
        <v>6999</v>
      </c>
      <c r="B53" s="1">
        <v>13350</v>
      </c>
      <c r="C53" s="83">
        <v>28</v>
      </c>
      <c r="D53" s="65">
        <f t="shared" si="3"/>
        <v>32296320000</v>
      </c>
      <c r="E53" s="40">
        <f t="shared" si="0"/>
        <v>741421.48760330584</v>
      </c>
    </row>
    <row r="54" spans="1:5">
      <c r="A54" s="80">
        <v>7030</v>
      </c>
      <c r="B54" s="1">
        <v>12970</v>
      </c>
      <c r="C54" s="83">
        <v>31</v>
      </c>
      <c r="D54" s="65">
        <f t="shared" si="3"/>
        <v>34738848000</v>
      </c>
      <c r="E54" s="40">
        <f t="shared" si="0"/>
        <v>797494.21487603302</v>
      </c>
    </row>
    <row r="55" spans="1:5">
      <c r="A55" s="80">
        <v>7060</v>
      </c>
      <c r="B55" s="1">
        <v>12340</v>
      </c>
      <c r="C55" s="83">
        <v>30</v>
      </c>
      <c r="D55" s="65">
        <f t="shared" si="3"/>
        <v>31985280000</v>
      </c>
      <c r="E55" s="40">
        <f t="shared" si="0"/>
        <v>734280.99173553719</v>
      </c>
    </row>
    <row r="56" spans="1:5">
      <c r="A56" s="80">
        <v>7091</v>
      </c>
      <c r="B56" s="1">
        <v>12230</v>
      </c>
      <c r="C56" s="83">
        <v>31</v>
      </c>
      <c r="D56" s="65">
        <f t="shared" si="3"/>
        <v>32756832000</v>
      </c>
      <c r="E56" s="40">
        <f t="shared" si="0"/>
        <v>751993.38842975209</v>
      </c>
    </row>
    <row r="57" spans="1:5">
      <c r="A57" s="80">
        <v>7121</v>
      </c>
      <c r="B57" s="1">
        <v>13560</v>
      </c>
      <c r="C57" s="83">
        <v>30</v>
      </c>
      <c r="D57" s="65">
        <f t="shared" si="3"/>
        <v>35147520000</v>
      </c>
      <c r="E57" s="40">
        <f t="shared" si="0"/>
        <v>806876.03305785125</v>
      </c>
    </row>
    <row r="58" spans="1:5">
      <c r="A58" s="80">
        <v>7152</v>
      </c>
      <c r="B58" s="1">
        <v>14580</v>
      </c>
      <c r="C58" s="83">
        <v>31</v>
      </c>
      <c r="D58" s="65">
        <f t="shared" si="3"/>
        <v>39051072000</v>
      </c>
      <c r="E58" s="40">
        <f t="shared" si="0"/>
        <v>896489.25619834708</v>
      </c>
    </row>
    <row r="59" spans="1:5">
      <c r="A59" s="80">
        <v>7183</v>
      </c>
      <c r="B59" s="1">
        <v>15160</v>
      </c>
      <c r="C59" s="83">
        <v>31</v>
      </c>
      <c r="D59" s="65">
        <f t="shared" si="3"/>
        <v>40604544000</v>
      </c>
      <c r="E59" s="40">
        <f t="shared" si="0"/>
        <v>932152.0661157025</v>
      </c>
    </row>
    <row r="60" spans="1:5">
      <c r="A60" s="80">
        <v>7213</v>
      </c>
      <c r="B60" s="1">
        <v>11810</v>
      </c>
      <c r="C60" s="83">
        <v>30</v>
      </c>
      <c r="D60" s="65">
        <f t="shared" si="3"/>
        <v>30611520000</v>
      </c>
      <c r="E60" s="40">
        <f t="shared" si="0"/>
        <v>702743.80165289261</v>
      </c>
    </row>
    <row r="61" spans="1:5">
      <c r="B61" s="1"/>
      <c r="E61" s="91">
        <f>SUM(E13:E60)/1000000</f>
        <v>36.669211239669423</v>
      </c>
    </row>
    <row r="62" spans="1:5">
      <c r="B62" s="1"/>
    </row>
  </sheetData>
  <hyperlinks>
    <hyperlink ref="A2" r:id="rId1" display="https://waterdata.usgs.gov/az/nwis/monthly/?referred_module=sw&amp;amp;site_no=09380000&amp;amp;por_09380000_236239=19133,00060,236239,1921-10,2020-04&amp;amp;format=html_table&amp;amp;date_format=YYYY-MM-DD&amp;amp;rdb_compression=file&amp;amp;submitted_form=parameter_selection_list" xr:uid="{227EF7CF-573B-49D6-9ADA-1F1DC39C64E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0CE7-3F79-49EE-9994-432563CBA061}">
  <dimension ref="A1:D83"/>
  <sheetViews>
    <sheetView workbookViewId="0">
      <selection activeCell="C23" sqref="C23"/>
    </sheetView>
  </sheetViews>
  <sheetFormatPr defaultColWidth="8.90625" defaultRowHeight="14.5"/>
  <cols>
    <col min="2" max="2" width="11" customWidth="1"/>
    <col min="3" max="3" width="87" customWidth="1"/>
  </cols>
  <sheetData>
    <row r="1" spans="1:3">
      <c r="A1" s="47" t="s">
        <v>422</v>
      </c>
    </row>
    <row r="2" spans="1:3">
      <c r="B2" s="54"/>
    </row>
    <row r="3" spans="1:3">
      <c r="A3" s="47" t="s">
        <v>92</v>
      </c>
      <c r="B3" s="158" t="s">
        <v>91</v>
      </c>
    </row>
    <row r="5" spans="1:3" ht="29">
      <c r="B5" s="159" t="s">
        <v>113</v>
      </c>
      <c r="C5" s="160" t="s">
        <v>111</v>
      </c>
    </row>
    <row r="6" spans="1:3">
      <c r="B6" t="s">
        <v>114</v>
      </c>
      <c r="C6" s="161">
        <f>'USGS gage-NFD (annual)'!AU36</f>
        <v>150000</v>
      </c>
    </row>
    <row r="8" spans="1:3">
      <c r="B8" s="159" t="s">
        <v>113</v>
      </c>
      <c r="C8" s="160" t="s">
        <v>133</v>
      </c>
    </row>
    <row r="9" spans="1:3">
      <c r="B9" t="s">
        <v>114</v>
      </c>
      <c r="C9" s="162">
        <f>'USGS gage-NFD (annual)'!AU36/'USGS gage-NFD (annual)'!AR36</f>
        <v>1.6930022573363433E-2</v>
      </c>
    </row>
    <row r="13" spans="1:3">
      <c r="A13" s="47" t="s">
        <v>92</v>
      </c>
      <c r="B13" s="158" t="s">
        <v>134</v>
      </c>
    </row>
    <row r="15" spans="1:3" ht="29">
      <c r="B15" s="159" t="s">
        <v>113</v>
      </c>
      <c r="C15" s="160" t="s">
        <v>153</v>
      </c>
    </row>
    <row r="16" spans="1:3">
      <c r="B16" t="s">
        <v>114</v>
      </c>
      <c r="C16" s="163">
        <f>Tables!M16/(Tables!M16+Tables!M20+Tables!M17)</f>
        <v>0.98926375774469022</v>
      </c>
    </row>
    <row r="18" spans="1:4" ht="29">
      <c r="B18" s="159" t="s">
        <v>113</v>
      </c>
      <c r="C18" s="160" t="s">
        <v>154</v>
      </c>
    </row>
    <row r="19" spans="1:4">
      <c r="B19" t="s">
        <v>114</v>
      </c>
      <c r="C19" s="163">
        <f>Tables!M6/Tables!M16</f>
        <v>0.91684327379150266</v>
      </c>
    </row>
    <row r="21" spans="1:4" ht="43.5">
      <c r="B21" s="159" t="s">
        <v>113</v>
      </c>
      <c r="C21" s="160" t="s">
        <v>155</v>
      </c>
    </row>
    <row r="22" spans="1:4">
      <c r="B22" t="s">
        <v>156</v>
      </c>
      <c r="C22" s="161">
        <f>ROUND((Tables!M16-Tables!M6-Tables!M7-Tables!M8)*Tables!C1,-3)</f>
        <v>710000</v>
      </c>
      <c r="D22" s="40"/>
    </row>
    <row r="23" spans="1:4">
      <c r="B23" t="s">
        <v>157</v>
      </c>
      <c r="C23" s="161">
        <f>ROUND((Tables!M7+Tables!M8)*Tables!C1,-3)</f>
        <v>114000</v>
      </c>
    </row>
    <row r="25" spans="1:4">
      <c r="C25" s="164"/>
    </row>
    <row r="26" spans="1:4">
      <c r="A26" s="47" t="s">
        <v>92</v>
      </c>
      <c r="B26" s="158" t="s">
        <v>158</v>
      </c>
    </row>
    <row r="28" spans="1:4" ht="29">
      <c r="B28" s="159" t="s">
        <v>113</v>
      </c>
      <c r="C28" s="160" t="s">
        <v>284</v>
      </c>
    </row>
    <row r="29" spans="1:4">
      <c r="B29" t="s">
        <v>114</v>
      </c>
      <c r="C29" s="161">
        <f>ROUND((Tables!AD6-Tables!AC6)*Tables!C1,-3)</f>
        <v>409000</v>
      </c>
    </row>
    <row r="31" spans="1:4">
      <c r="B31" t="s">
        <v>113</v>
      </c>
      <c r="C31" s="164" t="s">
        <v>285</v>
      </c>
    </row>
    <row r="32" spans="1:4">
      <c r="B32" t="s">
        <v>114</v>
      </c>
      <c r="C32" s="163">
        <f ca="1">Tables!AB17/Tables!AB20</f>
        <v>0.92324156046308015</v>
      </c>
    </row>
    <row r="34" spans="2:3" ht="29">
      <c r="B34" s="159" t="s">
        <v>113</v>
      </c>
      <c r="C34" s="160" t="s">
        <v>286</v>
      </c>
    </row>
    <row r="35" spans="2:3">
      <c r="B35" t="s">
        <v>287</v>
      </c>
      <c r="C35" s="165">
        <f>MIN('Mead Evap Rate'!G14:G62)</f>
        <v>5.6703987251139143</v>
      </c>
    </row>
    <row r="36" spans="2:3">
      <c r="B36" t="s">
        <v>288</v>
      </c>
      <c r="C36" s="165">
        <f>MAX('Mead Evap Rate'!G14:G62)</f>
        <v>6.8021715836227505</v>
      </c>
    </row>
    <row r="38" spans="2:3" ht="29">
      <c r="B38" s="159" t="s">
        <v>113</v>
      </c>
      <c r="C38" s="160" t="s">
        <v>289</v>
      </c>
    </row>
    <row r="39" spans="2:3">
      <c r="B39" t="s">
        <v>114</v>
      </c>
      <c r="C39" s="162">
        <f ca="1">Tables!AB19/Tables!AB20</f>
        <v>5.4382722054674586E-2</v>
      </c>
    </row>
    <row r="41" spans="2:3" ht="29">
      <c r="B41" s="159" t="s">
        <v>113</v>
      </c>
      <c r="C41" s="166" t="s">
        <v>290</v>
      </c>
    </row>
    <row r="42" spans="2:3">
      <c r="B42" t="s">
        <v>114</v>
      </c>
      <c r="C42" s="162">
        <f ca="1">Tables!AB18/Tables!AB20</f>
        <v>2.2375717482245355E-2</v>
      </c>
    </row>
    <row r="44" spans="2:3">
      <c r="B44" t="s">
        <v>113</v>
      </c>
      <c r="C44" s="164" t="s">
        <v>291</v>
      </c>
    </row>
    <row r="45" spans="2:3">
      <c r="B45" t="s">
        <v>114</v>
      </c>
      <c r="C45" s="167">
        <f ca="1">'Mead water budget'!N86/1000000</f>
        <v>1.2544870017904342</v>
      </c>
    </row>
    <row r="47" spans="2:3" ht="58">
      <c r="B47" s="159" t="s">
        <v>113</v>
      </c>
      <c r="C47" s="168" t="s">
        <v>292</v>
      </c>
    </row>
    <row r="48" spans="2:3">
      <c r="B48" t="s">
        <v>114</v>
      </c>
      <c r="C48" s="161">
        <f ca="1">ROUND((Tables!AB14-Tables!AB20)*1000000,-4)</f>
        <v>380000</v>
      </c>
    </row>
    <row r="50" spans="1:3" ht="29">
      <c r="B50" s="159" t="s">
        <v>113</v>
      </c>
      <c r="C50" s="168" t="s">
        <v>356</v>
      </c>
    </row>
    <row r="51" spans="1:3">
      <c r="B51" t="s">
        <v>114</v>
      </c>
      <c r="C51" s="161">
        <f>ROUND((Tables!AD9-Tables!AC9)/2*1000000,-5)</f>
        <v>200000</v>
      </c>
    </row>
    <row r="54" spans="1:3">
      <c r="A54" s="47" t="s">
        <v>92</v>
      </c>
      <c r="B54" s="158" t="s">
        <v>295</v>
      </c>
    </row>
    <row r="56" spans="1:3" ht="43.5">
      <c r="B56" s="159" t="s">
        <v>113</v>
      </c>
      <c r="C56" s="160" t="s">
        <v>296</v>
      </c>
    </row>
    <row r="57" spans="1:3">
      <c r="B57" t="s">
        <v>114</v>
      </c>
      <c r="C57" s="161">
        <f>ROUND(('USGS gage-NFD (annual)'!AN37-'USGS gage-NFD (annual)'!BC37),-4)</f>
        <v>260000</v>
      </c>
    </row>
    <row r="60" spans="1:3">
      <c r="A60" s="47" t="s">
        <v>92</v>
      </c>
      <c r="B60" s="158" t="s">
        <v>297</v>
      </c>
    </row>
    <row r="62" spans="1:3" ht="34">
      <c r="B62" s="159" t="s">
        <v>113</v>
      </c>
      <c r="C62" s="160" t="s">
        <v>357</v>
      </c>
    </row>
    <row r="63" spans="1:3">
      <c r="B63" t="s">
        <v>114</v>
      </c>
      <c r="C63" s="161">
        <f>'ungage area Powell and Mead'!D8</f>
        <v>10255</v>
      </c>
    </row>
    <row r="64" spans="1:3">
      <c r="B64" t="s">
        <v>114</v>
      </c>
      <c r="C64" s="161">
        <f>'ungage area Powell and Mead'!I8</f>
        <v>13986</v>
      </c>
    </row>
    <row r="66" spans="2:3" ht="29">
      <c r="B66" s="159" t="s">
        <v>113</v>
      </c>
      <c r="C66" s="160" t="s">
        <v>353</v>
      </c>
    </row>
    <row r="67" spans="2:3">
      <c r="B67" t="s">
        <v>114</v>
      </c>
      <c r="C67" s="161">
        <f>ROUND((Tables!AP7-Tables!AP6)*1000000,-3)</f>
        <v>41000</v>
      </c>
    </row>
    <row r="69" spans="2:3">
      <c r="B69" s="159" t="s">
        <v>113</v>
      </c>
      <c r="C69" s="164" t="s">
        <v>354</v>
      </c>
    </row>
    <row r="70" spans="2:3">
      <c r="B70" t="s">
        <v>114</v>
      </c>
      <c r="C70" s="161">
        <f>ROUND((Tables!AO7-Tables!AO6)*1000000,-3)</f>
        <v>-10000</v>
      </c>
    </row>
    <row r="72" spans="2:3" ht="29">
      <c r="B72" s="159" t="s">
        <v>113</v>
      </c>
      <c r="C72" s="160" t="s">
        <v>355</v>
      </c>
    </row>
    <row r="73" spans="2:3">
      <c r="B73" t="s">
        <v>114</v>
      </c>
      <c r="C73" s="161">
        <f>ROUND((Tables!AP10-Tables!AP8)*1000000,-3)</f>
        <v>36000</v>
      </c>
    </row>
    <row r="75" spans="2:3" ht="60.5">
      <c r="B75" s="159" t="s">
        <v>113</v>
      </c>
      <c r="C75" s="160" t="s">
        <v>358</v>
      </c>
    </row>
    <row r="76" spans="2:3">
      <c r="B76" t="s">
        <v>114</v>
      </c>
      <c r="C76" s="161">
        <f>ROUND((Tables!AP10-Tables!AP9-Tables!AP8)*1000000,-3)</f>
        <v>-30000</v>
      </c>
    </row>
    <row r="78" spans="2:3" ht="31">
      <c r="B78" s="159" t="s">
        <v>113</v>
      </c>
      <c r="C78" s="133" t="s">
        <v>420</v>
      </c>
    </row>
    <row r="79" spans="2:3">
      <c r="B79" t="s">
        <v>114</v>
      </c>
      <c r="C79" s="163">
        <f>(Tables!AT8+Tables!AT9+Tables!AT12)/Tables!AT13</f>
        <v>0.99268870353207683</v>
      </c>
    </row>
    <row r="81" spans="2:3" ht="31">
      <c r="B81" s="159" t="s">
        <v>113</v>
      </c>
      <c r="C81" s="189" t="s">
        <v>421</v>
      </c>
    </row>
    <row r="82" spans="2:3">
      <c r="B82" t="s">
        <v>287</v>
      </c>
      <c r="C82" s="165">
        <f>PowellEvapPrecipBank!V16</f>
        <v>4.08</v>
      </c>
    </row>
    <row r="83" spans="2:3">
      <c r="B83" t="s">
        <v>288</v>
      </c>
      <c r="C83" s="165">
        <f>PowellEvapPrecipBank!T16</f>
        <v>7.76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D1B27-9F8C-4789-9937-D5E176953E9F}">
  <dimension ref="A1:K8"/>
  <sheetViews>
    <sheetView workbookViewId="0">
      <selection activeCell="G16" sqref="G16"/>
    </sheetView>
  </sheetViews>
  <sheetFormatPr defaultRowHeight="14.5"/>
  <cols>
    <col min="1" max="1" width="14.08984375" bestFit="1" customWidth="1"/>
    <col min="2" max="2" width="26.453125" customWidth="1"/>
    <col min="3" max="3" width="17.1796875" customWidth="1"/>
    <col min="4" max="4" width="11.08984375" bestFit="1" customWidth="1"/>
    <col min="6" max="6" width="12.36328125" bestFit="1" customWidth="1"/>
    <col min="7" max="8" width="33.54296875" customWidth="1"/>
    <col min="9" max="9" width="11.08984375" bestFit="1" customWidth="1"/>
  </cols>
  <sheetData>
    <row r="1" spans="1:11">
      <c r="A1" s="47" t="s">
        <v>63</v>
      </c>
      <c r="B1" s="47" t="s">
        <v>437</v>
      </c>
      <c r="C1" t="s">
        <v>438</v>
      </c>
      <c r="D1" t="s">
        <v>82</v>
      </c>
      <c r="F1" s="47" t="s">
        <v>64</v>
      </c>
      <c r="G1" s="47" t="s">
        <v>437</v>
      </c>
      <c r="H1" t="s">
        <v>438</v>
      </c>
      <c r="I1" t="s">
        <v>82</v>
      </c>
    </row>
    <row r="2" spans="1:11">
      <c r="A2" s="41" t="s">
        <v>65</v>
      </c>
      <c r="B2" t="s">
        <v>436</v>
      </c>
      <c r="C2" s="44" t="s">
        <v>85</v>
      </c>
      <c r="D2" s="42">
        <v>111700</v>
      </c>
      <c r="F2" s="41" t="s">
        <v>66</v>
      </c>
      <c r="G2" t="s">
        <v>77</v>
      </c>
      <c r="H2" s="44" t="s">
        <v>439</v>
      </c>
      <c r="I2" s="42">
        <v>171700</v>
      </c>
    </row>
    <row r="3" spans="1:11">
      <c r="A3" s="41" t="s">
        <v>67</v>
      </c>
      <c r="B3" t="s">
        <v>339</v>
      </c>
      <c r="C3" s="44" t="s">
        <v>86</v>
      </c>
      <c r="D3" s="42">
        <v>48560</v>
      </c>
      <c r="F3" s="41" t="s">
        <v>68</v>
      </c>
      <c r="G3" s="46" t="s">
        <v>78</v>
      </c>
      <c r="H3" s="44" t="s">
        <v>443</v>
      </c>
      <c r="I3" s="42">
        <v>5929</v>
      </c>
    </row>
    <row r="4" spans="1:11">
      <c r="A4" s="41" t="s">
        <v>69</v>
      </c>
      <c r="B4" t="s">
        <v>326</v>
      </c>
      <c r="C4" s="44" t="s">
        <v>87</v>
      </c>
      <c r="D4" s="42">
        <v>25406</v>
      </c>
      <c r="F4" s="41" t="s">
        <v>70</v>
      </c>
      <c r="G4" t="s">
        <v>79</v>
      </c>
      <c r="H4" s="44" t="s">
        <v>442</v>
      </c>
      <c r="I4" s="42">
        <v>279</v>
      </c>
    </row>
    <row r="5" spans="1:11">
      <c r="A5" s="41" t="s">
        <v>71</v>
      </c>
      <c r="B5" t="s">
        <v>350</v>
      </c>
      <c r="C5" s="44" t="s">
        <v>88</v>
      </c>
      <c r="D5" s="42">
        <v>23000</v>
      </c>
      <c r="F5" s="41" t="s">
        <v>72</v>
      </c>
      <c r="G5" s="46" t="s">
        <v>80</v>
      </c>
      <c r="H5" s="44" t="s">
        <v>441</v>
      </c>
      <c r="I5" s="42">
        <v>149316</v>
      </c>
      <c r="J5" s="42"/>
      <c r="K5" s="42"/>
    </row>
    <row r="6" spans="1:11">
      <c r="A6" s="41" t="s">
        <v>73</v>
      </c>
      <c r="B6" t="s">
        <v>347</v>
      </c>
      <c r="C6" s="44" t="s">
        <v>89</v>
      </c>
      <c r="D6" s="42">
        <v>320</v>
      </c>
      <c r="F6" s="202" t="s">
        <v>435</v>
      </c>
      <c r="G6" t="s">
        <v>81</v>
      </c>
      <c r="H6" s="44" t="s">
        <v>440</v>
      </c>
      <c r="I6">
        <v>2190</v>
      </c>
    </row>
    <row r="7" spans="1:11">
      <c r="A7" s="41" t="s">
        <v>76</v>
      </c>
      <c r="B7" t="s">
        <v>344</v>
      </c>
      <c r="C7" s="44" t="s">
        <v>90</v>
      </c>
      <c r="D7" s="42">
        <v>4159</v>
      </c>
    </row>
    <row r="8" spans="1:11">
      <c r="A8" s="41" t="s">
        <v>74</v>
      </c>
      <c r="B8" s="41"/>
      <c r="C8" s="41"/>
      <c r="D8" s="49">
        <f>D2-D3-D4-D5-D6-D7</f>
        <v>10255</v>
      </c>
      <c r="I8" s="49">
        <f>I2-I3-I4-I5-I6</f>
        <v>13986</v>
      </c>
      <c r="J8" s="43"/>
      <c r="K8" s="43"/>
    </row>
  </sheetData>
  <hyperlinks>
    <hyperlink ref="C2" r:id="rId1" xr:uid="{B05D1504-A0E2-4ACB-879A-5E8BDD2F7EE1}"/>
    <hyperlink ref="C3" r:id="rId2" xr:uid="{BE6661A0-5BA6-4E7A-8E37-05D157B4390C}"/>
    <hyperlink ref="C4" r:id="rId3" xr:uid="{739D6A02-1CA4-4609-9961-197C99B5378A}"/>
    <hyperlink ref="C5" r:id="rId4" xr:uid="{6B87F5B2-D5A1-4ACC-AE2E-C5A8796002AD}"/>
    <hyperlink ref="C6" r:id="rId5" display="https://waterdata.usgs.gov/nwis/annual/?referred_module=sw&amp;amp;site_no=09337500&amp;amp;por_09337500_143192=448685,00060,143192,1911,2020&amp;amp;year_type=W&amp;amp;format=html_table&amp;amp;date_format=YYYY-MM-DD&amp;amp;rdb_compression=file&amp;amp;submitted_form=parameter_selection_list" xr:uid="{B8B998B9-40CF-4087-A00F-84AA97F560B5}"/>
    <hyperlink ref="C7" r:id="rId6" xr:uid="{6E2B1CA7-F8FD-448B-8670-61C2548A7495}"/>
    <hyperlink ref="H2" r:id="rId7" xr:uid="{43F06E4A-2C9A-4448-8310-F1D7ACCCB72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578CD-31DA-4773-9A15-1552D17842B5}">
  <dimension ref="A1:F31"/>
  <sheetViews>
    <sheetView zoomScale="160" zoomScaleNormal="160" workbookViewId="0">
      <selection activeCell="B2" sqref="B2"/>
    </sheetView>
  </sheetViews>
  <sheetFormatPr defaultRowHeight="14.5"/>
  <cols>
    <col min="2" max="2" width="10.90625" bestFit="1" customWidth="1"/>
    <col min="3" max="3" width="10.6328125" customWidth="1"/>
  </cols>
  <sheetData>
    <row r="1" spans="1:6">
      <c r="A1" t="s">
        <v>115</v>
      </c>
      <c r="B1" t="s">
        <v>59</v>
      </c>
      <c r="C1" t="s">
        <v>452</v>
      </c>
      <c r="E1">
        <v>0</v>
      </c>
      <c r="F1">
        <v>0</v>
      </c>
    </row>
    <row r="2" spans="1:6">
      <c r="A2">
        <f>'USGS gage-NFD (annual)'!A5</f>
        <v>1990</v>
      </c>
      <c r="B2" s="204">
        <f>SUM('USGS gage-NFD (annual)'!AH5,-'USGS gage-NFD (annual)'!T5,'USGS gage-NFD (annual)'!AJ5)/1000000</f>
        <v>0.82110000000000005</v>
      </c>
      <c r="C2" s="204">
        <f>SUM('USGS gage-NFD (annual)'!AX5,'USGS gage-NFD (annual)'!AY5,'USGS gage-NFD (annual)'!AZ5,'USGS gage-NFD (annual)'!BB5,'USGS gage-NFD (annual)'!BC5)/1000000</f>
        <v>0.68247800000000003</v>
      </c>
      <c r="E2">
        <v>2.5</v>
      </c>
      <c r="F2">
        <v>1</v>
      </c>
    </row>
    <row r="3" spans="1:6">
      <c r="A3">
        <f>'USGS gage-NFD (annual)'!A6</f>
        <v>1991</v>
      </c>
      <c r="B3" s="204">
        <f>SUM('USGS gage-NFD (annual)'!AH6,-'USGS gage-NFD (annual)'!T6,'USGS gage-NFD (annual)'!AJ6)/1000000</f>
        <v>0.86160000000000003</v>
      </c>
      <c r="C3" s="204">
        <f>SUM('USGS gage-NFD (annual)'!AX6,'USGS gage-NFD (annual)'!AY6,'USGS gage-NFD (annual)'!AZ6,'USGS gage-NFD (annual)'!BB6,'USGS gage-NFD (annual)'!BC6)/1000000</f>
        <v>0.872946</v>
      </c>
    </row>
    <row r="4" spans="1:6">
      <c r="A4">
        <f>'USGS gage-NFD (annual)'!A7</f>
        <v>1992</v>
      </c>
      <c r="B4" s="204">
        <f>SUM('USGS gage-NFD (annual)'!AH7,-'USGS gage-NFD (annual)'!T7,'USGS gage-NFD (annual)'!AJ7)/1000000</f>
        <v>1.103</v>
      </c>
      <c r="C4" s="204">
        <f>SUM('USGS gage-NFD (annual)'!AX7,'USGS gage-NFD (annual)'!AY7,'USGS gage-NFD (annual)'!AZ7,'USGS gage-NFD (annual)'!BB7,'USGS gage-NFD (annual)'!BC7)/1000000</f>
        <v>1.1973940000000001</v>
      </c>
    </row>
    <row r="5" spans="1:6">
      <c r="A5">
        <f>'USGS gage-NFD (annual)'!A8</f>
        <v>1993</v>
      </c>
      <c r="B5" s="204">
        <f>SUM('USGS gage-NFD (annual)'!AH8,-'USGS gage-NFD (annual)'!T8,'USGS gage-NFD (annual)'!AJ8)/1000000</f>
        <v>1.6619999999999999</v>
      </c>
      <c r="C5" s="204">
        <f>SUM('USGS gage-NFD (annual)'!AX8,'USGS gage-NFD (annual)'!AY8,'USGS gage-NFD (annual)'!AZ8,'USGS gage-NFD (annual)'!BB8,'USGS gage-NFD (annual)'!BC8)/1000000</f>
        <v>2.049013</v>
      </c>
    </row>
    <row r="6" spans="1:6">
      <c r="A6">
        <f>'USGS gage-NFD (annual)'!A9</f>
        <v>1994</v>
      </c>
      <c r="B6" s="204">
        <f>SUM('USGS gage-NFD (annual)'!AH9,-'USGS gage-NFD (annual)'!T9,'USGS gage-NFD (annual)'!AJ9)/1000000</f>
        <v>0.66900000000000004</v>
      </c>
      <c r="C6" s="204">
        <f>SUM('USGS gage-NFD (annual)'!AX9,'USGS gage-NFD (annual)'!AY9,'USGS gage-NFD (annual)'!AZ9,'USGS gage-NFD (annual)'!BB9,'USGS gage-NFD (annual)'!BC9)/1000000</f>
        <v>0.66440600000000005</v>
      </c>
    </row>
    <row r="7" spans="1:6">
      <c r="A7">
        <f>'USGS gage-NFD (annual)'!A10</f>
        <v>1995</v>
      </c>
      <c r="B7" s="204">
        <f>SUM('USGS gage-NFD (annual)'!AH10,-'USGS gage-NFD (annual)'!T10,'USGS gage-NFD (annual)'!AJ10)/1000000</f>
        <v>1.2050000000000001</v>
      </c>
      <c r="C7" s="204">
        <f>SUM('USGS gage-NFD (annual)'!AX10,'USGS gage-NFD (annual)'!AY10,'USGS gage-NFD (annual)'!AZ10,'USGS gage-NFD (annual)'!BB10,'USGS gage-NFD (annual)'!BC10)/1000000</f>
        <v>1.4108780000000001</v>
      </c>
    </row>
    <row r="8" spans="1:6">
      <c r="A8">
        <f>'USGS gage-NFD (annual)'!A11</f>
        <v>1996</v>
      </c>
      <c r="B8" s="204">
        <f>SUM('USGS gage-NFD (annual)'!AH11,-'USGS gage-NFD (annual)'!T11,'USGS gage-NFD (annual)'!AJ11)/1000000</f>
        <v>0.57899999999999996</v>
      </c>
      <c r="C8" s="204">
        <f>SUM('USGS gage-NFD (annual)'!AX11,'USGS gage-NFD (annual)'!AY11,'USGS gage-NFD (annual)'!AZ11,'USGS gage-NFD (annual)'!BB11,'USGS gage-NFD (annual)'!BC11)/1000000</f>
        <v>0.64435799999999999</v>
      </c>
    </row>
    <row r="9" spans="1:6">
      <c r="A9">
        <f>'USGS gage-NFD (annual)'!A12</f>
        <v>1997</v>
      </c>
      <c r="B9" s="204">
        <f>SUM('USGS gage-NFD (annual)'!AH12,-'USGS gage-NFD (annual)'!T12,'USGS gage-NFD (annual)'!AJ12)/1000000</f>
        <v>0.80300000000000005</v>
      </c>
      <c r="C9" s="204">
        <f>SUM('USGS gage-NFD (annual)'!AX12,'USGS gage-NFD (annual)'!AY12,'USGS gage-NFD (annual)'!AZ12,'USGS gage-NFD (annual)'!BB12,'USGS gage-NFD (annual)'!BC12)/1000000</f>
        <v>0.77238600000000002</v>
      </c>
    </row>
    <row r="10" spans="1:6">
      <c r="A10">
        <f>'USGS gage-NFD (annual)'!A13</f>
        <v>1998</v>
      </c>
      <c r="B10" s="204">
        <f>SUM('USGS gage-NFD (annual)'!AH13,-'USGS gage-NFD (annual)'!T13,'USGS gage-NFD (annual)'!AJ13)/1000000</f>
        <v>0.95499999999999996</v>
      </c>
      <c r="C10" s="204">
        <f>SUM('USGS gage-NFD (annual)'!AX13,'USGS gage-NFD (annual)'!AY13,'USGS gage-NFD (annual)'!AZ13,'USGS gage-NFD (annual)'!BB13,'USGS gage-NFD (annual)'!BC13)/1000000</f>
        <v>1.2180200000000001</v>
      </c>
    </row>
    <row r="11" spans="1:6">
      <c r="A11">
        <f>'USGS gage-NFD (annual)'!A14</f>
        <v>1999</v>
      </c>
      <c r="B11" s="204">
        <f>SUM('USGS gage-NFD (annual)'!AH14,-'USGS gage-NFD (annual)'!T14,'USGS gage-NFD (annual)'!AJ14)/1000000</f>
        <v>0.82899999999999996</v>
      </c>
      <c r="C11" s="204">
        <f>SUM('USGS gage-NFD (annual)'!AX14,'USGS gage-NFD (annual)'!AY14,'USGS gage-NFD (annual)'!AZ14,'USGS gage-NFD (annual)'!BB14,'USGS gage-NFD (annual)'!BC14)/1000000</f>
        <v>0.66140600000000005</v>
      </c>
    </row>
    <row r="12" spans="1:6">
      <c r="A12">
        <f>'USGS gage-NFD (annual)'!A15</f>
        <v>2000</v>
      </c>
      <c r="B12" s="204">
        <f>SUM('USGS gage-NFD (annual)'!AH15,-'USGS gage-NFD (annual)'!T15,'USGS gage-NFD (annual)'!AJ15)/1000000</f>
        <v>0.82299999999999995</v>
      </c>
      <c r="C12" s="204">
        <f>SUM('USGS gage-NFD (annual)'!AX15,'USGS gage-NFD (annual)'!AY15,'USGS gage-NFD (annual)'!AZ15,'USGS gage-NFD (annual)'!BB15,'USGS gage-NFD (annual)'!BC15)/1000000</f>
        <v>0.45391999999999999</v>
      </c>
    </row>
    <row r="13" spans="1:6">
      <c r="A13">
        <f>'USGS gage-NFD (annual)'!A16</f>
        <v>2001</v>
      </c>
      <c r="B13" s="204">
        <f>SUM('USGS gage-NFD (annual)'!AH16,-'USGS gage-NFD (annual)'!T16,'USGS gage-NFD (annual)'!AJ16)/1000000</f>
        <v>0.83899999999999997</v>
      </c>
      <c r="C13" s="204">
        <f>SUM('USGS gage-NFD (annual)'!AX16,'USGS gage-NFD (annual)'!AY16,'USGS gage-NFD (annual)'!AZ16,'USGS gage-NFD (annual)'!BB16,'USGS gage-NFD (annual)'!BC16)/1000000</f>
        <v>0.60839600000000005</v>
      </c>
    </row>
    <row r="14" spans="1:6">
      <c r="A14">
        <f>'USGS gage-NFD (annual)'!A17</f>
        <v>2002</v>
      </c>
      <c r="B14" s="204">
        <f>SUM('USGS gage-NFD (annual)'!AH17,-'USGS gage-NFD (annual)'!T17,'USGS gage-NFD (annual)'!AJ17)/1000000</f>
        <v>0.61729999999999996</v>
      </c>
      <c r="C14" s="204">
        <f>SUM('USGS gage-NFD (annual)'!AX17,'USGS gage-NFD (annual)'!AY17,'USGS gage-NFD (annual)'!AZ17,'USGS gage-NFD (annual)'!BB17,'USGS gage-NFD (annual)'!BC17)/1000000</f>
        <v>0.32613700000000001</v>
      </c>
    </row>
    <row r="15" spans="1:6">
      <c r="A15">
        <f>'USGS gage-NFD (annual)'!A18</f>
        <v>2003</v>
      </c>
      <c r="B15" s="204">
        <f>SUM('USGS gage-NFD (annual)'!AH18,-'USGS gage-NFD (annual)'!T18,'USGS gage-NFD (annual)'!AJ18)/1000000</f>
        <v>0.6774</v>
      </c>
      <c r="C15" s="204">
        <f>SUM('USGS gage-NFD (annual)'!AX18,'USGS gage-NFD (annual)'!AY18,'USGS gage-NFD (annual)'!AZ18,'USGS gage-NFD (annual)'!BB18,'USGS gage-NFD (annual)'!BC18)/1000000</f>
        <v>0.50059399999999998</v>
      </c>
    </row>
    <row r="16" spans="1:6">
      <c r="A16">
        <f>'USGS gage-NFD (annual)'!A19</f>
        <v>2004</v>
      </c>
      <c r="B16" s="204">
        <f>SUM('USGS gage-NFD (annual)'!AH19,-'USGS gage-NFD (annual)'!T19,'USGS gage-NFD (annual)'!AJ19)/1000000</f>
        <v>0.72070000000000001</v>
      </c>
      <c r="C16" s="204">
        <f>SUM('USGS gage-NFD (annual)'!AX19,'USGS gage-NFD (annual)'!AY19,'USGS gage-NFD (annual)'!AZ19,'USGS gage-NFD (annual)'!BB19,'USGS gage-NFD (annual)'!BC19)/1000000</f>
        <v>0.466028</v>
      </c>
    </row>
    <row r="17" spans="1:3">
      <c r="A17">
        <f>'USGS gage-NFD (annual)'!A20</f>
        <v>2005</v>
      </c>
      <c r="B17" s="204">
        <f>SUM('USGS gage-NFD (annual)'!AH20,-'USGS gage-NFD (annual)'!T20,'USGS gage-NFD (annual)'!AJ20)/1000000</f>
        <v>1.649</v>
      </c>
      <c r="C17" s="204">
        <f>SUM('USGS gage-NFD (annual)'!AX20,'USGS gage-NFD (annual)'!AY20,'USGS gage-NFD (annual)'!AZ20,'USGS gage-NFD (annual)'!BB20,'USGS gage-NFD (annual)'!BC20)/1000000</f>
        <v>1.8925510000000001</v>
      </c>
    </row>
    <row r="18" spans="1:3">
      <c r="A18">
        <f>'USGS gage-NFD (annual)'!A21</f>
        <v>2006</v>
      </c>
      <c r="B18" s="204">
        <f>SUM('USGS gage-NFD (annual)'!AH21,-'USGS gage-NFD (annual)'!T21,'USGS gage-NFD (annual)'!AJ21)/1000000</f>
        <v>0.69</v>
      </c>
      <c r="C18" s="204">
        <f>SUM('USGS gage-NFD (annual)'!AX21,'USGS gage-NFD (annual)'!AY21,'USGS gage-NFD (annual)'!AZ21,'USGS gage-NFD (annual)'!BB21,'USGS gage-NFD (annual)'!BC21)/1000000</f>
        <v>0.4365</v>
      </c>
    </row>
    <row r="19" spans="1:3">
      <c r="A19">
        <f>'USGS gage-NFD (annual)'!A22</f>
        <v>2007</v>
      </c>
      <c r="B19" s="204">
        <f>SUM('USGS gage-NFD (annual)'!AH22,-'USGS gage-NFD (annual)'!T22,'USGS gage-NFD (annual)'!AJ22)/1000000</f>
        <v>0.90049999999999997</v>
      </c>
      <c r="C19" s="204">
        <f>SUM('USGS gage-NFD (annual)'!AX22,'USGS gage-NFD (annual)'!AY22,'USGS gage-NFD (annual)'!AZ22,'USGS gage-NFD (annual)'!BB22,'USGS gage-NFD (annual)'!BC22)/1000000</f>
        <v>0.50835900000000001</v>
      </c>
    </row>
    <row r="20" spans="1:3">
      <c r="A20">
        <f>'USGS gage-NFD (annual)'!A23</f>
        <v>2008</v>
      </c>
      <c r="B20" s="204">
        <f>SUM('USGS gage-NFD (annual)'!AH23,-'USGS gage-NFD (annual)'!T23,'USGS gage-NFD (annual)'!AJ23)/1000000</f>
        <v>1.004</v>
      </c>
      <c r="C20" s="204">
        <f>SUM('USGS gage-NFD (annual)'!AX23,'USGS gage-NFD (annual)'!AY23,'USGS gage-NFD (annual)'!AZ23,'USGS gage-NFD (annual)'!BB23,'USGS gage-NFD (annual)'!BC23)/1000000</f>
        <v>0.72677000000000003</v>
      </c>
    </row>
    <row r="21" spans="1:3">
      <c r="A21">
        <f>'USGS gage-NFD (annual)'!A24</f>
        <v>2009</v>
      </c>
      <c r="B21" s="204">
        <f>SUM('USGS gage-NFD (annual)'!AH24,-'USGS gage-NFD (annual)'!T24,'USGS gage-NFD (annual)'!AJ24)/1000000</f>
        <v>0.98860000000000003</v>
      </c>
      <c r="C21" s="204">
        <f>SUM('USGS gage-NFD (annual)'!AX24,'USGS gage-NFD (annual)'!AY24,'USGS gage-NFD (annual)'!AZ24,'USGS gage-NFD (annual)'!BB24,'USGS gage-NFD (annual)'!BC24)/1000000</f>
        <v>0.493618</v>
      </c>
    </row>
    <row r="22" spans="1:3">
      <c r="A22">
        <f>'USGS gage-NFD (annual)'!A25</f>
        <v>2010</v>
      </c>
      <c r="B22" s="204">
        <f>SUM('USGS gage-NFD (annual)'!AH25,-'USGS gage-NFD (annual)'!T25,'USGS gage-NFD (annual)'!AJ25)/1000000</f>
        <v>1.214</v>
      </c>
      <c r="C22" s="204">
        <f>SUM('USGS gage-NFD (annual)'!AX25,'USGS gage-NFD (annual)'!AY25,'USGS gage-NFD (annual)'!AZ25,'USGS gage-NFD (annual)'!BB25,'USGS gage-NFD (annual)'!BC25)/1000000</f>
        <v>0.73869499999999999</v>
      </c>
    </row>
    <row r="23" spans="1:3">
      <c r="A23">
        <f>'USGS gage-NFD (annual)'!A26</f>
        <v>2011</v>
      </c>
      <c r="B23" s="204">
        <f>SUM('USGS gage-NFD (annual)'!AH26,-'USGS gage-NFD (annual)'!T26,'USGS gage-NFD (annual)'!AJ26)/1000000</f>
        <v>1.1379999999999999</v>
      </c>
      <c r="C23" s="204">
        <f>SUM('USGS gage-NFD (annual)'!AX26,'USGS gage-NFD (annual)'!AY26,'USGS gage-NFD (annual)'!AZ26,'USGS gage-NFD (annual)'!BB26,'USGS gage-NFD (annual)'!BC26)/1000000</f>
        <v>0.95151699999999995</v>
      </c>
    </row>
    <row r="24" spans="1:3">
      <c r="A24">
        <f>'USGS gage-NFD (annual)'!A27</f>
        <v>2012</v>
      </c>
      <c r="B24" s="204">
        <f>SUM('USGS gage-NFD (annual)'!AH27,-'USGS gage-NFD (annual)'!T27,'USGS gage-NFD (annual)'!AJ27)/1000000</f>
        <v>0.88700000000000001</v>
      </c>
      <c r="C24" s="204">
        <f>SUM('USGS gage-NFD (annual)'!AX27,'USGS gage-NFD (annual)'!AY27,'USGS gage-NFD (annual)'!AZ27,'USGS gage-NFD (annual)'!BB27,'USGS gage-NFD (annual)'!BC27)/1000000</f>
        <v>0.66888300000000001</v>
      </c>
    </row>
    <row r="25" spans="1:3">
      <c r="A25">
        <f>'USGS gage-NFD (annual)'!A28</f>
        <v>2013</v>
      </c>
      <c r="B25" s="204">
        <f>SUM('USGS gage-NFD (annual)'!AH28,-'USGS gage-NFD (annual)'!T28,'USGS gage-NFD (annual)'!AJ28)/1000000</f>
        <v>1.0529999999999999</v>
      </c>
      <c r="C25" s="204">
        <f>SUM('USGS gage-NFD (annual)'!AX28,'USGS gage-NFD (annual)'!AY28,'USGS gage-NFD (annual)'!AZ28,'USGS gage-NFD (annual)'!BB28,'USGS gage-NFD (annual)'!BC28)/1000000</f>
        <v>0.79278899999999997</v>
      </c>
    </row>
    <row r="26" spans="1:3">
      <c r="A26">
        <f>'USGS gage-NFD (annual)'!A29</f>
        <v>2014</v>
      </c>
      <c r="B26" s="204">
        <f>SUM('USGS gage-NFD (annual)'!AH29,-'USGS gage-NFD (annual)'!T29,'USGS gage-NFD (annual)'!AJ29)/1000000</f>
        <v>0.91200000000000003</v>
      </c>
      <c r="C26" s="204">
        <f>SUM('USGS gage-NFD (annual)'!AX29,'USGS gage-NFD (annual)'!AY29,'USGS gage-NFD (annual)'!AZ29,'USGS gage-NFD (annual)'!BB29,'USGS gage-NFD (annual)'!BC29)/1000000</f>
        <v>0.58873600000000004</v>
      </c>
    </row>
    <row r="27" spans="1:3">
      <c r="A27">
        <f>'USGS gage-NFD (annual)'!A30</f>
        <v>2015</v>
      </c>
      <c r="B27" s="204">
        <f>SUM('USGS gage-NFD (annual)'!AH30,-'USGS gage-NFD (annual)'!T30,'USGS gage-NFD (annual)'!AJ30)/1000000</f>
        <v>0.81330000000000002</v>
      </c>
      <c r="C27" s="204">
        <f>SUM('USGS gage-NFD (annual)'!AX30,'USGS gage-NFD (annual)'!AY30,'USGS gage-NFD (annual)'!AZ30,'USGS gage-NFD (annual)'!BB30,'USGS gage-NFD (annual)'!BC30)/1000000</f>
        <v>0.58602500000000002</v>
      </c>
    </row>
    <row r="28" spans="1:3">
      <c r="A28">
        <f>'USGS gage-NFD (annual)'!A31</f>
        <v>2016</v>
      </c>
      <c r="B28" s="204">
        <f>SUM('USGS gage-NFD (annual)'!AH31,-'USGS gage-NFD (annual)'!T31,'USGS gage-NFD (annual)'!AJ31)/1000000</f>
        <v>0.83599999999999997</v>
      </c>
      <c r="C28" s="204">
        <f>SUM('USGS gage-NFD (annual)'!AX31,'USGS gage-NFD (annual)'!AY31,'USGS gage-NFD (annual)'!AZ31,'USGS gage-NFD (annual)'!BB31,'USGS gage-NFD (annual)'!BC31)/1000000</f>
        <v>0.68106</v>
      </c>
    </row>
    <row r="29" spans="1:3">
      <c r="A29">
        <f>'USGS gage-NFD (annual)'!A32</f>
        <v>2017</v>
      </c>
      <c r="B29" s="204">
        <f>SUM('USGS gage-NFD (annual)'!AH32,-'USGS gage-NFD (annual)'!T32,'USGS gage-NFD (annual)'!AJ32)/1000000</f>
        <v>1.046</v>
      </c>
      <c r="C29" s="204">
        <f>SUM('USGS gage-NFD (annual)'!AX32,'USGS gage-NFD (annual)'!AY32,'USGS gage-NFD (annual)'!AZ32,'USGS gage-NFD (annual)'!BB32,'USGS gage-NFD (annual)'!BC32)/1000000</f>
        <v>0.84299599999999997</v>
      </c>
    </row>
    <row r="30" spans="1:3">
      <c r="A30">
        <f>'USGS gage-NFD (annual)'!A33</f>
        <v>2018</v>
      </c>
      <c r="B30" s="204">
        <f>SUM('USGS gage-NFD (annual)'!AH33,-'USGS gage-NFD (annual)'!T33,'USGS gage-NFD (annual)'!AJ33)/1000000</f>
        <v>0.75270000000000004</v>
      </c>
      <c r="C30" s="204">
        <f>SUM('USGS gage-NFD (annual)'!AX33,'USGS gage-NFD (annual)'!AY33,'USGS gage-NFD (annual)'!AZ33,'USGS gage-NFD (annual)'!BB33,'USGS gage-NFD (annual)'!BC33)/1000000</f>
        <v>0.53316399999999997</v>
      </c>
    </row>
    <row r="31" spans="1:3">
      <c r="B31" s="7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64"/>
  <sheetViews>
    <sheetView workbookViewId="0">
      <pane xSplit="1" ySplit="4" topLeftCell="U5" activePane="bottomRight" state="frozen"/>
      <selection pane="topRight" activeCell="B1" sqref="B1"/>
      <selection pane="bottomLeft" activeCell="A5" sqref="A5"/>
      <selection pane="bottomRight" activeCell="AH5" sqref="AH5"/>
    </sheetView>
  </sheetViews>
  <sheetFormatPr defaultRowHeight="14.5"/>
  <cols>
    <col min="1" max="1" width="19.6328125" bestFit="1" customWidth="1"/>
    <col min="2" max="2" width="19" bestFit="1" customWidth="1"/>
    <col min="3" max="3" width="15.6328125" customWidth="1"/>
    <col min="4" max="4" width="11.453125" bestFit="1" customWidth="1"/>
    <col min="5" max="5" width="12.90625" bestFit="1" customWidth="1"/>
    <col min="6" max="6" width="13.36328125" customWidth="1"/>
    <col min="7" max="7" width="15.08984375" customWidth="1"/>
    <col min="8" max="8" width="14.6328125" bestFit="1" customWidth="1"/>
    <col min="9" max="11" width="8" bestFit="1" customWidth="1"/>
    <col min="12" max="12" width="8.54296875" bestFit="1" customWidth="1"/>
    <col min="14" max="14" width="14.1796875" bestFit="1" customWidth="1"/>
    <col min="15" max="15" width="10.90625" bestFit="1" customWidth="1"/>
    <col min="16" max="16" width="9.81640625" bestFit="1" customWidth="1"/>
    <col min="17" max="17" width="13.08984375" bestFit="1" customWidth="1"/>
    <col min="18" max="18" width="14.6328125" bestFit="1" customWidth="1"/>
    <col min="19" max="19" width="19.6328125" bestFit="1" customWidth="1"/>
    <col min="20" max="20" width="11.90625" bestFit="1" customWidth="1"/>
    <col min="21" max="21" width="11.453125" bestFit="1" customWidth="1"/>
    <col min="22" max="22" width="12.90625" bestFit="1" customWidth="1"/>
    <col min="23" max="23" width="14.453125" customWidth="1"/>
    <col min="24" max="24" width="12.90625" bestFit="1" customWidth="1"/>
    <col min="25" max="25" width="18.81640625" customWidth="1"/>
    <col min="26" max="26" width="17.90625" customWidth="1"/>
    <col min="27" max="27" width="18.08984375" customWidth="1"/>
    <col min="28" max="28" width="14.6328125" bestFit="1" customWidth="1"/>
    <col min="29" max="29" width="8.54296875" bestFit="1" customWidth="1"/>
    <col min="30" max="31" width="9.08984375" bestFit="1" customWidth="1"/>
    <col min="32" max="32" width="15" customWidth="1"/>
    <col min="33" max="33" width="16.54296875" customWidth="1"/>
    <col min="34" max="35" width="14.1796875" bestFit="1" customWidth="1"/>
    <col min="36" max="36" width="10.90625" bestFit="1" customWidth="1"/>
    <col min="37" max="37" width="12.1796875" customWidth="1"/>
    <col min="38" max="38" width="9.81640625" bestFit="1" customWidth="1"/>
    <col min="39" max="39" width="13.08984375" bestFit="1" customWidth="1"/>
    <col min="40" max="40" width="21.81640625" customWidth="1"/>
    <col min="41" max="41" width="11.90625" bestFit="1" customWidth="1"/>
    <col min="43" max="43" width="16.08984375" customWidth="1"/>
    <col min="44" max="45" width="11.90625" customWidth="1"/>
    <col min="46" max="46" width="24.1796875" customWidth="1"/>
    <col min="47" max="47" width="25.6328125" customWidth="1"/>
    <col min="48" max="48" width="11.90625" customWidth="1"/>
    <col min="49" max="49" width="13" bestFit="1" customWidth="1"/>
    <col min="50" max="50" width="11.453125" bestFit="1" customWidth="1"/>
    <col min="51" max="51" width="13.36328125" customWidth="1"/>
    <col min="52" max="52" width="17.1796875" customWidth="1"/>
    <col min="53" max="53" width="14.6328125" bestFit="1" customWidth="1"/>
    <col min="54" max="54" width="10.90625" bestFit="1" customWidth="1"/>
    <col min="55" max="55" width="13.6328125" customWidth="1"/>
    <col min="56" max="56" width="11.90625" bestFit="1" customWidth="1"/>
    <col min="57" max="57" width="14.6328125" bestFit="1" customWidth="1"/>
    <col min="59" max="59" width="15.6328125" customWidth="1"/>
    <col min="60" max="60" width="16.1796875" customWidth="1"/>
    <col min="61" max="61" width="12.90625" customWidth="1"/>
    <col min="62" max="62" width="10.1796875" bestFit="1" customWidth="1"/>
    <col min="64" max="64" width="29.36328125" customWidth="1"/>
  </cols>
  <sheetData>
    <row r="1" spans="1:64">
      <c r="B1" s="216" t="s">
        <v>107</v>
      </c>
      <c r="C1" s="216"/>
      <c r="D1" s="216"/>
      <c r="E1" s="216"/>
      <c r="F1" s="216"/>
      <c r="G1" s="216"/>
      <c r="H1" s="216"/>
      <c r="I1" s="216"/>
      <c r="J1" s="216"/>
      <c r="K1" s="216"/>
      <c r="L1" s="216"/>
      <c r="M1" s="216"/>
      <c r="N1" s="216"/>
      <c r="O1" s="216"/>
      <c r="P1" s="216"/>
      <c r="T1" s="216" t="s">
        <v>108</v>
      </c>
      <c r="U1" s="216"/>
      <c r="V1" s="216"/>
      <c r="W1" s="216"/>
      <c r="X1" s="216"/>
      <c r="Y1" s="216"/>
      <c r="Z1" s="216"/>
      <c r="AA1" s="216"/>
      <c r="AB1" s="216"/>
      <c r="AC1" s="216"/>
      <c r="AD1" s="216"/>
      <c r="AE1" s="216"/>
      <c r="AF1" s="216"/>
      <c r="AG1" s="216"/>
      <c r="AH1" s="216"/>
      <c r="AI1" s="216"/>
      <c r="AJ1" s="216"/>
      <c r="AK1" s="216"/>
      <c r="AL1" s="216"/>
      <c r="AM1" s="216"/>
      <c r="AN1" s="216"/>
      <c r="AO1" s="216"/>
      <c r="AQ1" s="216" t="s">
        <v>299</v>
      </c>
      <c r="AR1" s="216"/>
      <c r="AS1" s="216"/>
      <c r="AT1" s="1"/>
      <c r="AU1" s="1"/>
      <c r="AV1" s="1"/>
      <c r="AW1" s="216" t="s">
        <v>151</v>
      </c>
      <c r="AX1" s="216"/>
      <c r="AY1" s="216"/>
      <c r="AZ1" s="216"/>
      <c r="BA1" s="216"/>
      <c r="BB1" s="216"/>
      <c r="BC1" s="216"/>
      <c r="BD1" s="216"/>
      <c r="BE1" s="216"/>
    </row>
    <row r="2" spans="1:64" ht="46.25" customHeight="1">
      <c r="A2" s="2"/>
      <c r="B2" s="3" t="s">
        <v>0</v>
      </c>
      <c r="C2" s="3" t="s">
        <v>0</v>
      </c>
      <c r="D2" s="3" t="s">
        <v>1</v>
      </c>
      <c r="E2" s="3" t="s">
        <v>0</v>
      </c>
      <c r="F2" s="3" t="s">
        <v>2</v>
      </c>
      <c r="G2" s="3" t="s">
        <v>3</v>
      </c>
      <c r="H2" s="3" t="s">
        <v>0</v>
      </c>
      <c r="I2" s="3" t="s">
        <v>4</v>
      </c>
      <c r="J2" s="3" t="s">
        <v>5</v>
      </c>
      <c r="K2" s="3" t="s">
        <v>5</v>
      </c>
      <c r="L2" s="3" t="s">
        <v>0</v>
      </c>
      <c r="M2" s="3" t="s">
        <v>0</v>
      </c>
      <c r="N2" s="3" t="s">
        <v>6</v>
      </c>
      <c r="O2" s="3" t="s">
        <v>7</v>
      </c>
      <c r="P2" s="3" t="s">
        <v>7</v>
      </c>
      <c r="Q2" s="3" t="s">
        <v>8</v>
      </c>
      <c r="R2" s="3" t="s">
        <v>0</v>
      </c>
      <c r="S2" s="2"/>
      <c r="T2" s="3" t="s">
        <v>0</v>
      </c>
      <c r="U2" s="3" t="s">
        <v>1</v>
      </c>
      <c r="V2" s="3" t="s">
        <v>0</v>
      </c>
      <c r="W2" s="3" t="s">
        <v>3</v>
      </c>
      <c r="X2" s="3" t="s">
        <v>3</v>
      </c>
      <c r="Y2" s="4" t="s">
        <v>152</v>
      </c>
      <c r="Z2" s="3" t="s">
        <v>9</v>
      </c>
      <c r="AA2" s="4" t="s">
        <v>10</v>
      </c>
      <c r="AB2" s="3" t="s">
        <v>0</v>
      </c>
      <c r="AC2" s="3" t="s">
        <v>4</v>
      </c>
      <c r="AD2" s="3" t="s">
        <v>5</v>
      </c>
      <c r="AE2" s="3" t="s">
        <v>5</v>
      </c>
      <c r="AF2" s="4" t="s">
        <v>11</v>
      </c>
      <c r="AG2" s="4" t="s">
        <v>12</v>
      </c>
      <c r="AH2" s="3" t="s">
        <v>0</v>
      </c>
      <c r="AI2" s="3" t="s">
        <v>6</v>
      </c>
      <c r="AJ2" s="3" t="s">
        <v>7</v>
      </c>
      <c r="AK2" s="3" t="s">
        <v>13</v>
      </c>
      <c r="AL2" s="3" t="s">
        <v>7</v>
      </c>
      <c r="AM2" s="3" t="s">
        <v>8</v>
      </c>
      <c r="AN2" s="3" t="s">
        <v>14</v>
      </c>
      <c r="AO2" s="3" t="s">
        <v>0</v>
      </c>
      <c r="AP2" s="2"/>
      <c r="AQ2" s="2" t="s">
        <v>15</v>
      </c>
      <c r="AR2" s="2" t="s">
        <v>15</v>
      </c>
      <c r="AS2" s="2" t="s">
        <v>15</v>
      </c>
      <c r="AT2" s="2" t="s">
        <v>105</v>
      </c>
      <c r="AU2" s="2" t="s">
        <v>106</v>
      </c>
      <c r="AV2" s="2"/>
      <c r="AW2" s="3" t="s">
        <v>16</v>
      </c>
      <c r="AX2" s="3" t="s">
        <v>1</v>
      </c>
      <c r="AY2" s="3" t="s">
        <v>3</v>
      </c>
      <c r="AZ2" s="4" t="s">
        <v>17</v>
      </c>
      <c r="BA2" s="3" t="s">
        <v>0</v>
      </c>
      <c r="BB2" s="3" t="s">
        <v>7</v>
      </c>
      <c r="BC2" s="4" t="s">
        <v>18</v>
      </c>
      <c r="BD2" s="4" t="s">
        <v>19</v>
      </c>
      <c r="BE2" s="3" t="s">
        <v>16</v>
      </c>
      <c r="BF2" s="2"/>
      <c r="BG2" s="2" t="s">
        <v>20</v>
      </c>
      <c r="BH2" s="2" t="s">
        <v>20</v>
      </c>
      <c r="BI2" s="2" t="s">
        <v>21</v>
      </c>
      <c r="BJ2" s="2"/>
      <c r="BK2" s="2"/>
      <c r="BL2" s="2" t="s">
        <v>298</v>
      </c>
    </row>
    <row r="3" spans="1:64" ht="43.5">
      <c r="B3" s="5" t="s">
        <v>22</v>
      </c>
      <c r="C3" s="6" t="s">
        <v>23</v>
      </c>
      <c r="D3" s="6" t="s">
        <v>23</v>
      </c>
      <c r="E3" s="6" t="s">
        <v>24</v>
      </c>
      <c r="F3" s="5" t="s">
        <v>25</v>
      </c>
      <c r="G3" s="6" t="s">
        <v>24</v>
      </c>
      <c r="H3" s="5" t="s">
        <v>26</v>
      </c>
      <c r="I3" s="5" t="s">
        <v>27</v>
      </c>
      <c r="J3" s="6" t="s">
        <v>28</v>
      </c>
      <c r="K3" s="5" t="s">
        <v>27</v>
      </c>
      <c r="L3" s="5" t="s">
        <v>27</v>
      </c>
      <c r="M3" s="5" t="s">
        <v>29</v>
      </c>
      <c r="N3" s="5" t="s">
        <v>29</v>
      </c>
      <c r="O3" s="6" t="s">
        <v>30</v>
      </c>
      <c r="P3" s="5" t="s">
        <v>31</v>
      </c>
      <c r="Q3" s="5" t="s">
        <v>32</v>
      </c>
      <c r="R3" s="5" t="s">
        <v>33</v>
      </c>
      <c r="T3" s="6" t="s">
        <v>23</v>
      </c>
      <c r="U3" s="6" t="s">
        <v>23</v>
      </c>
      <c r="V3" s="6" t="s">
        <v>24</v>
      </c>
      <c r="W3" s="5" t="s">
        <v>25</v>
      </c>
      <c r="X3" s="6" t="s">
        <v>24</v>
      </c>
      <c r="Y3" s="6"/>
      <c r="Z3" s="6"/>
      <c r="AA3" s="3" t="s">
        <v>34</v>
      </c>
      <c r="AB3" s="5" t="s">
        <v>26</v>
      </c>
      <c r="AC3" s="5" t="s">
        <v>27</v>
      </c>
      <c r="AD3" s="6" t="s">
        <v>28</v>
      </c>
      <c r="AE3" s="5" t="s">
        <v>27</v>
      </c>
      <c r="AF3" s="5" t="s">
        <v>35</v>
      </c>
      <c r="AG3" s="3" t="s">
        <v>36</v>
      </c>
      <c r="AH3" s="5" t="s">
        <v>29</v>
      </c>
      <c r="AI3" s="5" t="s">
        <v>29</v>
      </c>
      <c r="AJ3" s="6" t="s">
        <v>30</v>
      </c>
      <c r="AK3" s="6"/>
      <c r="AL3" s="5" t="s">
        <v>31</v>
      </c>
      <c r="AM3" s="5" t="s">
        <v>32</v>
      </c>
      <c r="AN3" s="3" t="s">
        <v>37</v>
      </c>
      <c r="AO3" s="3" t="s">
        <v>33</v>
      </c>
      <c r="AQ3" s="2" t="s">
        <v>83</v>
      </c>
      <c r="AR3" s="2" t="s">
        <v>84</v>
      </c>
      <c r="AS3" t="s">
        <v>103</v>
      </c>
      <c r="AW3" s="6" t="s">
        <v>23</v>
      </c>
      <c r="AX3" s="6" t="s">
        <v>23</v>
      </c>
      <c r="AY3" s="5" t="s">
        <v>25</v>
      </c>
      <c r="BA3" s="5" t="s">
        <v>26</v>
      </c>
      <c r="BB3" s="6" t="s">
        <v>30</v>
      </c>
      <c r="BE3" s="5" t="s">
        <v>33</v>
      </c>
      <c r="BG3" s="2" t="s">
        <v>38</v>
      </c>
      <c r="BH3" s="2" t="s">
        <v>39</v>
      </c>
      <c r="BI3" s="2" t="s">
        <v>40</v>
      </c>
      <c r="BJ3" s="2" t="s">
        <v>41</v>
      </c>
      <c r="BL3" s="134"/>
    </row>
    <row r="4" spans="1:64" ht="15" thickBot="1">
      <c r="A4" s="1" t="s">
        <v>115</v>
      </c>
      <c r="B4" s="7">
        <v>9379910</v>
      </c>
      <c r="C4" s="7">
        <v>9380000</v>
      </c>
      <c r="D4" s="7">
        <v>9382000</v>
      </c>
      <c r="E4" s="7">
        <v>9383100</v>
      </c>
      <c r="F4" s="7">
        <v>9402000</v>
      </c>
      <c r="G4" s="7">
        <v>9402300</v>
      </c>
      <c r="H4" s="7">
        <v>9402500</v>
      </c>
      <c r="I4" s="7">
        <v>9403850</v>
      </c>
      <c r="J4" s="7">
        <v>9404110</v>
      </c>
      <c r="K4" s="7">
        <v>9404115</v>
      </c>
      <c r="L4" s="7">
        <v>9404120</v>
      </c>
      <c r="M4" s="7">
        <v>9404200</v>
      </c>
      <c r="N4" s="7">
        <v>9404208</v>
      </c>
      <c r="O4" s="7">
        <v>9415000</v>
      </c>
      <c r="P4" s="7">
        <v>9415250</v>
      </c>
      <c r="Q4" s="7">
        <v>9419800</v>
      </c>
      <c r="R4" s="7">
        <v>9421500</v>
      </c>
      <c r="T4" s="7">
        <v>9380000</v>
      </c>
      <c r="U4" s="7">
        <v>9382000</v>
      </c>
      <c r="V4" s="7">
        <v>9383100</v>
      </c>
      <c r="W4" s="7">
        <v>9402000</v>
      </c>
      <c r="X4" s="7">
        <v>9402300</v>
      </c>
      <c r="Y4" s="7"/>
      <c r="Z4" s="7"/>
      <c r="AA4" s="135"/>
      <c r="AB4" s="7">
        <v>9402500</v>
      </c>
      <c r="AC4" s="7">
        <v>9403850</v>
      </c>
      <c r="AD4" s="7">
        <v>9404110</v>
      </c>
      <c r="AE4" s="7">
        <v>9404115</v>
      </c>
      <c r="AF4" s="7"/>
      <c r="AG4" s="135"/>
      <c r="AH4" s="7">
        <v>9404200</v>
      </c>
      <c r="AI4" s="7">
        <v>9404208</v>
      </c>
      <c r="AJ4" s="7">
        <v>9415000</v>
      </c>
      <c r="AK4" s="7"/>
      <c r="AL4" s="7">
        <v>9415250</v>
      </c>
      <c r="AM4" s="7">
        <v>9419800</v>
      </c>
      <c r="AN4" s="7" t="s">
        <v>42</v>
      </c>
      <c r="AO4" s="7">
        <v>9421500</v>
      </c>
      <c r="AQ4" s="135"/>
      <c r="AR4" s="135"/>
      <c r="AS4" s="135"/>
      <c r="AT4" s="135"/>
      <c r="AU4" s="135"/>
      <c r="AW4" s="7">
        <v>9380000</v>
      </c>
      <c r="AX4" s="7">
        <v>9382000</v>
      </c>
      <c r="AY4" s="7">
        <v>9402000</v>
      </c>
      <c r="AZ4" s="135"/>
      <c r="BA4" s="7">
        <v>9402500</v>
      </c>
      <c r="BB4" s="7">
        <v>9415000</v>
      </c>
      <c r="BC4" s="135"/>
      <c r="BD4" s="135"/>
      <c r="BE4" s="7">
        <v>9421500</v>
      </c>
      <c r="BG4" s="135"/>
      <c r="BH4" s="135"/>
      <c r="BI4" s="135"/>
      <c r="BJ4" s="135"/>
    </row>
    <row r="5" spans="1:64" ht="15" thickTop="1">
      <c r="A5" s="8">
        <v>1990</v>
      </c>
      <c r="B5" s="9">
        <v>11210</v>
      </c>
      <c r="C5" s="10">
        <v>11240</v>
      </c>
      <c r="D5" s="1">
        <v>14.9</v>
      </c>
      <c r="E5" s="11">
        <v>11710</v>
      </c>
      <c r="F5" s="1">
        <v>49.9</v>
      </c>
      <c r="G5" s="1"/>
      <c r="H5" s="1">
        <v>11670</v>
      </c>
      <c r="I5" s="1"/>
      <c r="J5" s="1"/>
      <c r="K5" s="1"/>
      <c r="L5" s="1">
        <v>11770</v>
      </c>
      <c r="M5" s="1">
        <v>12260</v>
      </c>
      <c r="N5" s="1"/>
      <c r="O5" s="1">
        <v>113.4</v>
      </c>
      <c r="P5" s="1"/>
      <c r="Q5" s="1"/>
      <c r="R5" s="1">
        <v>12790</v>
      </c>
      <c r="T5" s="10">
        <f>ROUND(C5*1.98347*365,-3)</f>
        <v>8137000</v>
      </c>
      <c r="U5" s="10">
        <f>ROUND(D5*1.98347*365,-2)</f>
        <v>10800</v>
      </c>
      <c r="V5" s="12">
        <f>E5*723.968</f>
        <v>8477665.2799999993</v>
      </c>
      <c r="W5" s="10">
        <f>ROUND(F5*1.98347*365,-2)</f>
        <v>36100</v>
      </c>
      <c r="X5" s="12"/>
      <c r="Y5" s="13"/>
      <c r="Z5" s="13">
        <f>AB5-T5</f>
        <v>312000</v>
      </c>
      <c r="AA5" s="13">
        <f>AB5-T5-U5-W5</f>
        <v>265100</v>
      </c>
      <c r="AB5" s="136">
        <f>ROUND(H5*1.98347*365,-3)</f>
        <v>8449000</v>
      </c>
      <c r="AC5" s="13"/>
      <c r="AD5" s="13"/>
      <c r="AE5" s="13"/>
      <c r="AF5" s="13">
        <f>AH5-AB5</f>
        <v>427000</v>
      </c>
      <c r="AH5" s="13">
        <f>ROUND(M5*1.98347*365,-3)</f>
        <v>8876000</v>
      </c>
      <c r="AJ5" s="136">
        <f>ROUND(O5*1.98347*365,-2)</f>
        <v>82100</v>
      </c>
      <c r="AK5" s="13"/>
      <c r="AM5" s="13"/>
      <c r="AN5" s="13"/>
      <c r="AO5" s="13">
        <f t="shared" ref="AO5:AO32" si="0">R5*723.968</f>
        <v>9259550.7199999988</v>
      </c>
      <c r="AQ5" s="13">
        <f>'BoR-GCD-HD releases'!D15</f>
        <v>8159334</v>
      </c>
      <c r="AR5" s="13">
        <f>'BoR-GCD-HD releases'!L15</f>
        <v>8140403.2999999998</v>
      </c>
      <c r="AS5" s="13"/>
      <c r="AV5" s="13"/>
      <c r="AW5" s="13">
        <v>8974011</v>
      </c>
      <c r="AX5" s="13">
        <v>10815</v>
      </c>
      <c r="AY5" s="13">
        <v>36132</v>
      </c>
      <c r="AZ5" s="13">
        <v>258786</v>
      </c>
      <c r="BA5" s="13">
        <v>9279744</v>
      </c>
      <c r="BB5">
        <v>82099</v>
      </c>
      <c r="BC5" s="13">
        <v>294646</v>
      </c>
      <c r="BD5" s="13">
        <f>'BoR-GCD-HD releases'!F15</f>
        <v>9321600</v>
      </c>
      <c r="BE5" s="13">
        <v>9656489</v>
      </c>
      <c r="BG5" s="15">
        <f>T5-AQ5</f>
        <v>-22334</v>
      </c>
      <c r="BH5" s="15">
        <f>AH5-T5</f>
        <v>739000</v>
      </c>
      <c r="BI5" s="15">
        <f>U5+W5</f>
        <v>46900</v>
      </c>
      <c r="BJ5" s="15">
        <f>BH5-BI5</f>
        <v>692100</v>
      </c>
    </row>
    <row r="6" spans="1:64">
      <c r="A6" s="8">
        <v>1991</v>
      </c>
      <c r="B6" s="9">
        <v>11170</v>
      </c>
      <c r="C6" s="10">
        <v>11220</v>
      </c>
      <c r="D6" s="1">
        <v>13.3</v>
      </c>
      <c r="E6" s="11">
        <v>11450</v>
      </c>
      <c r="F6" s="1">
        <v>172.1</v>
      </c>
      <c r="G6" s="1"/>
      <c r="H6" s="1">
        <v>11800</v>
      </c>
      <c r="I6" s="1"/>
      <c r="J6" s="1"/>
      <c r="K6" s="1"/>
      <c r="L6" s="1">
        <v>11770</v>
      </c>
      <c r="M6" s="1">
        <v>12310</v>
      </c>
      <c r="N6" s="1"/>
      <c r="O6" s="1">
        <v>100.3</v>
      </c>
      <c r="P6" s="1"/>
      <c r="Q6" s="1"/>
      <c r="R6" s="1">
        <v>12380</v>
      </c>
      <c r="T6" s="10">
        <f>ROUND(C6*1.98347*365,-3)</f>
        <v>8123000</v>
      </c>
      <c r="U6" s="10">
        <f>ROUND(D6*1.98347*365,-1)</f>
        <v>9630</v>
      </c>
      <c r="V6" s="12">
        <f>E6*723.968</f>
        <v>8289433.5999999996</v>
      </c>
      <c r="W6" s="10">
        <f>ROUND(F6*1.98347*365,-3)</f>
        <v>125000</v>
      </c>
      <c r="X6" s="12"/>
      <c r="Y6" s="13"/>
      <c r="Z6" s="13">
        <f t="shared" ref="Z6:Z7" si="1">AB6-T6</f>
        <v>420000</v>
      </c>
      <c r="AA6" s="13">
        <f>ROUND(AB6-T6-U6-W6,-3)</f>
        <v>285000</v>
      </c>
      <c r="AB6" s="136">
        <f>ROUND(H6*1.98347*365,-3)</f>
        <v>8543000</v>
      </c>
      <c r="AC6" s="13"/>
      <c r="AD6" s="13"/>
      <c r="AE6" s="13"/>
      <c r="AF6" s="13">
        <f>AH6-AB6</f>
        <v>369000</v>
      </c>
      <c r="AH6" s="13">
        <f>ROUND(M6*1.98347*365,-3)</f>
        <v>8912000</v>
      </c>
      <c r="AJ6" s="136">
        <f>ROUND(O6*1.98347*365,-2)</f>
        <v>72600</v>
      </c>
      <c r="AK6" s="13"/>
      <c r="AO6" s="13">
        <f t="shared" si="0"/>
        <v>8962723.8399999999</v>
      </c>
      <c r="AQ6" s="13">
        <f>'BoR-GCD-HD releases'!D27</f>
        <v>8113300</v>
      </c>
      <c r="AR6" s="13">
        <f>'BoR-GCD-HD releases'!L27</f>
        <v>8121401.5000000009</v>
      </c>
      <c r="AS6" s="13"/>
      <c r="AV6" s="13"/>
      <c r="AW6" s="13">
        <v>12344601</v>
      </c>
      <c r="AX6" s="13">
        <v>9603</v>
      </c>
      <c r="AY6" s="13">
        <v>124564</v>
      </c>
      <c r="AZ6" s="13">
        <v>288412</v>
      </c>
      <c r="BA6" s="13">
        <v>12767180</v>
      </c>
      <c r="BB6">
        <v>72588</v>
      </c>
      <c r="BC6" s="13">
        <v>377779</v>
      </c>
      <c r="BD6" s="13">
        <f>'BoR-GCD-HD releases'!F27</f>
        <v>8961700</v>
      </c>
      <c r="BE6" s="13">
        <v>13217547</v>
      </c>
      <c r="BG6" s="15">
        <f t="shared" ref="BG6:BG34" si="2">T6-AQ6</f>
        <v>9700</v>
      </c>
      <c r="BH6" s="15">
        <f t="shared" ref="BH6:BH34" si="3">AH6-T6</f>
        <v>789000</v>
      </c>
      <c r="BI6" s="15">
        <f>ROUND(U6+W6,-3)</f>
        <v>135000</v>
      </c>
      <c r="BJ6" s="15">
        <f t="shared" ref="BJ6:BJ8" si="4">BH6-BI6</f>
        <v>654000</v>
      </c>
    </row>
    <row r="7" spans="1:64">
      <c r="A7" s="14">
        <v>1992</v>
      </c>
      <c r="B7" s="9">
        <v>11110</v>
      </c>
      <c r="C7" s="10">
        <v>11020</v>
      </c>
      <c r="D7" s="1">
        <v>28.6</v>
      </c>
      <c r="E7" s="11">
        <v>11290</v>
      </c>
      <c r="F7" s="1">
        <v>298</v>
      </c>
      <c r="G7" s="1"/>
      <c r="H7" s="1">
        <v>11690</v>
      </c>
      <c r="I7" s="1"/>
      <c r="J7" s="1"/>
      <c r="K7" s="1"/>
      <c r="L7" s="1">
        <v>11800</v>
      </c>
      <c r="M7" s="1">
        <v>12350</v>
      </c>
      <c r="N7" s="1"/>
      <c r="O7" s="1">
        <v>190.7</v>
      </c>
      <c r="P7" s="1"/>
      <c r="Q7" s="1"/>
      <c r="R7" s="1">
        <v>11010</v>
      </c>
      <c r="T7" s="10">
        <f>ROUND(C7*1.98347*366,-3)</f>
        <v>8000000</v>
      </c>
      <c r="U7" s="10">
        <f>ROUND(D7*1.98347*366,-2)</f>
        <v>20800</v>
      </c>
      <c r="V7" s="12">
        <f>E7*723.968</f>
        <v>8173598.7199999997</v>
      </c>
      <c r="W7" s="10">
        <f>ROUND(F7*1.98347*366,-3)</f>
        <v>216000</v>
      </c>
      <c r="X7" s="12"/>
      <c r="Y7" s="13"/>
      <c r="Z7" s="13">
        <f t="shared" si="1"/>
        <v>486000</v>
      </c>
      <c r="AA7" s="13">
        <f>ROUND(AB7-T7-U7-W7,-3)</f>
        <v>249000</v>
      </c>
      <c r="AB7" s="136">
        <f>ROUND(H7*1.98347*366,-3)</f>
        <v>8486000</v>
      </c>
      <c r="AC7" s="13"/>
      <c r="AD7" s="13"/>
      <c r="AE7" s="13"/>
      <c r="AF7" s="13">
        <f>AH7-AB7</f>
        <v>479000</v>
      </c>
      <c r="AH7" s="13">
        <f>ROUND(M7*1.98347*366,-3)</f>
        <v>8965000</v>
      </c>
      <c r="AJ7" s="136">
        <f>ROUND(O7*1.98347*365,-3)</f>
        <v>138000</v>
      </c>
      <c r="AK7" s="13"/>
      <c r="AO7" s="13">
        <f t="shared" si="0"/>
        <v>7970887.6799999997</v>
      </c>
      <c r="AQ7" s="13">
        <f>'BoR-GCD-HD releases'!D39</f>
        <v>8002000</v>
      </c>
      <c r="AR7" s="13">
        <f>'BoR-GCD-HD releases'!L39</f>
        <v>8001897.4999999991</v>
      </c>
      <c r="AS7" s="13"/>
      <c r="AV7" s="13"/>
      <c r="AW7" s="13">
        <v>11068530</v>
      </c>
      <c r="AX7" s="13">
        <v>20772</v>
      </c>
      <c r="AY7" s="13">
        <v>216305</v>
      </c>
      <c r="AZ7" s="13">
        <v>247940</v>
      </c>
      <c r="BA7" s="13">
        <v>11553547</v>
      </c>
      <c r="BB7">
        <v>138437</v>
      </c>
      <c r="BC7" s="13">
        <v>573940</v>
      </c>
      <c r="BD7" s="13">
        <f>'BoR-GCD-HD releases'!F39</f>
        <v>8007100</v>
      </c>
      <c r="BE7" s="13">
        <v>12265924</v>
      </c>
      <c r="BG7" s="15">
        <f t="shared" si="2"/>
        <v>-2000</v>
      </c>
      <c r="BH7" s="15">
        <f t="shared" si="3"/>
        <v>965000</v>
      </c>
      <c r="BI7" s="15">
        <f>ROUND(U7+W7,-3)</f>
        <v>237000</v>
      </c>
      <c r="BJ7" s="15">
        <f t="shared" si="4"/>
        <v>728000</v>
      </c>
    </row>
    <row r="8" spans="1:64">
      <c r="A8" s="8">
        <v>1993</v>
      </c>
      <c r="B8" s="9"/>
      <c r="C8" s="10">
        <v>11190</v>
      </c>
      <c r="D8" s="1">
        <v>48.1</v>
      </c>
      <c r="E8" s="11"/>
      <c r="F8" s="1">
        <v>821.2</v>
      </c>
      <c r="G8" s="1"/>
      <c r="H8" s="1"/>
      <c r="I8" s="1"/>
      <c r="J8" s="1"/>
      <c r="K8" s="1"/>
      <c r="L8" s="1"/>
      <c r="M8" s="1">
        <v>12890</v>
      </c>
      <c r="N8" s="1"/>
      <c r="O8" s="1">
        <v>594.1</v>
      </c>
      <c r="P8" s="1"/>
      <c r="Q8" s="1"/>
      <c r="R8" s="1">
        <v>9687</v>
      </c>
      <c r="T8" s="10">
        <f>ROUND(C8*1.98347*365,-3)</f>
        <v>8101000</v>
      </c>
      <c r="U8" s="10">
        <f>ROUND(D8*1.98347*365,-2)</f>
        <v>34800</v>
      </c>
      <c r="V8" s="12"/>
      <c r="W8" s="10">
        <f>ROUND(F8*1.98347*365,-3)</f>
        <v>595000</v>
      </c>
      <c r="X8" s="12"/>
      <c r="Y8" s="13"/>
      <c r="Z8" s="13"/>
      <c r="AB8" s="13"/>
      <c r="AC8" s="13"/>
      <c r="AD8" s="13"/>
      <c r="AE8" s="13"/>
      <c r="AF8" s="13"/>
      <c r="AG8" s="13"/>
      <c r="AH8" s="13">
        <f>ROUND(M8*1.98347*365,-3)</f>
        <v>9332000</v>
      </c>
      <c r="AJ8" s="136">
        <f t="shared" ref="AJ8:AJ16" si="5">ROUND(O8*1.98347*366,-3)</f>
        <v>431000</v>
      </c>
      <c r="AK8" s="13"/>
      <c r="AO8" s="13">
        <f t="shared" si="0"/>
        <v>7013078.0159999998</v>
      </c>
      <c r="AQ8" s="13">
        <f>'BoR-GCD-HD releases'!D51</f>
        <v>8034100</v>
      </c>
      <c r="AR8" s="13">
        <f>'BoR-GCD-HD releases'!L51</f>
        <v>8102469.2000000002</v>
      </c>
      <c r="AS8" s="13"/>
      <c r="AV8" s="13"/>
      <c r="AW8" s="13">
        <v>18697528</v>
      </c>
      <c r="AX8" s="13">
        <v>34848</v>
      </c>
      <c r="AY8" s="13">
        <v>594520</v>
      </c>
      <c r="AZ8" s="13">
        <v>82538</v>
      </c>
      <c r="BA8" s="13">
        <v>19409434</v>
      </c>
      <c r="BB8">
        <v>430085</v>
      </c>
      <c r="BC8" s="13">
        <v>907022</v>
      </c>
      <c r="BD8" s="13">
        <f>'BoR-GCD-HD releases'!F51</f>
        <v>7013500</v>
      </c>
      <c r="BE8" s="13">
        <v>20746541</v>
      </c>
      <c r="BG8" s="15">
        <f t="shared" si="2"/>
        <v>66900</v>
      </c>
      <c r="BH8" s="15">
        <f t="shared" si="3"/>
        <v>1231000</v>
      </c>
      <c r="BI8" s="15">
        <f>ROUND(U8+W8,-3)</f>
        <v>630000</v>
      </c>
      <c r="BJ8" s="15">
        <f t="shared" si="4"/>
        <v>601000</v>
      </c>
    </row>
    <row r="9" spans="1:64">
      <c r="A9" s="8">
        <v>1994</v>
      </c>
      <c r="B9" s="9"/>
      <c r="C9" s="10">
        <v>11450</v>
      </c>
      <c r="D9" s="1">
        <v>21.1</v>
      </c>
      <c r="E9" s="11">
        <v>11620</v>
      </c>
      <c r="F9" s="1">
        <v>109.3</v>
      </c>
      <c r="G9" s="1"/>
      <c r="H9" s="1"/>
      <c r="I9" s="1"/>
      <c r="J9" s="1"/>
      <c r="K9" s="1"/>
      <c r="L9" s="1"/>
      <c r="M9" s="1">
        <v>12190</v>
      </c>
      <c r="N9" s="1">
        <v>3.16</v>
      </c>
      <c r="O9" s="1">
        <v>182.6</v>
      </c>
      <c r="P9" s="1"/>
      <c r="Q9" s="1"/>
      <c r="R9" s="1">
        <v>13000</v>
      </c>
      <c r="T9" s="10">
        <f>ROUND(C9*1.98347*365,-3)</f>
        <v>8289000</v>
      </c>
      <c r="U9" s="10">
        <f>ROUND(D9*1.98347*365,-2)</f>
        <v>15300</v>
      </c>
      <c r="V9" s="12">
        <f t="shared" ref="V9:V16" si="6">E9*723.968</f>
        <v>8412508.1600000001</v>
      </c>
      <c r="W9" s="10">
        <f>ROUND(F9*1.98347*365,-2)</f>
        <v>79100</v>
      </c>
      <c r="X9" s="12"/>
      <c r="Y9" s="13"/>
      <c r="Z9" s="13"/>
      <c r="AB9" s="13"/>
      <c r="AC9" s="13"/>
      <c r="AD9" s="13"/>
      <c r="AE9" s="13"/>
      <c r="AF9" s="13"/>
      <c r="AG9" s="13"/>
      <c r="AH9" s="13">
        <f>ROUND(M9*1.98347*365,-3)</f>
        <v>8825000</v>
      </c>
      <c r="AI9" s="136">
        <f>ROUND(N9*1.98347*365,-1)</f>
        <v>2290</v>
      </c>
      <c r="AJ9" s="136">
        <f t="shared" si="5"/>
        <v>133000</v>
      </c>
      <c r="AK9" s="13"/>
      <c r="AO9" s="13">
        <f t="shared" si="0"/>
        <v>9411584</v>
      </c>
      <c r="AQ9" s="13">
        <f>'BoR-GCD-HD releases'!D63</f>
        <v>8288600</v>
      </c>
      <c r="AR9" s="13">
        <f>'BoR-GCD-HD releases'!L63</f>
        <v>8288529</v>
      </c>
      <c r="AS9" s="13"/>
      <c r="AV9" s="13"/>
      <c r="AW9" s="13">
        <v>10611249</v>
      </c>
      <c r="AX9" s="13">
        <v>15295</v>
      </c>
      <c r="AY9" s="13">
        <v>79120</v>
      </c>
      <c r="AZ9" s="13">
        <v>4281</v>
      </c>
      <c r="BA9" s="13">
        <v>10709945</v>
      </c>
      <c r="BB9">
        <v>132176</v>
      </c>
      <c r="BC9" s="13">
        <v>433534</v>
      </c>
      <c r="BD9" s="13">
        <f>'BoR-GCD-HD releases'!F63</f>
        <v>9409500</v>
      </c>
      <c r="BE9" s="13">
        <v>11275655</v>
      </c>
      <c r="BG9" s="15">
        <f t="shared" si="2"/>
        <v>400</v>
      </c>
      <c r="BH9" s="15">
        <f t="shared" si="3"/>
        <v>536000</v>
      </c>
      <c r="BI9" s="15">
        <f>ROUND(U9+W9,-2)</f>
        <v>94400</v>
      </c>
      <c r="BJ9" s="15">
        <f>ROUND(BH9-BI9,-3)</f>
        <v>442000</v>
      </c>
    </row>
    <row r="10" spans="1:64">
      <c r="A10" s="8">
        <v>1995</v>
      </c>
      <c r="B10" s="9"/>
      <c r="C10" s="10">
        <v>12740</v>
      </c>
      <c r="D10" s="1">
        <v>26.7</v>
      </c>
      <c r="E10" s="11">
        <v>13090</v>
      </c>
      <c r="F10" s="1">
        <v>251.3</v>
      </c>
      <c r="G10" s="1"/>
      <c r="H10" s="1"/>
      <c r="I10" s="1"/>
      <c r="J10" s="1"/>
      <c r="K10" s="1"/>
      <c r="L10" s="1"/>
      <c r="M10" s="1">
        <v>13910</v>
      </c>
      <c r="N10" s="1">
        <v>3.62</v>
      </c>
      <c r="O10" s="1">
        <v>492.6</v>
      </c>
      <c r="P10" s="1"/>
      <c r="Q10" s="1"/>
      <c r="R10" s="1">
        <v>12090</v>
      </c>
      <c r="T10" s="10">
        <f>ROUND(C10*1.98347*365,-3)</f>
        <v>9223000</v>
      </c>
      <c r="U10" s="10">
        <f>ROUND(D10*1.98347*365,-2)</f>
        <v>19300</v>
      </c>
      <c r="V10" s="12">
        <f t="shared" si="6"/>
        <v>9476741.1199999992</v>
      </c>
      <c r="W10" s="10">
        <f>ROUND(F10*1.98347*365,-3)</f>
        <v>182000</v>
      </c>
      <c r="X10" s="12"/>
      <c r="Y10" s="13"/>
      <c r="Z10" s="13"/>
      <c r="AB10" s="13"/>
      <c r="AC10" s="13"/>
      <c r="AD10" s="13"/>
      <c r="AE10" s="13"/>
      <c r="AF10" s="13"/>
      <c r="AH10" s="13">
        <f>ROUND(M10*1.98347*365,-4)</f>
        <v>10070000</v>
      </c>
      <c r="AI10" s="136">
        <f>ROUND(N10*1.98347*365,-1)</f>
        <v>2620</v>
      </c>
      <c r="AJ10" s="136">
        <f t="shared" si="5"/>
        <v>358000</v>
      </c>
      <c r="AK10" s="13"/>
      <c r="AO10" s="13">
        <f t="shared" si="0"/>
        <v>8752773.1199999992</v>
      </c>
      <c r="AQ10" s="13">
        <f>'BoR-GCD-HD releases'!D75</f>
        <v>9258300</v>
      </c>
      <c r="AR10" s="13">
        <f>'BoR-GCD-HD releases'!L75</f>
        <v>9223338.9000000004</v>
      </c>
      <c r="AS10" s="13"/>
      <c r="AV10" s="13"/>
      <c r="AW10" s="13">
        <v>19872761</v>
      </c>
      <c r="AX10" s="13">
        <v>19299</v>
      </c>
      <c r="AY10" s="13">
        <v>181958</v>
      </c>
      <c r="AZ10" s="13">
        <v>245775</v>
      </c>
      <c r="BA10" s="13">
        <v>20319793</v>
      </c>
      <c r="BB10">
        <v>356657</v>
      </c>
      <c r="BC10" s="13">
        <v>607189</v>
      </c>
      <c r="BD10" s="13">
        <f>'BoR-GCD-HD releases'!F75</f>
        <v>8753600</v>
      </c>
      <c r="BE10" s="13">
        <v>21283639</v>
      </c>
      <c r="BG10" s="15">
        <f>T10-AQ10</f>
        <v>-35300</v>
      </c>
      <c r="BH10" s="15">
        <f t="shared" si="3"/>
        <v>847000</v>
      </c>
      <c r="BI10" s="15">
        <f>ROUND(U10+W10,-3)</f>
        <v>201000</v>
      </c>
      <c r="BJ10" s="15">
        <f t="shared" ref="BJ10:BJ12" si="7">ROUND(BH10-BI10,-3)</f>
        <v>646000</v>
      </c>
    </row>
    <row r="11" spans="1:64">
      <c r="A11" s="14">
        <v>1996</v>
      </c>
      <c r="B11" s="9"/>
      <c r="C11" s="10">
        <v>15870</v>
      </c>
      <c r="D11" s="1">
        <v>14.1</v>
      </c>
      <c r="E11" s="11">
        <v>16180</v>
      </c>
      <c r="F11" s="1">
        <v>23.5</v>
      </c>
      <c r="G11" s="1"/>
      <c r="H11" s="1">
        <v>16340</v>
      </c>
      <c r="I11" s="1"/>
      <c r="J11" s="1">
        <v>65</v>
      </c>
      <c r="K11" s="1">
        <v>72.099999999999994</v>
      </c>
      <c r="L11" s="1"/>
      <c r="M11" s="1">
        <v>16500</v>
      </c>
      <c r="N11" s="1">
        <v>4.3099999999999996</v>
      </c>
      <c r="O11" s="1">
        <v>163.69999999999999</v>
      </c>
      <c r="P11" s="1"/>
      <c r="Q11" s="1"/>
      <c r="R11" s="1">
        <v>13890</v>
      </c>
      <c r="T11" s="10">
        <f>ROUND(C11*1.98347*366,-4)</f>
        <v>11520000</v>
      </c>
      <c r="U11" s="10">
        <f>ROUND(D11*1.98347*366,-2)</f>
        <v>10200</v>
      </c>
      <c r="V11" s="12">
        <f t="shared" si="6"/>
        <v>11713802.24</v>
      </c>
      <c r="W11" s="10">
        <f>ROUND(F11*1.98347*366,-2)</f>
        <v>17100</v>
      </c>
      <c r="X11" s="12"/>
      <c r="Y11" s="13"/>
      <c r="Z11" s="13">
        <f t="shared" ref="Z11:Z34" si="8">AB11-T11</f>
        <v>340000</v>
      </c>
      <c r="AA11" s="13">
        <f>ROUND(AB11-T11-U11-W11,-3)</f>
        <v>313000</v>
      </c>
      <c r="AB11" s="136">
        <f>ROUND(H11*1.98347*366,-4)</f>
        <v>11860000</v>
      </c>
      <c r="AC11" s="13"/>
      <c r="AD11" s="13">
        <f>ROUND(J11*723.968,-2)</f>
        <v>47100</v>
      </c>
      <c r="AE11" s="13">
        <f>ROUND(K11*723.968,-2)</f>
        <v>52200</v>
      </c>
      <c r="AF11" s="13">
        <f t="shared" ref="AF11:AF34" si="9">AH11-AB11</f>
        <v>120000</v>
      </c>
      <c r="AH11" s="13">
        <f>ROUND(M11*1.98347*366,-4)</f>
        <v>11980000</v>
      </c>
      <c r="AI11" s="136">
        <f>ROUND(N11*1.98347*366,-1)</f>
        <v>3130</v>
      </c>
      <c r="AJ11" s="136">
        <f t="shared" si="5"/>
        <v>119000</v>
      </c>
      <c r="AK11" s="13"/>
      <c r="AO11" s="13">
        <f t="shared" si="0"/>
        <v>10055915.52</v>
      </c>
      <c r="AQ11" s="13">
        <f>'BoR-GCD-HD releases'!D87</f>
        <v>11523400</v>
      </c>
      <c r="AR11" s="13">
        <f>'BoR-GCD-HD releases'!L87</f>
        <v>11522142.6</v>
      </c>
      <c r="AS11" s="13"/>
      <c r="AV11" s="13"/>
      <c r="AW11" s="13">
        <v>14052945</v>
      </c>
      <c r="AX11" s="13">
        <v>10239</v>
      </c>
      <c r="AY11" s="13">
        <v>17087</v>
      </c>
      <c r="AZ11" s="13">
        <v>313990</v>
      </c>
      <c r="BA11" s="13">
        <v>14394261</v>
      </c>
      <c r="BB11">
        <v>118855</v>
      </c>
      <c r="BC11" s="13">
        <v>184187</v>
      </c>
      <c r="BD11" s="13">
        <f>'BoR-GCD-HD releases'!F87</f>
        <v>10081300</v>
      </c>
      <c r="BE11" s="13">
        <v>14697303</v>
      </c>
      <c r="BG11" s="15">
        <f t="shared" si="2"/>
        <v>-3400</v>
      </c>
      <c r="BH11" s="15">
        <f t="shared" si="3"/>
        <v>460000</v>
      </c>
      <c r="BI11" s="15">
        <f>ROUND(U11+W11,-2)</f>
        <v>27300</v>
      </c>
      <c r="BJ11" s="15">
        <f t="shared" si="7"/>
        <v>433000</v>
      </c>
    </row>
    <row r="12" spans="1:64">
      <c r="A12" s="8">
        <v>1997</v>
      </c>
      <c r="B12" s="9"/>
      <c r="C12" s="10">
        <v>19120</v>
      </c>
      <c r="D12" s="1">
        <v>39.4</v>
      </c>
      <c r="E12" s="11">
        <v>19330</v>
      </c>
      <c r="F12" s="1">
        <v>90.6</v>
      </c>
      <c r="G12" s="1"/>
      <c r="H12" s="1">
        <v>19670</v>
      </c>
      <c r="I12" s="1"/>
      <c r="J12" s="1">
        <v>65</v>
      </c>
      <c r="K12" s="1">
        <v>73.7</v>
      </c>
      <c r="L12" s="1"/>
      <c r="M12" s="1">
        <v>20010</v>
      </c>
      <c r="N12" s="1">
        <v>3.66</v>
      </c>
      <c r="O12" s="1">
        <v>210.9</v>
      </c>
      <c r="P12" s="1"/>
      <c r="Q12" s="1"/>
      <c r="R12" s="1">
        <v>15420</v>
      </c>
      <c r="T12" s="10">
        <f>ROUND(C12*1.98347*365,-4)</f>
        <v>13840000</v>
      </c>
      <c r="U12" s="10">
        <f>ROUND(D12*1.98347*365,-2)</f>
        <v>28500</v>
      </c>
      <c r="V12" s="12">
        <f t="shared" si="6"/>
        <v>13994301.439999999</v>
      </c>
      <c r="W12" s="10">
        <f>ROUND(F12*1.98347*365,-2)</f>
        <v>65600</v>
      </c>
      <c r="X12" s="12"/>
      <c r="Y12" s="13"/>
      <c r="Z12" s="13">
        <f t="shared" si="8"/>
        <v>400000</v>
      </c>
      <c r="AA12" s="13">
        <f t="shared" ref="AA12:AA33" si="10">ROUND(AB12-T12-U12-W12,-3)</f>
        <v>306000</v>
      </c>
      <c r="AB12" s="136">
        <f>ROUND(H12*1.98347*365,-4)</f>
        <v>14240000</v>
      </c>
      <c r="AC12" s="13"/>
      <c r="AD12" s="13">
        <f>ROUND(J12*723.968,-2)</f>
        <v>47100</v>
      </c>
      <c r="AE12" s="13">
        <f>ROUND(K12*723.968,-2)</f>
        <v>53400</v>
      </c>
      <c r="AF12" s="13">
        <f t="shared" si="9"/>
        <v>250000</v>
      </c>
      <c r="AH12" s="13">
        <f>ROUND(M12*1.98347*365,-4)</f>
        <v>14490000</v>
      </c>
      <c r="AI12" s="136">
        <f>ROUND(N12*1.98347*365,-1)</f>
        <v>2650</v>
      </c>
      <c r="AJ12" s="136">
        <f t="shared" si="5"/>
        <v>153000</v>
      </c>
      <c r="AK12" s="13"/>
      <c r="AO12" s="13">
        <f t="shared" si="0"/>
        <v>11163586.559999999</v>
      </c>
      <c r="AQ12" s="13">
        <f>'BoR-GCD-HD releases'!D99</f>
        <v>13807800</v>
      </c>
      <c r="AR12" s="13">
        <f>'BoR-GCD-HD releases'!L99</f>
        <v>13726125.6</v>
      </c>
      <c r="AS12" s="13"/>
      <c r="AV12" s="13"/>
      <c r="AW12" s="13">
        <v>21184925</v>
      </c>
      <c r="AX12" s="13">
        <v>28489</v>
      </c>
      <c r="AY12" s="13">
        <v>65585</v>
      </c>
      <c r="AZ12" s="13">
        <v>301372</v>
      </c>
      <c r="BA12" s="13">
        <v>21580371</v>
      </c>
      <c r="BB12">
        <v>152667</v>
      </c>
      <c r="BC12" s="13">
        <v>224273</v>
      </c>
      <c r="BD12" s="13">
        <f>'BoR-GCD-HD releases'!F99</f>
        <v>11146200</v>
      </c>
      <c r="BE12" s="13">
        <v>21957311</v>
      </c>
      <c r="BG12" s="15">
        <f t="shared" si="2"/>
        <v>32200</v>
      </c>
      <c r="BH12" s="15">
        <f t="shared" si="3"/>
        <v>650000</v>
      </c>
      <c r="BI12" s="15">
        <f>ROUND(U12+W12,-2)</f>
        <v>94100</v>
      </c>
      <c r="BJ12" s="15">
        <f t="shared" si="7"/>
        <v>556000</v>
      </c>
    </row>
    <row r="13" spans="1:64">
      <c r="A13" s="8">
        <v>1998</v>
      </c>
      <c r="B13" s="9"/>
      <c r="C13" s="10">
        <v>18540</v>
      </c>
      <c r="D13" s="1">
        <v>27.4</v>
      </c>
      <c r="E13" s="11">
        <v>18860</v>
      </c>
      <c r="F13" s="1">
        <v>180.6</v>
      </c>
      <c r="G13" s="1"/>
      <c r="H13" s="1">
        <v>19060</v>
      </c>
      <c r="I13" s="1"/>
      <c r="J13" s="1">
        <v>67</v>
      </c>
      <c r="K13" s="1"/>
      <c r="L13" s="1"/>
      <c r="M13" s="1">
        <v>19480</v>
      </c>
      <c r="N13" s="1">
        <v>3.66</v>
      </c>
      <c r="O13" s="1">
        <v>378.3</v>
      </c>
      <c r="P13" s="1"/>
      <c r="Q13" s="1"/>
      <c r="R13" s="1">
        <v>16530</v>
      </c>
      <c r="T13" s="10">
        <f>ROUND(C13*1.98347*365,-4)</f>
        <v>13420000</v>
      </c>
      <c r="U13" s="10">
        <f>ROUND(D13*1.98347*365,-2)</f>
        <v>19800</v>
      </c>
      <c r="V13" s="12">
        <f t="shared" si="6"/>
        <v>13654036.479999999</v>
      </c>
      <c r="W13" s="10">
        <f>ROUND(F13*1.98347*365,-3)</f>
        <v>131000</v>
      </c>
      <c r="X13" s="12"/>
      <c r="Y13" s="13"/>
      <c r="Z13" s="13">
        <f t="shared" si="8"/>
        <v>380000</v>
      </c>
      <c r="AA13" s="13">
        <f t="shared" si="10"/>
        <v>229000</v>
      </c>
      <c r="AB13" s="136">
        <f>ROUND(H13*1.98347*365,-4)</f>
        <v>13800000</v>
      </c>
      <c r="AC13" s="13"/>
      <c r="AD13" s="13">
        <f t="shared" ref="AD13:AD34" si="11">ROUND(J13*723.968,-2)</f>
        <v>48500</v>
      </c>
      <c r="AE13" s="13"/>
      <c r="AF13" s="13">
        <f t="shared" si="9"/>
        <v>300000</v>
      </c>
      <c r="AH13" s="13">
        <f>ROUND(M13*1.98347*365,-4)</f>
        <v>14100000</v>
      </c>
      <c r="AI13" s="136">
        <f>ROUND(N13*1.98347*365,-1)</f>
        <v>2650</v>
      </c>
      <c r="AJ13" s="136">
        <f t="shared" si="5"/>
        <v>275000</v>
      </c>
      <c r="AK13" s="13"/>
      <c r="AO13" s="13">
        <f t="shared" si="0"/>
        <v>11967191.039999999</v>
      </c>
      <c r="AQ13" s="13">
        <f>'BoR-GCD-HD releases'!D111</f>
        <v>13392000</v>
      </c>
      <c r="AR13" s="13">
        <f>'BoR-GCD-HD releases'!L111</f>
        <v>13509836.1</v>
      </c>
      <c r="AS13" s="13"/>
      <c r="AV13" s="13"/>
      <c r="AW13" s="13">
        <v>16968573</v>
      </c>
      <c r="AX13" s="13">
        <v>19836</v>
      </c>
      <c r="AY13" s="13">
        <v>130727</v>
      </c>
      <c r="AZ13" s="13">
        <v>230025</v>
      </c>
      <c r="BA13" s="13">
        <v>17349161</v>
      </c>
      <c r="BB13">
        <v>273854</v>
      </c>
      <c r="BC13" s="13">
        <v>563578</v>
      </c>
      <c r="BD13" s="13">
        <f>'BoR-GCD-HD releases'!F111</f>
        <v>11961100</v>
      </c>
      <c r="BE13" s="13">
        <v>18186593</v>
      </c>
      <c r="BG13" s="15">
        <f t="shared" si="2"/>
        <v>28000</v>
      </c>
      <c r="BH13" s="15">
        <f t="shared" si="3"/>
        <v>680000</v>
      </c>
      <c r="BI13" s="15">
        <f>ROUND(U13+W13,-3)</f>
        <v>151000</v>
      </c>
      <c r="BJ13" s="15">
        <f t="shared" ref="BJ13:BJ32" si="12">BH13-BI13</f>
        <v>529000</v>
      </c>
    </row>
    <row r="14" spans="1:64">
      <c r="A14" s="8">
        <v>1999</v>
      </c>
      <c r="B14" s="9"/>
      <c r="C14" s="10">
        <v>15760</v>
      </c>
      <c r="D14" s="1">
        <v>30.8</v>
      </c>
      <c r="E14" s="11">
        <v>15840</v>
      </c>
      <c r="F14" s="1">
        <v>149.69999999999999</v>
      </c>
      <c r="G14" s="1"/>
      <c r="H14" s="1">
        <v>16150</v>
      </c>
      <c r="I14" s="1"/>
      <c r="J14" s="1">
        <v>66.099999999999994</v>
      </c>
      <c r="K14" s="1"/>
      <c r="L14" s="1"/>
      <c r="M14" s="1">
        <v>16720</v>
      </c>
      <c r="N14" s="1">
        <v>7.07</v>
      </c>
      <c r="O14" s="1">
        <v>192</v>
      </c>
      <c r="P14" s="1"/>
      <c r="Q14" s="1"/>
      <c r="R14" s="1">
        <v>15750</v>
      </c>
      <c r="T14" s="10">
        <f>ROUND(C14*1.98347*365,-4)</f>
        <v>11410000</v>
      </c>
      <c r="U14" s="10">
        <f>ROUND(D14*1.98347*365,-2)</f>
        <v>22300</v>
      </c>
      <c r="V14" s="12">
        <f t="shared" si="6"/>
        <v>11467653.119999999</v>
      </c>
      <c r="W14" s="10">
        <f>ROUND(F14*1.98347*365,-3)</f>
        <v>108000</v>
      </c>
      <c r="X14" s="12"/>
      <c r="Y14" s="13"/>
      <c r="Z14" s="13">
        <f t="shared" si="8"/>
        <v>280000</v>
      </c>
      <c r="AA14" s="13">
        <f t="shared" si="10"/>
        <v>150000</v>
      </c>
      <c r="AB14" s="136">
        <f>ROUND(H14*1.98347*365,-4)</f>
        <v>11690000</v>
      </c>
      <c r="AC14" s="13"/>
      <c r="AD14" s="13">
        <f t="shared" si="11"/>
        <v>47900</v>
      </c>
      <c r="AE14" s="13"/>
      <c r="AF14" s="13">
        <f t="shared" si="9"/>
        <v>410000</v>
      </c>
      <c r="AH14" s="13">
        <f>ROUND(M14*1.98347*365,-4)</f>
        <v>12100000</v>
      </c>
      <c r="AI14" s="136">
        <f>ROUND(N14*1.98347*365,-1)</f>
        <v>5120</v>
      </c>
      <c r="AJ14" s="136">
        <f t="shared" si="5"/>
        <v>139000</v>
      </c>
      <c r="AK14" s="13"/>
      <c r="AO14" s="13">
        <f t="shared" si="0"/>
        <v>11402496</v>
      </c>
      <c r="AQ14" s="13">
        <f>'BoR-GCD-HD releases'!D123</f>
        <v>11414000</v>
      </c>
      <c r="AR14" s="13">
        <f>'BoR-GCD-HD releases'!L123</f>
        <v>11204256.300000001</v>
      </c>
      <c r="AS14" s="13"/>
      <c r="AV14" s="13"/>
      <c r="AW14" s="13">
        <v>16452831</v>
      </c>
      <c r="AX14" s="13">
        <v>22293</v>
      </c>
      <c r="AY14" s="13">
        <v>108400</v>
      </c>
      <c r="AZ14" s="13">
        <v>157109</v>
      </c>
      <c r="BA14" s="13">
        <v>16740633</v>
      </c>
      <c r="BB14">
        <v>139033</v>
      </c>
      <c r="BC14" s="13">
        <v>234571</v>
      </c>
      <c r="BD14" s="13">
        <f>'BoR-GCD-HD releases'!F123</f>
        <v>11404000</v>
      </c>
      <c r="BE14" s="13">
        <v>17114237</v>
      </c>
      <c r="BG14" s="15">
        <f t="shared" si="2"/>
        <v>-4000</v>
      </c>
      <c r="BH14" s="15">
        <f t="shared" si="3"/>
        <v>690000</v>
      </c>
      <c r="BI14" s="15">
        <f>ROUND(U14+W14,-3)</f>
        <v>130000</v>
      </c>
      <c r="BJ14" s="15">
        <f t="shared" si="12"/>
        <v>560000</v>
      </c>
    </row>
    <row r="15" spans="1:64">
      <c r="A15" s="14">
        <v>2000</v>
      </c>
      <c r="B15" s="9"/>
      <c r="C15" s="10">
        <v>13120</v>
      </c>
      <c r="D15" s="1">
        <v>11.5</v>
      </c>
      <c r="E15" s="11">
        <v>13240</v>
      </c>
      <c r="F15" s="1">
        <v>14.1</v>
      </c>
      <c r="G15" s="1"/>
      <c r="H15" s="1">
        <v>13690</v>
      </c>
      <c r="I15" s="1"/>
      <c r="J15" s="1">
        <v>65</v>
      </c>
      <c r="K15" s="1"/>
      <c r="L15" s="1"/>
      <c r="M15" s="1">
        <v>14110</v>
      </c>
      <c r="N15" s="1">
        <v>5.19</v>
      </c>
      <c r="O15" s="1">
        <v>147.19999999999999</v>
      </c>
      <c r="P15" s="1"/>
      <c r="Q15" s="1"/>
      <c r="R15" s="1">
        <v>15150</v>
      </c>
      <c r="T15" s="10">
        <f>ROUND(C15*1.98347*366,-3)</f>
        <v>9524000</v>
      </c>
      <c r="U15" s="10">
        <f>ROUND(D15*1.98347*366,-1)</f>
        <v>8350</v>
      </c>
      <c r="V15" s="12">
        <f t="shared" si="6"/>
        <v>9585336.3200000003</v>
      </c>
      <c r="W15" s="10">
        <f>ROUND(F15*1.98347*366,-2)</f>
        <v>10200</v>
      </c>
      <c r="X15" s="12"/>
      <c r="Y15" s="13"/>
      <c r="Z15" s="13">
        <f t="shared" si="8"/>
        <v>414000</v>
      </c>
      <c r="AA15" s="13">
        <f t="shared" si="10"/>
        <v>395000</v>
      </c>
      <c r="AB15" s="136">
        <f>ROUND(H15*1.98347*366,-3)</f>
        <v>9938000</v>
      </c>
      <c r="AC15" s="13"/>
      <c r="AD15" s="13">
        <f t="shared" si="11"/>
        <v>47100</v>
      </c>
      <c r="AE15" s="13"/>
      <c r="AF15" s="13">
        <f t="shared" si="9"/>
        <v>302000</v>
      </c>
      <c r="AH15" s="13">
        <f>ROUND(M15*1.98347*366,-4)</f>
        <v>10240000</v>
      </c>
      <c r="AI15" s="136">
        <f>ROUND(N15*1.98347*366,-1)</f>
        <v>3770</v>
      </c>
      <c r="AJ15" s="136">
        <f t="shared" si="5"/>
        <v>107000</v>
      </c>
      <c r="AK15" s="13"/>
      <c r="AO15" s="13">
        <f t="shared" si="0"/>
        <v>10968115.199999999</v>
      </c>
      <c r="AQ15" s="13">
        <f>'BoR-GCD-HD releases'!D135</f>
        <v>9543500</v>
      </c>
      <c r="AR15" s="13">
        <f>'BoR-GCD-HD releases'!L135</f>
        <v>9381440.2999999989</v>
      </c>
      <c r="AS15" s="13"/>
      <c r="AT15" s="15"/>
      <c r="AV15" s="13"/>
      <c r="AW15" s="13">
        <v>10541308</v>
      </c>
      <c r="AX15" s="13">
        <v>8374</v>
      </c>
      <c r="AY15" s="13">
        <v>10240</v>
      </c>
      <c r="AZ15" s="13">
        <v>396228</v>
      </c>
      <c r="BA15" s="13">
        <v>10956150</v>
      </c>
      <c r="BB15">
        <v>106849</v>
      </c>
      <c r="BC15" s="13">
        <v>-67771</v>
      </c>
      <c r="BD15" s="13">
        <f>'BoR-GCD-HD releases'!F135</f>
        <v>10993700</v>
      </c>
      <c r="BE15" s="13">
        <v>10995228</v>
      </c>
      <c r="BG15" s="15">
        <f t="shared" si="2"/>
        <v>-19500</v>
      </c>
      <c r="BH15" s="15">
        <f t="shared" si="3"/>
        <v>716000</v>
      </c>
      <c r="BI15" s="15">
        <f>ROUND(U15+W15,-2)</f>
        <v>18600</v>
      </c>
      <c r="BJ15" s="15">
        <f t="shared" ref="BJ15" si="13">ROUND(BH15-BI15,-3)</f>
        <v>697000</v>
      </c>
    </row>
    <row r="16" spans="1:64">
      <c r="A16" s="8">
        <v>2001</v>
      </c>
      <c r="B16" s="9">
        <v>11360</v>
      </c>
      <c r="C16" s="10">
        <v>11520</v>
      </c>
      <c r="D16" s="1">
        <v>27.2</v>
      </c>
      <c r="E16" s="11">
        <v>11730</v>
      </c>
      <c r="F16" s="1">
        <v>114.5</v>
      </c>
      <c r="G16" s="1"/>
      <c r="H16" s="1">
        <v>12150</v>
      </c>
      <c r="I16" s="1"/>
      <c r="J16" s="1">
        <v>65.599999999999994</v>
      </c>
      <c r="K16" s="1">
        <v>72.099999999999994</v>
      </c>
      <c r="L16" s="1"/>
      <c r="M16" s="1">
        <v>12530</v>
      </c>
      <c r="N16" s="1">
        <v>3.32</v>
      </c>
      <c r="O16" s="1">
        <v>149.30000000000001</v>
      </c>
      <c r="P16" s="1"/>
      <c r="Q16" s="1"/>
      <c r="R16" s="1">
        <v>14500</v>
      </c>
      <c r="T16" s="10">
        <f>ROUND(C16*1.98347*365,-3)</f>
        <v>8340000</v>
      </c>
      <c r="U16" s="10">
        <f>ROUND(D16*1.98347*365,-2)</f>
        <v>19700</v>
      </c>
      <c r="V16" s="12">
        <f t="shared" si="6"/>
        <v>8492144.6399999987</v>
      </c>
      <c r="W16" s="10">
        <f>ROUND(F16*1.98347*365,-2)</f>
        <v>82900</v>
      </c>
      <c r="X16" s="12"/>
      <c r="Y16" s="13"/>
      <c r="Z16" s="13">
        <f t="shared" si="8"/>
        <v>456000</v>
      </c>
      <c r="AA16" s="13">
        <f t="shared" si="10"/>
        <v>353000</v>
      </c>
      <c r="AB16" s="136">
        <f>ROUND(H16*1.98347*365,-3)</f>
        <v>8796000</v>
      </c>
      <c r="AC16" s="13"/>
      <c r="AD16" s="13">
        <f t="shared" si="11"/>
        <v>47500</v>
      </c>
      <c r="AE16" s="13">
        <f t="shared" ref="AE16:AE23" si="14">ROUND(K16*723.968,-2)</f>
        <v>52200</v>
      </c>
      <c r="AF16" s="13">
        <f t="shared" si="9"/>
        <v>275000</v>
      </c>
      <c r="AH16" s="13">
        <f>ROUND(M16*1.98347*365,-3)</f>
        <v>9071000</v>
      </c>
      <c r="AI16" s="136">
        <f>ROUND(N16*1.98347*365,-1)</f>
        <v>2400</v>
      </c>
      <c r="AJ16" s="136">
        <f t="shared" si="5"/>
        <v>108000</v>
      </c>
      <c r="AK16" s="13"/>
      <c r="AO16" s="13">
        <f t="shared" si="0"/>
        <v>10497536</v>
      </c>
      <c r="AQ16" s="13">
        <f>'BoR-GCD-HD releases'!D147</f>
        <v>8342400</v>
      </c>
      <c r="AR16" s="13">
        <f>'BoR-GCD-HD releases'!L147</f>
        <v>8235533.7999999998</v>
      </c>
      <c r="AS16" s="13"/>
      <c r="AT16" s="15"/>
      <c r="AV16" s="13"/>
      <c r="AW16" s="13">
        <v>11023149</v>
      </c>
      <c r="AX16" s="13">
        <v>19713</v>
      </c>
      <c r="AY16" s="13">
        <v>82920</v>
      </c>
      <c r="AZ16" s="13">
        <v>353585</v>
      </c>
      <c r="BA16" s="13">
        <v>11479367</v>
      </c>
      <c r="BB16">
        <v>108093</v>
      </c>
      <c r="BC16" s="13">
        <v>44085</v>
      </c>
      <c r="BD16" s="13">
        <f>'BoR-GCD-HD releases'!F147</f>
        <v>10496300</v>
      </c>
      <c r="BE16" s="13">
        <v>11631545</v>
      </c>
      <c r="BG16" s="15">
        <f t="shared" si="2"/>
        <v>-2400</v>
      </c>
      <c r="BH16" s="15">
        <f t="shared" si="3"/>
        <v>731000</v>
      </c>
      <c r="BI16" s="15">
        <f>ROUND(U16+W16,-3)</f>
        <v>103000</v>
      </c>
      <c r="BJ16" s="15">
        <f t="shared" si="12"/>
        <v>628000</v>
      </c>
    </row>
    <row r="17" spans="1:64">
      <c r="A17" s="8">
        <v>2002</v>
      </c>
      <c r="B17" s="9">
        <v>11440</v>
      </c>
      <c r="C17" s="10">
        <v>11520</v>
      </c>
      <c r="D17" s="1">
        <v>11.1</v>
      </c>
      <c r="E17" s="1"/>
      <c r="F17" s="1">
        <v>102.9</v>
      </c>
      <c r="G17" s="1"/>
      <c r="H17" s="1">
        <v>11940</v>
      </c>
      <c r="I17" s="1"/>
      <c r="J17" s="1">
        <v>65.3</v>
      </c>
      <c r="K17" s="1">
        <v>69.5</v>
      </c>
      <c r="L17" s="1"/>
      <c r="M17" s="1">
        <v>12270</v>
      </c>
      <c r="N17" s="1">
        <v>2.87</v>
      </c>
      <c r="O17" s="1">
        <v>102.6</v>
      </c>
      <c r="P17" s="1"/>
      <c r="Q17" s="1"/>
      <c r="R17" s="1">
        <v>14510</v>
      </c>
      <c r="T17" s="10">
        <f>ROUND(C17*1.98347*365,-3)</f>
        <v>8340000</v>
      </c>
      <c r="U17" s="10">
        <f>ROUND(D17*1.98347*365,-1)</f>
        <v>8040</v>
      </c>
      <c r="V17" s="12"/>
      <c r="W17" s="10">
        <f>ROUND(F17*1.98347*365,-2)</f>
        <v>74500</v>
      </c>
      <c r="X17" s="12"/>
      <c r="Y17" s="13"/>
      <c r="Z17" s="13">
        <f t="shared" si="8"/>
        <v>304000</v>
      </c>
      <c r="AA17" s="13">
        <f t="shared" si="10"/>
        <v>221000</v>
      </c>
      <c r="AB17" s="136">
        <f>ROUND(H17*1.98347*365,-3)</f>
        <v>8644000</v>
      </c>
      <c r="AC17" s="13"/>
      <c r="AD17" s="13">
        <f t="shared" si="11"/>
        <v>47300</v>
      </c>
      <c r="AE17" s="13">
        <f t="shared" si="14"/>
        <v>50300</v>
      </c>
      <c r="AF17" s="13">
        <f t="shared" si="9"/>
        <v>239000</v>
      </c>
      <c r="AH17" s="13">
        <f>ROUND(M17*1.98347*365,-3)</f>
        <v>8883000</v>
      </c>
      <c r="AI17" s="136">
        <f>ROUND(N17*1.98347*365,-1)</f>
        <v>2080</v>
      </c>
      <c r="AJ17" s="136">
        <f>ROUND(O17*1.98347*365,-2)</f>
        <v>74300</v>
      </c>
      <c r="AK17" s="13"/>
      <c r="AO17" s="13">
        <f t="shared" si="0"/>
        <v>10504775.68</v>
      </c>
      <c r="AQ17" s="13">
        <f>'BoR-GCD-HD releases'!D159</f>
        <v>8340000</v>
      </c>
      <c r="AR17" s="13">
        <f>'BoR-GCD-HD releases'!L159</f>
        <v>8230493.0000000009</v>
      </c>
      <c r="AS17" s="13"/>
      <c r="AT17" s="15"/>
      <c r="AV17" s="13"/>
      <c r="AW17" s="13">
        <v>5870736</v>
      </c>
      <c r="AX17" s="13">
        <v>8067</v>
      </c>
      <c r="AY17" s="13">
        <v>74517</v>
      </c>
      <c r="AZ17" s="13">
        <v>220370</v>
      </c>
      <c r="BA17" s="13">
        <v>6173690</v>
      </c>
      <c r="BB17">
        <v>74279</v>
      </c>
      <c r="BC17" s="13">
        <v>-51096</v>
      </c>
      <c r="BD17" s="13">
        <f>'BoR-GCD-HD releases'!F159</f>
        <v>10508000</v>
      </c>
      <c r="BE17" s="13">
        <v>6196873</v>
      </c>
      <c r="BG17" s="15">
        <f t="shared" si="2"/>
        <v>0</v>
      </c>
      <c r="BH17" s="15">
        <f t="shared" si="3"/>
        <v>543000</v>
      </c>
      <c r="BI17" s="15">
        <f>ROUND(U17+W17,-2)</f>
        <v>82500</v>
      </c>
      <c r="BJ17" s="15">
        <f t="shared" ref="BJ17:BJ21" si="15">ROUND(BH17-BI17,-3)</f>
        <v>461000</v>
      </c>
    </row>
    <row r="18" spans="1:64">
      <c r="A18" s="8">
        <v>2003</v>
      </c>
      <c r="B18" s="9">
        <v>11470</v>
      </c>
      <c r="C18" s="10">
        <v>11550</v>
      </c>
      <c r="D18" s="1">
        <v>16.100000000000001</v>
      </c>
      <c r="E18" s="1"/>
      <c r="F18" s="1">
        <v>56.5</v>
      </c>
      <c r="G18" s="1"/>
      <c r="H18" s="1">
        <v>11990</v>
      </c>
      <c r="I18" s="1"/>
      <c r="J18" s="1">
        <v>69</v>
      </c>
      <c r="K18" s="1">
        <v>75.099999999999994</v>
      </c>
      <c r="L18" s="1"/>
      <c r="M18" s="1">
        <v>12370</v>
      </c>
      <c r="N18" s="1">
        <v>4.95</v>
      </c>
      <c r="O18" s="1">
        <v>116.3</v>
      </c>
      <c r="P18" s="1"/>
      <c r="Q18">
        <v>259.39999999999998</v>
      </c>
      <c r="R18" s="1">
        <v>13070</v>
      </c>
      <c r="T18" s="10">
        <f>ROUND(C18*1.98347*365,-3)</f>
        <v>8362000</v>
      </c>
      <c r="U18" s="10">
        <f>ROUND(D18*1.98347*365,-2)</f>
        <v>11700</v>
      </c>
      <c r="V18" s="12"/>
      <c r="W18" s="10">
        <f>ROUND(F18*1.98347*365,-2)</f>
        <v>40900</v>
      </c>
      <c r="X18" s="12"/>
      <c r="Y18" s="13"/>
      <c r="Z18" s="13">
        <f t="shared" si="8"/>
        <v>318000</v>
      </c>
      <c r="AA18" s="13">
        <f t="shared" si="10"/>
        <v>265000</v>
      </c>
      <c r="AB18" s="136">
        <f>ROUND(H18*1.98347*365,-3)</f>
        <v>8680000</v>
      </c>
      <c r="AC18" s="13"/>
      <c r="AD18" s="13">
        <f t="shared" si="11"/>
        <v>50000</v>
      </c>
      <c r="AE18" s="13">
        <f t="shared" si="14"/>
        <v>54400</v>
      </c>
      <c r="AF18" s="13">
        <f t="shared" si="9"/>
        <v>275000</v>
      </c>
      <c r="AH18" s="13">
        <f>ROUND(M18*1.98347*365,-3)</f>
        <v>8955000</v>
      </c>
      <c r="AI18" s="136">
        <f>ROUND(N18*1.98347*365,-1)</f>
        <v>3580</v>
      </c>
      <c r="AJ18" s="136">
        <f>ROUND(O18*1.98347*366,-2)</f>
        <v>84400</v>
      </c>
      <c r="AK18" s="13"/>
      <c r="AM18" s="13">
        <f t="shared" ref="AM18:AM34" si="16">Q18*723.968</f>
        <v>187797.29919999998</v>
      </c>
      <c r="AN18" s="13"/>
      <c r="AO18" s="13">
        <f t="shared" si="0"/>
        <v>9462261.7599999998</v>
      </c>
      <c r="AQ18" s="13">
        <f>'BoR-GCD-HD releases'!D171</f>
        <v>8361600</v>
      </c>
      <c r="AR18" s="13">
        <f>'BoR-GCD-HD releases'!L171</f>
        <v>8318584</v>
      </c>
      <c r="AS18" s="13"/>
      <c r="AT18" s="15"/>
      <c r="AV18" s="13"/>
      <c r="AW18" s="13">
        <v>10455249</v>
      </c>
      <c r="AX18" s="13">
        <v>11674</v>
      </c>
      <c r="AY18" s="13">
        <v>40901</v>
      </c>
      <c r="AZ18" s="13">
        <v>264602</v>
      </c>
      <c r="BA18" s="13">
        <v>10772426</v>
      </c>
      <c r="BB18">
        <v>84227</v>
      </c>
      <c r="BC18" s="13">
        <v>99190</v>
      </c>
      <c r="BD18" s="13">
        <f>'BoR-GCD-HD releases'!F171</f>
        <v>9464000</v>
      </c>
      <c r="BE18" s="13">
        <v>10955843</v>
      </c>
      <c r="BG18" s="15">
        <f t="shared" si="2"/>
        <v>400</v>
      </c>
      <c r="BH18" s="15">
        <f t="shared" si="3"/>
        <v>593000</v>
      </c>
      <c r="BI18" s="15">
        <f>ROUND(U18+W18,-2)</f>
        <v>52600</v>
      </c>
      <c r="BJ18" s="15">
        <f t="shared" si="15"/>
        <v>540000</v>
      </c>
    </row>
    <row r="19" spans="1:64">
      <c r="A19" s="14">
        <v>2004</v>
      </c>
      <c r="B19" s="9"/>
      <c r="C19" s="10">
        <v>11480</v>
      </c>
      <c r="D19" s="1">
        <v>17.399999999999999</v>
      </c>
      <c r="E19" s="1"/>
      <c r="F19" s="1">
        <v>73</v>
      </c>
      <c r="G19" s="1">
        <v>300.3</v>
      </c>
      <c r="H19" s="1">
        <v>12020</v>
      </c>
      <c r="I19" s="1"/>
      <c r="J19" s="1">
        <v>66.2</v>
      </c>
      <c r="K19" s="1">
        <v>70.900000000000006</v>
      </c>
      <c r="L19" s="1"/>
      <c r="M19" s="1">
        <v>12360</v>
      </c>
      <c r="N19" s="1">
        <v>2.89</v>
      </c>
      <c r="O19" s="1">
        <v>112.8</v>
      </c>
      <c r="P19" s="1"/>
      <c r="Q19">
        <v>268.5</v>
      </c>
      <c r="R19" s="1">
        <v>13270</v>
      </c>
      <c r="T19" s="10">
        <f>ROUND(C19*1.98347*366,-3)</f>
        <v>8334000</v>
      </c>
      <c r="U19" s="10">
        <f>ROUND(D19*1.98347*366,-2)</f>
        <v>12600</v>
      </c>
      <c r="V19" s="12"/>
      <c r="W19" s="10">
        <f>ROUND(F19*1.98347*366,-2)</f>
        <v>53000</v>
      </c>
      <c r="X19" s="10">
        <f>ROUND(G19*1.98347*366,-3)</f>
        <v>218000</v>
      </c>
      <c r="Y19" s="13">
        <f>X19-W19</f>
        <v>165000</v>
      </c>
      <c r="Z19" s="13">
        <f t="shared" si="8"/>
        <v>392000</v>
      </c>
      <c r="AA19" s="13">
        <f t="shared" si="10"/>
        <v>326000</v>
      </c>
      <c r="AB19" s="136">
        <f>ROUND(H19*1.98347*366,-3)</f>
        <v>8726000</v>
      </c>
      <c r="AC19" s="13"/>
      <c r="AD19" s="13">
        <f t="shared" si="11"/>
        <v>47900</v>
      </c>
      <c r="AE19" s="13">
        <f t="shared" si="14"/>
        <v>51300</v>
      </c>
      <c r="AF19" s="13">
        <f t="shared" si="9"/>
        <v>247000</v>
      </c>
      <c r="AH19" s="13">
        <f>ROUND(M19*1.98347*366,-3)</f>
        <v>8973000</v>
      </c>
      <c r="AI19" s="136">
        <f>ROUND(N19*1.98347*366,-1)</f>
        <v>2100</v>
      </c>
      <c r="AJ19" s="136">
        <f>ROUND(O19*1.98347*365,-2)</f>
        <v>81700</v>
      </c>
      <c r="AK19" s="13"/>
      <c r="AM19" s="13">
        <f t="shared" si="16"/>
        <v>194385.408</v>
      </c>
      <c r="AN19" s="13"/>
      <c r="AO19" s="13">
        <f t="shared" si="0"/>
        <v>9607055.3599999994</v>
      </c>
      <c r="AQ19" s="13">
        <f>'BoR-GCD-HD releases'!D183</f>
        <v>8258600</v>
      </c>
      <c r="AR19" s="13">
        <f>'BoR-GCD-HD releases'!L183</f>
        <v>8230940.6999999983</v>
      </c>
      <c r="AS19" s="13"/>
      <c r="AT19" s="15"/>
      <c r="AV19" s="13"/>
      <c r="AW19" s="13">
        <v>9443222</v>
      </c>
      <c r="AX19" s="13">
        <v>12664</v>
      </c>
      <c r="AY19" s="13">
        <v>52966</v>
      </c>
      <c r="AZ19" s="13">
        <v>327792</v>
      </c>
      <c r="BA19" s="13">
        <v>9836644</v>
      </c>
      <c r="BB19">
        <v>81913</v>
      </c>
      <c r="BC19" s="13">
        <v>-9307</v>
      </c>
      <c r="BD19" s="13">
        <f>'BoR-GCD-HD releases'!F183</f>
        <v>9634900</v>
      </c>
      <c r="BE19" s="13">
        <v>9909250</v>
      </c>
      <c r="BG19" s="15">
        <f t="shared" si="2"/>
        <v>75400</v>
      </c>
      <c r="BH19" s="15">
        <f t="shared" si="3"/>
        <v>639000</v>
      </c>
      <c r="BI19" s="15">
        <f>ROUND(U19+W19,-2)</f>
        <v>65600</v>
      </c>
      <c r="BJ19" s="15">
        <f t="shared" si="15"/>
        <v>573000</v>
      </c>
    </row>
    <row r="20" spans="1:64">
      <c r="A20" s="8">
        <v>2005</v>
      </c>
      <c r="B20" s="9"/>
      <c r="C20" s="10">
        <v>11550</v>
      </c>
      <c r="D20" s="1">
        <v>46.3</v>
      </c>
      <c r="E20" s="1"/>
      <c r="F20" s="1">
        <v>393.6</v>
      </c>
      <c r="G20" s="1">
        <v>630.79999999999995</v>
      </c>
      <c r="H20" s="1">
        <v>12440</v>
      </c>
      <c r="I20" s="1"/>
      <c r="J20" s="1">
        <v>79.900000000000006</v>
      </c>
      <c r="K20" s="1">
        <v>89.2</v>
      </c>
      <c r="L20" s="1"/>
      <c r="M20" s="1">
        <v>13000</v>
      </c>
      <c r="N20" s="1">
        <v>7.41</v>
      </c>
      <c r="O20" s="1">
        <v>824.8</v>
      </c>
      <c r="P20" s="1"/>
      <c r="Q20">
        <v>311</v>
      </c>
      <c r="R20" s="1">
        <v>10970</v>
      </c>
      <c r="T20" s="10">
        <f>ROUND(C20*1.98347*365,-3)</f>
        <v>8362000</v>
      </c>
      <c r="U20" s="10">
        <f>ROUND(D20*1.98347*365,-2)</f>
        <v>33500</v>
      </c>
      <c r="V20" s="12"/>
      <c r="W20" s="10">
        <f>ROUND(F20*1.98347*365,-3)</f>
        <v>285000</v>
      </c>
      <c r="X20" s="10">
        <f>ROUND(G20*1.98347*365,-3)</f>
        <v>457000</v>
      </c>
      <c r="Y20" s="13">
        <f t="shared" ref="Y20:Y34" si="17">X20-W20</f>
        <v>172000</v>
      </c>
      <c r="Z20" s="13">
        <f t="shared" si="8"/>
        <v>644000</v>
      </c>
      <c r="AA20" s="13">
        <f t="shared" si="10"/>
        <v>326000</v>
      </c>
      <c r="AB20" s="136">
        <f>ROUND(H20*1.98347*365,-3)</f>
        <v>9006000</v>
      </c>
      <c r="AC20" s="13"/>
      <c r="AD20" s="13">
        <f t="shared" si="11"/>
        <v>57800</v>
      </c>
      <c r="AE20" s="13">
        <f t="shared" si="14"/>
        <v>64600</v>
      </c>
      <c r="AF20" s="13">
        <f t="shared" si="9"/>
        <v>406000</v>
      </c>
      <c r="AH20" s="13">
        <f>ROUND(M20*1.98347*365,-3)</f>
        <v>9412000</v>
      </c>
      <c r="AI20" s="136">
        <f>ROUND(N20*1.98347*365,-1)</f>
        <v>5360</v>
      </c>
      <c r="AJ20" s="136">
        <f>ROUND(O20*1.98347*366,-3)</f>
        <v>599000</v>
      </c>
      <c r="AK20" s="13"/>
      <c r="AM20" s="13">
        <f t="shared" si="16"/>
        <v>225154.04799999998</v>
      </c>
      <c r="AN20" s="13"/>
      <c r="AO20" s="13">
        <f t="shared" si="0"/>
        <v>7941928.96</v>
      </c>
      <c r="AQ20" s="13">
        <f>'BoR-GCD-HD releases'!D195</f>
        <v>8231632</v>
      </c>
      <c r="AR20" s="13">
        <f>'BoR-GCD-HD releases'!L195</f>
        <v>8231718.1999999993</v>
      </c>
      <c r="AS20" s="13"/>
      <c r="AT20" s="15">
        <f t="shared" ref="AT20:AT34" si="18">T20-AQ20</f>
        <v>130368</v>
      </c>
      <c r="AU20" s="15">
        <f t="shared" ref="AU20:AU34" si="19">T20-AR20</f>
        <v>130281.80000000075</v>
      </c>
      <c r="AV20" s="13"/>
      <c r="AW20" s="13">
        <v>17117932</v>
      </c>
      <c r="AX20" s="13">
        <v>33491</v>
      </c>
      <c r="AY20" s="13">
        <v>285029</v>
      </c>
      <c r="AZ20" s="13">
        <v>331090</v>
      </c>
      <c r="BA20" s="13">
        <v>17767542</v>
      </c>
      <c r="BB20">
        <v>556842</v>
      </c>
      <c r="BC20" s="13">
        <v>686099</v>
      </c>
      <c r="BD20" s="13">
        <f>'BoR-GCD-HD releases'!F195</f>
        <v>7938000</v>
      </c>
      <c r="BE20" s="13">
        <v>19010483</v>
      </c>
      <c r="BG20" s="15">
        <f t="shared" si="2"/>
        <v>130368</v>
      </c>
      <c r="BH20" s="15">
        <f t="shared" si="3"/>
        <v>1050000</v>
      </c>
      <c r="BI20" s="15">
        <f>ROUND(U20+W20,-3)</f>
        <v>319000</v>
      </c>
      <c r="BJ20" s="15">
        <f t="shared" si="12"/>
        <v>731000</v>
      </c>
    </row>
    <row r="21" spans="1:64">
      <c r="A21" s="8">
        <v>2006</v>
      </c>
      <c r="B21" s="9"/>
      <c r="C21" s="10">
        <v>11730</v>
      </c>
      <c r="D21" s="1">
        <v>20.399999999999999</v>
      </c>
      <c r="E21" s="1"/>
      <c r="F21" s="1">
        <v>108.3</v>
      </c>
      <c r="G21" s="1">
        <v>315.2</v>
      </c>
      <c r="H21" s="1">
        <v>12240</v>
      </c>
      <c r="I21" s="1"/>
      <c r="J21" s="1">
        <v>69.7</v>
      </c>
      <c r="K21" s="1">
        <v>77</v>
      </c>
      <c r="L21" s="1"/>
      <c r="M21" s="1">
        <v>12450</v>
      </c>
      <c r="N21" s="1">
        <v>10.9</v>
      </c>
      <c r="O21" s="1">
        <v>232.9</v>
      </c>
      <c r="P21" s="1"/>
      <c r="Q21">
        <v>301.39999999999998</v>
      </c>
      <c r="R21" s="1">
        <v>12980</v>
      </c>
      <c r="T21" s="10">
        <f>ROUND(C21*1.98347*365,-3)</f>
        <v>8492000</v>
      </c>
      <c r="U21" s="10">
        <f>ROUND(D21*1.98347*365,-2)</f>
        <v>14800</v>
      </c>
      <c r="V21" s="12"/>
      <c r="W21" s="10">
        <f>ROUND(F21*1.98347*365,-2)</f>
        <v>78400</v>
      </c>
      <c r="X21" s="10">
        <f>ROUND(G21*1.98347*365,-3)</f>
        <v>228000</v>
      </c>
      <c r="Y21" s="13">
        <f t="shared" si="17"/>
        <v>149600</v>
      </c>
      <c r="Z21" s="13">
        <f t="shared" si="8"/>
        <v>369000</v>
      </c>
      <c r="AA21" s="13">
        <f t="shared" si="10"/>
        <v>276000</v>
      </c>
      <c r="AB21" s="136">
        <f>ROUND(H21*1.98347*365,-3)</f>
        <v>8861000</v>
      </c>
      <c r="AC21" s="13"/>
      <c r="AD21" s="13">
        <f t="shared" si="11"/>
        <v>50500</v>
      </c>
      <c r="AE21" s="13">
        <f t="shared" si="14"/>
        <v>55700</v>
      </c>
      <c r="AF21" s="13">
        <f t="shared" si="9"/>
        <v>152000</v>
      </c>
      <c r="AH21" s="13">
        <f>ROUND(M21*1.98347*365,-3)</f>
        <v>9013000</v>
      </c>
      <c r="AI21" s="136">
        <f>ROUND(N21*1.98347*365,-1)</f>
        <v>7890</v>
      </c>
      <c r="AJ21" s="136">
        <f>ROUND(O21*1.98347*366,-3)</f>
        <v>169000</v>
      </c>
      <c r="AK21" s="13"/>
      <c r="AM21" s="13">
        <f t="shared" si="16"/>
        <v>218203.95519999997</v>
      </c>
      <c r="AN21" s="13"/>
      <c r="AO21" s="13">
        <f t="shared" si="0"/>
        <v>9397104.6399999987</v>
      </c>
      <c r="AQ21" s="13">
        <f>'BoR-GCD-HD releases'!D207</f>
        <v>8228613</v>
      </c>
      <c r="AR21" s="13">
        <f>'BoR-GCD-HD releases'!L207</f>
        <v>8228364.7000000011</v>
      </c>
      <c r="AS21" s="13"/>
      <c r="AT21" s="15">
        <f t="shared" si="18"/>
        <v>263387</v>
      </c>
      <c r="AU21" s="15">
        <f t="shared" si="19"/>
        <v>263635.29999999888</v>
      </c>
      <c r="AV21" s="13"/>
      <c r="AW21" s="13">
        <v>12627808</v>
      </c>
      <c r="AX21" s="13">
        <v>14779</v>
      </c>
      <c r="AY21" s="13">
        <v>78370</v>
      </c>
      <c r="AZ21" s="13">
        <v>292752</v>
      </c>
      <c r="BA21" s="13">
        <v>13013709</v>
      </c>
      <c r="BB21">
        <v>159353</v>
      </c>
      <c r="BC21" s="13">
        <v>-108754</v>
      </c>
      <c r="BD21" s="13">
        <f>'BoR-GCD-HD releases'!F207</f>
        <v>9394600</v>
      </c>
      <c r="BE21" s="13">
        <v>13064308</v>
      </c>
      <c r="BG21" s="15">
        <f t="shared" si="2"/>
        <v>263387</v>
      </c>
      <c r="BH21" s="15">
        <f t="shared" si="3"/>
        <v>521000</v>
      </c>
      <c r="BI21" s="15">
        <f>ROUND(U21+W21,-2)</f>
        <v>93200</v>
      </c>
      <c r="BJ21" s="15">
        <f t="shared" si="15"/>
        <v>428000</v>
      </c>
    </row>
    <row r="22" spans="1:64">
      <c r="A22" s="8">
        <v>2007</v>
      </c>
      <c r="B22" s="9"/>
      <c r="C22" s="10">
        <v>11600</v>
      </c>
      <c r="D22" s="1">
        <v>31.6</v>
      </c>
      <c r="E22" s="1"/>
      <c r="F22" s="1">
        <v>153.1</v>
      </c>
      <c r="G22" s="1">
        <v>372.7</v>
      </c>
      <c r="H22" s="1">
        <v>12260</v>
      </c>
      <c r="I22" s="1"/>
      <c r="J22" s="1">
        <v>67.5</v>
      </c>
      <c r="K22" s="1">
        <v>74.900000000000006</v>
      </c>
      <c r="L22" s="1"/>
      <c r="M22" s="1">
        <v>12710</v>
      </c>
      <c r="N22" s="1">
        <v>5.29</v>
      </c>
      <c r="O22" s="1">
        <v>133.30000000000001</v>
      </c>
      <c r="P22" s="1">
        <v>95.6</v>
      </c>
      <c r="Q22">
        <v>295.60000000000002</v>
      </c>
      <c r="R22" s="1">
        <v>13050</v>
      </c>
      <c r="T22" s="10">
        <f>ROUND(C22*1.98347*365,-3)</f>
        <v>8398000</v>
      </c>
      <c r="U22" s="10">
        <f>ROUND(D22*1.98347*365,-2)</f>
        <v>22900</v>
      </c>
      <c r="V22" s="12"/>
      <c r="W22" s="10">
        <f>ROUND(F22*1.98347*365,-3)</f>
        <v>111000</v>
      </c>
      <c r="X22" s="10">
        <f>ROUND(G22*1.98347*365,-3)</f>
        <v>270000</v>
      </c>
      <c r="Y22" s="13">
        <f t="shared" si="17"/>
        <v>159000</v>
      </c>
      <c r="Z22" s="13">
        <f t="shared" si="8"/>
        <v>478000</v>
      </c>
      <c r="AA22" s="13">
        <f t="shared" si="10"/>
        <v>344000</v>
      </c>
      <c r="AB22" s="136">
        <f>ROUND(H22*1.98347*365,-3)</f>
        <v>8876000</v>
      </c>
      <c r="AC22" s="13"/>
      <c r="AD22" s="13">
        <f t="shared" si="11"/>
        <v>48900</v>
      </c>
      <c r="AE22" s="13">
        <f t="shared" si="14"/>
        <v>54200</v>
      </c>
      <c r="AF22" s="13">
        <f>AH22-AB22</f>
        <v>326000</v>
      </c>
      <c r="AH22" s="13">
        <f>ROUND(M22*1.98347*365,-3)</f>
        <v>9202000</v>
      </c>
      <c r="AI22" s="136">
        <f>ROUND(N22*1.98347*365,-1)</f>
        <v>3830</v>
      </c>
      <c r="AJ22" s="136">
        <f>ROUND(O22*1.98347*365,-2)</f>
        <v>96500</v>
      </c>
      <c r="AK22" s="13">
        <f>AL22-AJ22</f>
        <v>-27300</v>
      </c>
      <c r="AL22" s="13">
        <f>ROUND(P22*1.98347*365,-2)</f>
        <v>69200</v>
      </c>
      <c r="AM22" s="13">
        <f t="shared" si="16"/>
        <v>214004.94080000001</v>
      </c>
      <c r="AN22" s="13">
        <f>AF22+AI22+AK22</f>
        <v>302530</v>
      </c>
      <c r="AO22" s="13">
        <f t="shared" si="0"/>
        <v>9447782.4000000004</v>
      </c>
      <c r="AQ22" s="13">
        <f>'BoR-GCD-HD releases'!D219</f>
        <v>8230843</v>
      </c>
      <c r="AR22" s="13">
        <f>'BoR-GCD-HD releases'!L219</f>
        <v>8230981.5999999996</v>
      </c>
      <c r="AS22" s="13"/>
      <c r="AT22" s="15">
        <f t="shared" si="18"/>
        <v>167157</v>
      </c>
      <c r="AU22" s="15">
        <f t="shared" si="19"/>
        <v>167018.40000000037</v>
      </c>
      <c r="AV22" s="13"/>
      <c r="AW22" s="13">
        <v>12567529</v>
      </c>
      <c r="AX22" s="13">
        <v>24111</v>
      </c>
      <c r="AY22" s="13">
        <v>110832</v>
      </c>
      <c r="AZ22" s="13">
        <v>345020</v>
      </c>
      <c r="BA22" s="13">
        <v>13047492</v>
      </c>
      <c r="BB22">
        <v>96513</v>
      </c>
      <c r="BC22" s="13">
        <v>-68117</v>
      </c>
      <c r="BD22" s="13">
        <f>'BoR-GCD-HD releases'!F219</f>
        <v>9449705</v>
      </c>
      <c r="BE22" s="13">
        <v>13075888</v>
      </c>
      <c r="BG22" s="15">
        <f t="shared" si="2"/>
        <v>167157</v>
      </c>
      <c r="BH22" s="15">
        <f t="shared" si="3"/>
        <v>804000</v>
      </c>
      <c r="BI22" s="15">
        <f>ROUND(U22+W22,-3)</f>
        <v>134000</v>
      </c>
      <c r="BJ22" s="15">
        <f t="shared" si="12"/>
        <v>670000</v>
      </c>
      <c r="BL22" s="15">
        <f>AN22-BC22</f>
        <v>370647</v>
      </c>
    </row>
    <row r="23" spans="1:64">
      <c r="A23" s="14">
        <v>2008</v>
      </c>
      <c r="B23" s="9"/>
      <c r="C23" s="10">
        <v>12620</v>
      </c>
      <c r="D23" s="1">
        <v>21.7</v>
      </c>
      <c r="E23" s="1"/>
      <c r="F23" s="1">
        <v>284.10000000000002</v>
      </c>
      <c r="G23" s="1">
        <v>526.20000000000005</v>
      </c>
      <c r="H23" s="1">
        <v>13300</v>
      </c>
      <c r="I23" s="1"/>
      <c r="J23" s="1">
        <v>69.400000000000006</v>
      </c>
      <c r="K23" s="1">
        <v>78</v>
      </c>
      <c r="L23" s="1"/>
      <c r="M23" s="1">
        <v>13850</v>
      </c>
      <c r="N23" s="1">
        <v>6.31</v>
      </c>
      <c r="O23" s="1">
        <v>158.19999999999999</v>
      </c>
      <c r="P23" s="1">
        <v>120.5</v>
      </c>
      <c r="Q23">
        <v>285.3</v>
      </c>
      <c r="R23" s="1">
        <v>13120</v>
      </c>
      <c r="T23" s="10">
        <f>ROUND(C23*1.98347*366,-3)</f>
        <v>9161000</v>
      </c>
      <c r="U23" s="10">
        <f>ROUND(D23*1.98347*366,-2)</f>
        <v>15800</v>
      </c>
      <c r="V23" s="12"/>
      <c r="W23" s="10">
        <f>ROUND(F23*1.98347*366,-3)</f>
        <v>206000</v>
      </c>
      <c r="X23" s="10">
        <f>ROUND(G23*1.98347*366,-3)</f>
        <v>382000</v>
      </c>
      <c r="Y23" s="13">
        <f t="shared" si="17"/>
        <v>176000</v>
      </c>
      <c r="Z23" s="13">
        <f t="shared" si="8"/>
        <v>494000</v>
      </c>
      <c r="AA23" s="13">
        <f t="shared" si="10"/>
        <v>272000</v>
      </c>
      <c r="AB23" s="136">
        <f>ROUND(H23*1.98347*366,-3)</f>
        <v>9655000</v>
      </c>
      <c r="AC23" s="13"/>
      <c r="AD23" s="13">
        <f t="shared" si="11"/>
        <v>50200</v>
      </c>
      <c r="AE23" s="13">
        <f t="shared" si="14"/>
        <v>56500</v>
      </c>
      <c r="AF23" s="13">
        <f t="shared" si="9"/>
        <v>395000</v>
      </c>
      <c r="AH23" s="13">
        <f>ROUND(M23*1.98347*366,-4)</f>
        <v>10050000</v>
      </c>
      <c r="AI23" s="136">
        <f>ROUND(N23*1.98347*366,-1)</f>
        <v>4580</v>
      </c>
      <c r="AJ23" s="136">
        <f>ROUND(O23*1.98347*366,-3)</f>
        <v>115000</v>
      </c>
      <c r="AK23" s="13">
        <f t="shared" ref="AK23:AK33" si="20">AL23-AJ23</f>
        <v>-27500</v>
      </c>
      <c r="AL23" s="13">
        <f>ROUND(P23*1.98347*366,-2)</f>
        <v>87500</v>
      </c>
      <c r="AM23" s="13">
        <f t="shared" si="16"/>
        <v>206548.0704</v>
      </c>
      <c r="AN23" s="13">
        <f>AF23+AI23+AK23</f>
        <v>372080</v>
      </c>
      <c r="AO23" s="13">
        <f t="shared" si="0"/>
        <v>9498460.1600000001</v>
      </c>
      <c r="AQ23" s="13">
        <f>'BoR-GCD-HD releases'!D231</f>
        <v>8978074</v>
      </c>
      <c r="AR23" s="13">
        <f>'BoR-GCD-HD releases'!L231</f>
        <v>8977975.2000000011</v>
      </c>
      <c r="AS23" s="13"/>
      <c r="AT23" s="15">
        <f t="shared" si="18"/>
        <v>182926</v>
      </c>
      <c r="AU23" s="15">
        <f t="shared" si="19"/>
        <v>183024.79999999888</v>
      </c>
      <c r="AV23" s="13"/>
      <c r="AW23" s="13">
        <v>16315600</v>
      </c>
      <c r="AX23" s="13">
        <v>15758</v>
      </c>
      <c r="AY23" s="13">
        <v>206771</v>
      </c>
      <c r="AZ23" s="13">
        <v>267129</v>
      </c>
      <c r="BA23" s="13">
        <v>16805258</v>
      </c>
      <c r="BB23">
        <v>129693</v>
      </c>
      <c r="BC23" s="13">
        <v>107419</v>
      </c>
      <c r="BD23" s="13">
        <f>'BoR-GCD-HD releases'!F231</f>
        <v>9530041</v>
      </c>
      <c r="BE23" s="13">
        <v>17042370</v>
      </c>
      <c r="BG23" s="15">
        <f t="shared" si="2"/>
        <v>182926</v>
      </c>
      <c r="BH23" s="15">
        <f t="shared" si="3"/>
        <v>889000</v>
      </c>
      <c r="BI23" s="15">
        <f>ROUND(U23+W23,-3)</f>
        <v>222000</v>
      </c>
      <c r="BJ23" s="15">
        <f>BH23-BI23</f>
        <v>667000</v>
      </c>
      <c r="BL23" s="15">
        <f t="shared" ref="BL23:BL33" si="21">AN23-BC23</f>
        <v>264661</v>
      </c>
    </row>
    <row r="24" spans="1:64">
      <c r="A24" s="8">
        <v>2009</v>
      </c>
      <c r="B24" s="9"/>
      <c r="C24" s="10">
        <v>11600</v>
      </c>
      <c r="D24" s="1">
        <v>14.1</v>
      </c>
      <c r="E24" s="1"/>
      <c r="F24" s="1">
        <v>74.8</v>
      </c>
      <c r="G24" s="1">
        <v>289.7</v>
      </c>
      <c r="H24" s="1">
        <v>12230</v>
      </c>
      <c r="I24" s="1"/>
      <c r="J24" s="1">
        <v>64</v>
      </c>
      <c r="K24" s="1"/>
      <c r="L24" s="1"/>
      <c r="M24" s="1">
        <v>12840</v>
      </c>
      <c r="N24" s="1">
        <v>4.9000000000000004</v>
      </c>
      <c r="O24" s="1">
        <v>125.1</v>
      </c>
      <c r="P24" s="1">
        <v>107.8</v>
      </c>
      <c r="Q24">
        <v>289.89999999999998</v>
      </c>
      <c r="R24" s="1">
        <v>12720</v>
      </c>
      <c r="T24" s="10">
        <f>ROUND(C24*1.98347*365,-3)</f>
        <v>8398000</v>
      </c>
      <c r="U24" s="10">
        <f>ROUND(D24*1.98347*365,-2)</f>
        <v>10200</v>
      </c>
      <c r="V24" s="12"/>
      <c r="W24" s="10">
        <f>ROUND(F24*1.98347*365,-2)</f>
        <v>54200</v>
      </c>
      <c r="X24" s="10">
        <f>ROUND(G24*1.98347*365,-3)</f>
        <v>210000</v>
      </c>
      <c r="Y24" s="13">
        <f t="shared" si="17"/>
        <v>155800</v>
      </c>
      <c r="Z24" s="13">
        <f t="shared" si="8"/>
        <v>456000</v>
      </c>
      <c r="AA24" s="13">
        <f t="shared" si="10"/>
        <v>392000</v>
      </c>
      <c r="AB24" s="136">
        <f>ROUND(H24*1.98347*365,-3)</f>
        <v>8854000</v>
      </c>
      <c r="AC24" s="13"/>
      <c r="AD24" s="13">
        <f t="shared" si="11"/>
        <v>46300</v>
      </c>
      <c r="AE24" s="13"/>
      <c r="AF24" s="13">
        <f t="shared" si="9"/>
        <v>442000</v>
      </c>
      <c r="AH24" s="13">
        <f>ROUND(M24*1.98347*365,-3)</f>
        <v>9296000</v>
      </c>
      <c r="AI24" s="136">
        <f>ROUND(N24*1.98347*365,-1)</f>
        <v>3550</v>
      </c>
      <c r="AJ24" s="136">
        <f>ROUND(O24*1.98347*365,-2)</f>
        <v>90600</v>
      </c>
      <c r="AK24" s="13">
        <f t="shared" si="20"/>
        <v>-12600</v>
      </c>
      <c r="AL24" s="13">
        <f>ROUND(P24*1.98347*365,-2)</f>
        <v>78000</v>
      </c>
      <c r="AM24" s="13">
        <f t="shared" si="16"/>
        <v>209878.32319999998</v>
      </c>
      <c r="AN24" s="13">
        <f t="shared" ref="AN24:AN32" si="22">AF24+AI24+AK24</f>
        <v>432950</v>
      </c>
      <c r="AO24" s="13">
        <f t="shared" si="0"/>
        <v>9208872.959999999</v>
      </c>
      <c r="AQ24" s="13">
        <f>'BoR-GCD-HD releases'!D243</f>
        <v>8235753</v>
      </c>
      <c r="AR24" s="13">
        <f>'BoR-GCD-HD releases'!L243</f>
        <v>8235702.6000000006</v>
      </c>
      <c r="AS24" s="13"/>
      <c r="AT24" s="15">
        <f t="shared" si="18"/>
        <v>162247</v>
      </c>
      <c r="AU24" s="15">
        <f t="shared" si="19"/>
        <v>162297.39999999944</v>
      </c>
      <c r="AV24" s="13"/>
      <c r="AW24" s="13">
        <v>14306982</v>
      </c>
      <c r="AX24" s="13">
        <v>10198</v>
      </c>
      <c r="AY24" s="13">
        <v>54111</v>
      </c>
      <c r="AZ24" s="13">
        <v>393121</v>
      </c>
      <c r="BA24" s="13">
        <v>14764412</v>
      </c>
      <c r="BB24">
        <v>105804</v>
      </c>
      <c r="BC24" s="13">
        <v>-69616</v>
      </c>
      <c r="BD24" s="13">
        <f>'BoR-GCD-HD releases'!F243</f>
        <v>9210455</v>
      </c>
      <c r="BE24" s="13">
        <v>14800600</v>
      </c>
      <c r="BG24" s="15">
        <f t="shared" si="2"/>
        <v>162247</v>
      </c>
      <c r="BH24" s="15">
        <f t="shared" si="3"/>
        <v>898000</v>
      </c>
      <c r="BI24" s="15">
        <f>ROUND(U24+W24,-2)</f>
        <v>64400</v>
      </c>
      <c r="BJ24" s="15">
        <f t="shared" ref="BJ24" si="23">ROUND(BH24-BI24,-3)</f>
        <v>834000</v>
      </c>
      <c r="BL24" s="15">
        <f t="shared" si="21"/>
        <v>502566</v>
      </c>
    </row>
    <row r="25" spans="1:64">
      <c r="A25" s="8">
        <v>2010</v>
      </c>
      <c r="B25" s="9"/>
      <c r="C25" s="10">
        <v>11630</v>
      </c>
      <c r="D25" s="1">
        <v>24.4</v>
      </c>
      <c r="E25" s="1"/>
      <c r="F25" s="1">
        <v>286.60000000000002</v>
      </c>
      <c r="G25" s="1">
        <v>530.1</v>
      </c>
      <c r="H25" s="1">
        <v>12340</v>
      </c>
      <c r="I25" s="1"/>
      <c r="J25" s="1">
        <v>65.5</v>
      </c>
      <c r="K25" s="1"/>
      <c r="L25" s="1"/>
      <c r="M25" s="1">
        <v>13100</v>
      </c>
      <c r="N25" s="1">
        <v>8.83</v>
      </c>
      <c r="O25" s="1">
        <v>207.3</v>
      </c>
      <c r="P25" s="1">
        <v>169.1</v>
      </c>
      <c r="Q25">
        <v>287.39999999999998</v>
      </c>
      <c r="R25" s="1">
        <v>12790</v>
      </c>
      <c r="T25" s="10">
        <f>ROUND(C25*1.98347*365,-3)</f>
        <v>8420000</v>
      </c>
      <c r="U25" s="10">
        <f>ROUND(D25*1.98347*365,-2)</f>
        <v>17700</v>
      </c>
      <c r="V25" s="12"/>
      <c r="W25" s="10">
        <f>ROUND(F25*1.98347*365,-3)</f>
        <v>207000</v>
      </c>
      <c r="X25" s="10">
        <f>ROUND(G25*1.98347*365,-3)</f>
        <v>384000</v>
      </c>
      <c r="Y25" s="13">
        <f t="shared" si="17"/>
        <v>177000</v>
      </c>
      <c r="Z25" s="13">
        <f t="shared" si="8"/>
        <v>514000</v>
      </c>
      <c r="AA25" s="13">
        <f t="shared" si="10"/>
        <v>289000</v>
      </c>
      <c r="AB25" s="136">
        <f>ROUND(H25*1.98347*365,-3)</f>
        <v>8934000</v>
      </c>
      <c r="AC25" s="13"/>
      <c r="AD25" s="13">
        <f t="shared" si="11"/>
        <v>47400</v>
      </c>
      <c r="AE25" s="13"/>
      <c r="AF25" s="13">
        <f t="shared" si="9"/>
        <v>550000</v>
      </c>
      <c r="AH25" s="13">
        <f>ROUND(M25*1.98347*365,-3)</f>
        <v>9484000</v>
      </c>
      <c r="AI25" s="136">
        <f>ROUND(N25*1.98347*365,-1)</f>
        <v>6390</v>
      </c>
      <c r="AJ25" s="136">
        <f>ROUND(O25*1.98347*366,-3)</f>
        <v>150000</v>
      </c>
      <c r="AK25" s="13">
        <f t="shared" si="20"/>
        <v>-28000</v>
      </c>
      <c r="AL25" s="13">
        <f>ROUND(P25*1.98347*365,-3)</f>
        <v>122000</v>
      </c>
      <c r="AM25" s="13">
        <f t="shared" si="16"/>
        <v>208068.40319999997</v>
      </c>
      <c r="AN25" s="13">
        <f t="shared" si="22"/>
        <v>528390</v>
      </c>
      <c r="AO25" s="13">
        <f t="shared" si="0"/>
        <v>9259550.7199999988</v>
      </c>
      <c r="AQ25" s="13">
        <f>'BoR-GCD-HD releases'!D255</f>
        <v>8234761</v>
      </c>
      <c r="AR25" s="13">
        <f>'BoR-GCD-HD releases'!L255</f>
        <v>8234754.5</v>
      </c>
      <c r="AS25" s="13">
        <f>'BoR-GCD-HD releases'!P255</f>
        <v>8234000</v>
      </c>
      <c r="AT25" s="15">
        <f t="shared" si="18"/>
        <v>185239</v>
      </c>
      <c r="AU25" s="15">
        <f t="shared" si="19"/>
        <v>185245.5</v>
      </c>
      <c r="AV25" s="13"/>
      <c r="AW25" s="13">
        <v>12326232</v>
      </c>
      <c r="AX25" s="13">
        <v>17747</v>
      </c>
      <c r="AY25" s="13">
        <v>206625</v>
      </c>
      <c r="AZ25" s="13">
        <v>291729</v>
      </c>
      <c r="BA25" s="13">
        <v>12842333</v>
      </c>
      <c r="BB25">
        <v>146363</v>
      </c>
      <c r="BC25" s="13">
        <v>76231</v>
      </c>
      <c r="BD25" s="13">
        <f>'BoR-GCD-HD releases'!F255</f>
        <v>9259665</v>
      </c>
      <c r="BE25" s="13">
        <v>13064927</v>
      </c>
      <c r="BG25" s="15">
        <f t="shared" si="2"/>
        <v>185239</v>
      </c>
      <c r="BH25" s="15">
        <f t="shared" si="3"/>
        <v>1064000</v>
      </c>
      <c r="BI25" s="15">
        <f>ROUND(U25+W25,-3)</f>
        <v>225000</v>
      </c>
      <c r="BJ25" s="15">
        <f t="shared" si="12"/>
        <v>839000</v>
      </c>
      <c r="BL25" s="15">
        <f t="shared" si="21"/>
        <v>452159</v>
      </c>
    </row>
    <row r="26" spans="1:64">
      <c r="A26" s="8">
        <v>2011</v>
      </c>
      <c r="B26" s="9"/>
      <c r="C26" s="10">
        <v>17580</v>
      </c>
      <c r="D26" s="1">
        <v>31.2</v>
      </c>
      <c r="E26" s="1"/>
      <c r="F26" s="1">
        <v>67.3</v>
      </c>
      <c r="G26" s="1">
        <v>295.8</v>
      </c>
      <c r="H26" s="1">
        <v>18120</v>
      </c>
      <c r="I26" s="1">
        <v>31.4</v>
      </c>
      <c r="J26" s="1">
        <v>65.599999999999994</v>
      </c>
      <c r="K26" s="1"/>
      <c r="L26" s="1"/>
      <c r="M26" s="1">
        <v>18600</v>
      </c>
      <c r="N26" s="1">
        <v>5.55</v>
      </c>
      <c r="O26" s="1">
        <v>548.5</v>
      </c>
      <c r="P26" s="1">
        <v>380.4</v>
      </c>
      <c r="Q26">
        <v>302.3</v>
      </c>
      <c r="R26" s="1">
        <v>13540</v>
      </c>
      <c r="T26" s="10">
        <f>ROUND(C26*1.98347*365,-4)</f>
        <v>12730000</v>
      </c>
      <c r="U26" s="10">
        <f>ROUND(D26*1.98347*365,-2)</f>
        <v>22600</v>
      </c>
      <c r="V26" s="12"/>
      <c r="W26" s="10">
        <f>ROUND(F26*1.98347*365,-2)</f>
        <v>48700</v>
      </c>
      <c r="X26" s="10">
        <f>ROUND(G26*1.98347*365,-3)</f>
        <v>214000</v>
      </c>
      <c r="Y26" s="13">
        <f t="shared" si="17"/>
        <v>165300</v>
      </c>
      <c r="Z26" s="13">
        <f t="shared" si="8"/>
        <v>390000</v>
      </c>
      <c r="AA26" s="13">
        <f t="shared" si="10"/>
        <v>319000</v>
      </c>
      <c r="AB26" s="136">
        <f>ROUND(H26*1.98347*365,-4)</f>
        <v>13120000</v>
      </c>
      <c r="AC26" s="13">
        <f>ROUND(I26*1.98347*365,-2)</f>
        <v>22700</v>
      </c>
      <c r="AD26" s="13">
        <f t="shared" si="11"/>
        <v>47500</v>
      </c>
      <c r="AE26" s="13"/>
      <c r="AF26" s="13">
        <f t="shared" si="9"/>
        <v>350000</v>
      </c>
      <c r="AH26" s="13">
        <f>ROUND(M26*1.98347*365,-4)</f>
        <v>13470000</v>
      </c>
      <c r="AI26" s="136">
        <f>ROUND(N26*1.98347*365,-1)</f>
        <v>4020</v>
      </c>
      <c r="AJ26" s="136">
        <f>ROUND(O26*1.98347*366,-3)</f>
        <v>398000</v>
      </c>
      <c r="AK26" s="13">
        <f t="shared" si="20"/>
        <v>-123000</v>
      </c>
      <c r="AL26" s="13">
        <f>ROUND(P26*1.98347*365,-3)</f>
        <v>275000</v>
      </c>
      <c r="AM26" s="13">
        <f t="shared" si="16"/>
        <v>218855.5264</v>
      </c>
      <c r="AN26" s="13">
        <f t="shared" si="22"/>
        <v>231020</v>
      </c>
      <c r="AO26" s="13">
        <f t="shared" si="0"/>
        <v>9802526.7199999988</v>
      </c>
      <c r="AQ26" s="13">
        <f>'BoR-GCD-HD releases'!D267</f>
        <v>12690389</v>
      </c>
      <c r="AR26" s="13">
        <f>'BoR-GCD-HD releases'!L267</f>
        <v>12518198.399999999</v>
      </c>
      <c r="AS26" s="13">
        <f>'BoR-GCD-HD releases'!P267</f>
        <v>12518000</v>
      </c>
      <c r="AT26" s="15">
        <f t="shared" si="18"/>
        <v>39611</v>
      </c>
      <c r="AU26" s="15">
        <f t="shared" si="19"/>
        <v>211801.60000000149</v>
      </c>
      <c r="AV26" s="13"/>
      <c r="AW26" s="13">
        <v>20207163</v>
      </c>
      <c r="AX26" s="13">
        <v>22866</v>
      </c>
      <c r="AY26" s="13">
        <v>48764</v>
      </c>
      <c r="AZ26" s="13">
        <v>316476</v>
      </c>
      <c r="BA26" s="13">
        <v>20595269</v>
      </c>
      <c r="BB26">
        <v>394467</v>
      </c>
      <c r="BC26" s="13">
        <v>168944</v>
      </c>
      <c r="BD26" s="13">
        <f>'BoR-GCD-HD releases'!F267</f>
        <v>9800296</v>
      </c>
      <c r="BE26" s="13">
        <v>21158680</v>
      </c>
      <c r="BG26" s="15">
        <f t="shared" si="2"/>
        <v>39611</v>
      </c>
      <c r="BH26" s="15">
        <f t="shared" si="3"/>
        <v>740000</v>
      </c>
      <c r="BI26" s="15">
        <f>ROUND(U26+W26,-2)</f>
        <v>71300</v>
      </c>
      <c r="BJ26" s="15">
        <f t="shared" ref="BJ26:BJ33" si="24">ROUND(BH26-BI26,-3)</f>
        <v>669000</v>
      </c>
      <c r="BL26" s="15">
        <f t="shared" si="21"/>
        <v>62076</v>
      </c>
    </row>
    <row r="27" spans="1:64">
      <c r="A27" s="14">
        <v>2012</v>
      </c>
      <c r="B27" s="9"/>
      <c r="C27" s="10">
        <v>13120</v>
      </c>
      <c r="D27" s="1">
        <v>21.1</v>
      </c>
      <c r="E27" s="1"/>
      <c r="F27" s="1">
        <v>80.5</v>
      </c>
      <c r="G27" s="1">
        <v>317.7</v>
      </c>
      <c r="H27" s="1">
        <v>13640</v>
      </c>
      <c r="I27" s="1">
        <v>6.5</v>
      </c>
      <c r="J27" s="1">
        <v>65.7</v>
      </c>
      <c r="K27" s="1">
        <v>73.2</v>
      </c>
      <c r="L27" s="1"/>
      <c r="M27" s="1">
        <v>14180</v>
      </c>
      <c r="N27" s="1">
        <v>5.15</v>
      </c>
      <c r="O27" s="1">
        <v>166.6</v>
      </c>
      <c r="P27" s="1">
        <v>114.5</v>
      </c>
      <c r="Q27">
        <v>288.60000000000002</v>
      </c>
      <c r="R27" s="1">
        <v>12980</v>
      </c>
      <c r="T27" s="10">
        <f>ROUND(C27*1.98347*366,-3)</f>
        <v>9524000</v>
      </c>
      <c r="U27" s="10">
        <f>ROUND(D27*1.98347*366,-2)</f>
        <v>15300</v>
      </c>
      <c r="V27" s="12"/>
      <c r="W27" s="10">
        <f>ROUND(F27*1.98347*366,-2)</f>
        <v>58400</v>
      </c>
      <c r="X27" s="10">
        <f>ROUND(G27*1.98347*366,-3)</f>
        <v>231000</v>
      </c>
      <c r="Y27" s="13">
        <f t="shared" si="17"/>
        <v>172600</v>
      </c>
      <c r="Z27" s="13">
        <f t="shared" si="8"/>
        <v>378000</v>
      </c>
      <c r="AA27" s="13">
        <f t="shared" si="10"/>
        <v>304000</v>
      </c>
      <c r="AB27" s="136">
        <f>ROUND(H27*1.98347*366,-3)</f>
        <v>9902000</v>
      </c>
      <c r="AC27" s="13">
        <f>ROUND(I27*1.98347*365,-2)</f>
        <v>4700</v>
      </c>
      <c r="AD27" s="13">
        <f t="shared" si="11"/>
        <v>47600</v>
      </c>
      <c r="AE27" s="13">
        <f t="shared" ref="AE27:AE34" si="25">ROUND(K27*723.968,-2)</f>
        <v>53000</v>
      </c>
      <c r="AF27" s="13">
        <f>AH27-AB27</f>
        <v>388000</v>
      </c>
      <c r="AG27" s="13">
        <f>AH27-AB27-AE27-AC27</f>
        <v>330300</v>
      </c>
      <c r="AH27" s="13">
        <f>ROUND(M27*1.98347*366,-4)</f>
        <v>10290000</v>
      </c>
      <c r="AI27" s="136">
        <f>ROUND(N27*1.98347*366,-1)</f>
        <v>3740</v>
      </c>
      <c r="AJ27" s="136">
        <f>ROUND(O27*1.98347*366,-3)</f>
        <v>121000</v>
      </c>
      <c r="AK27" s="13">
        <f t="shared" si="20"/>
        <v>-37900</v>
      </c>
      <c r="AL27" s="13">
        <f>ROUND(P27*1.98347*366,-2)</f>
        <v>83100</v>
      </c>
      <c r="AM27" s="13">
        <f t="shared" si="16"/>
        <v>208937.1648</v>
      </c>
      <c r="AN27" s="13">
        <f t="shared" si="22"/>
        <v>353840</v>
      </c>
      <c r="AO27" s="13">
        <f t="shared" si="0"/>
        <v>9397104.6399999987</v>
      </c>
      <c r="AQ27" s="13">
        <f>'BoR-GCD-HD releases'!D279</f>
        <v>9527700</v>
      </c>
      <c r="AR27" s="13">
        <f>'BoR-GCD-HD releases'!L279</f>
        <v>9465942.2000000011</v>
      </c>
      <c r="AS27" s="13">
        <f>'BoR-GCD-HD releases'!P279</f>
        <v>9466000</v>
      </c>
      <c r="AT27" s="15">
        <f t="shared" si="18"/>
        <v>-3700</v>
      </c>
      <c r="AU27" s="15">
        <f t="shared" si="19"/>
        <v>58057.799999998882</v>
      </c>
      <c r="AV27" s="13"/>
      <c r="AW27" s="13">
        <v>8442054</v>
      </c>
      <c r="AX27" s="13">
        <v>15328</v>
      </c>
      <c r="AY27" s="13">
        <v>58365</v>
      </c>
      <c r="AZ27" s="13">
        <v>332089</v>
      </c>
      <c r="BA27" s="13">
        <v>8847836</v>
      </c>
      <c r="BB27">
        <v>118763</v>
      </c>
      <c r="BC27" s="13">
        <v>144338</v>
      </c>
      <c r="BD27" s="13">
        <f>'BoR-GCD-HD releases'!F279</f>
        <v>9419979</v>
      </c>
      <c r="BE27" s="13">
        <v>9110937</v>
      </c>
      <c r="BG27" s="15">
        <f t="shared" si="2"/>
        <v>-3700</v>
      </c>
      <c r="BH27" s="15">
        <f t="shared" si="3"/>
        <v>766000</v>
      </c>
      <c r="BI27" s="15">
        <f>ROUND(U27+W27,-2)</f>
        <v>73700</v>
      </c>
      <c r="BJ27" s="15">
        <f t="shared" si="24"/>
        <v>692000</v>
      </c>
      <c r="BL27" s="15">
        <f t="shared" si="21"/>
        <v>209502</v>
      </c>
    </row>
    <row r="28" spans="1:64">
      <c r="A28" s="8">
        <v>2013</v>
      </c>
      <c r="B28" s="9"/>
      <c r="C28" s="10">
        <v>11410</v>
      </c>
      <c r="D28" s="1">
        <v>34.200000000000003</v>
      </c>
      <c r="E28" s="1"/>
      <c r="F28" s="1">
        <v>166.2</v>
      </c>
      <c r="G28" s="1">
        <v>436</v>
      </c>
      <c r="H28" s="1">
        <v>12110</v>
      </c>
      <c r="I28" s="1">
        <v>15.9</v>
      </c>
      <c r="J28" s="1">
        <v>66.5</v>
      </c>
      <c r="K28" s="1">
        <v>76.900000000000006</v>
      </c>
      <c r="L28" s="1"/>
      <c r="M28" s="1">
        <v>12700</v>
      </c>
      <c r="N28" s="1">
        <v>6.57</v>
      </c>
      <c r="O28" s="1">
        <v>164.4</v>
      </c>
      <c r="P28" s="1">
        <v>108.7</v>
      </c>
      <c r="Q28">
        <v>301.3</v>
      </c>
      <c r="R28" s="1">
        <v>12490</v>
      </c>
      <c r="T28" s="10">
        <f>ROUND(C28*1.98347*365,-3)</f>
        <v>8260000</v>
      </c>
      <c r="U28" s="10">
        <f>ROUND(D28*1.98347*365,-2)</f>
        <v>24800</v>
      </c>
      <c r="V28" s="12"/>
      <c r="W28" s="10">
        <f>ROUND(F28*1.98347*365,-3)</f>
        <v>120000</v>
      </c>
      <c r="X28" s="10">
        <f>ROUND(G28*1.98347*365,-3)</f>
        <v>316000</v>
      </c>
      <c r="Y28" s="13">
        <f t="shared" si="17"/>
        <v>196000</v>
      </c>
      <c r="Z28" s="13">
        <f t="shared" si="8"/>
        <v>507000</v>
      </c>
      <c r="AA28" s="13">
        <f t="shared" si="10"/>
        <v>362000</v>
      </c>
      <c r="AB28" s="136">
        <f>ROUND(H28*1.98347*365,-3)</f>
        <v>8767000</v>
      </c>
      <c r="AC28" s="13">
        <f>ROUND(I28*1.98347*365,-2)</f>
        <v>11500</v>
      </c>
      <c r="AD28" s="13">
        <f t="shared" si="11"/>
        <v>48100</v>
      </c>
      <c r="AE28" s="13">
        <f t="shared" si="25"/>
        <v>55700</v>
      </c>
      <c r="AF28" s="13">
        <f t="shared" si="9"/>
        <v>427000</v>
      </c>
      <c r="AG28" s="13">
        <f>AH28-AB28-AE28-AC28</f>
        <v>359800</v>
      </c>
      <c r="AH28" s="13">
        <f>ROUND(M28*1.98347*365,-3)</f>
        <v>9194000</v>
      </c>
      <c r="AI28" s="136">
        <f>ROUND(N28*1.98347*365,-1)</f>
        <v>4760</v>
      </c>
      <c r="AJ28" s="136">
        <f>ROUND(O28*1.98347*366,-3)</f>
        <v>119000</v>
      </c>
      <c r="AK28" s="13">
        <f t="shared" si="20"/>
        <v>-40300</v>
      </c>
      <c r="AL28" s="13">
        <f>ROUND(P28*1.98347*365,-2)</f>
        <v>78700</v>
      </c>
      <c r="AM28" s="13">
        <f t="shared" si="16"/>
        <v>218131.55840000001</v>
      </c>
      <c r="AN28" s="13">
        <f t="shared" si="22"/>
        <v>391460</v>
      </c>
      <c r="AO28" s="13">
        <f t="shared" si="0"/>
        <v>9042360.3200000003</v>
      </c>
      <c r="AQ28" s="13">
        <f>'BoR-GCD-HD releases'!D291</f>
        <v>8233787</v>
      </c>
      <c r="AR28" s="13">
        <f>'BoR-GCD-HD releases'!L291</f>
        <v>8232070.1999999993</v>
      </c>
      <c r="AS28" s="13">
        <f>'BoR-GCD-HD releases'!P291</f>
        <v>8233000</v>
      </c>
      <c r="AT28" s="15">
        <f t="shared" si="18"/>
        <v>26213</v>
      </c>
      <c r="AU28" s="15">
        <f t="shared" si="19"/>
        <v>27929.800000000745</v>
      </c>
      <c r="AV28" s="13"/>
      <c r="AW28" s="13">
        <v>8973286</v>
      </c>
      <c r="AX28" s="13">
        <v>24799</v>
      </c>
      <c r="AY28" s="13">
        <v>120321</v>
      </c>
      <c r="AZ28" s="13">
        <v>358780</v>
      </c>
      <c r="BA28" s="13">
        <v>9477186</v>
      </c>
      <c r="BB28">
        <v>113639</v>
      </c>
      <c r="BC28" s="13">
        <v>175250</v>
      </c>
      <c r="BD28" s="13">
        <f>'BoR-GCD-HD releases'!F291</f>
        <v>9042623</v>
      </c>
      <c r="BE28" s="13">
        <v>9766075</v>
      </c>
      <c r="BG28" s="15">
        <f t="shared" si="2"/>
        <v>26213</v>
      </c>
      <c r="BH28" s="15">
        <f t="shared" si="3"/>
        <v>934000</v>
      </c>
      <c r="BI28" s="15">
        <f>ROUND(U28+W28,-3)</f>
        <v>145000</v>
      </c>
      <c r="BJ28" s="15">
        <f t="shared" si="12"/>
        <v>789000</v>
      </c>
      <c r="BL28" s="15">
        <f t="shared" si="21"/>
        <v>216210</v>
      </c>
    </row>
    <row r="29" spans="1:64">
      <c r="A29" s="8">
        <v>2014</v>
      </c>
      <c r="B29" s="9"/>
      <c r="C29" s="10">
        <v>10450</v>
      </c>
      <c r="D29" s="1">
        <v>30.6</v>
      </c>
      <c r="E29" s="1"/>
      <c r="F29" s="1">
        <v>45.5</v>
      </c>
      <c r="G29" s="1">
        <v>280.39999999999998</v>
      </c>
      <c r="H29" s="1">
        <v>10930</v>
      </c>
      <c r="I29" s="1">
        <v>9.8000000000000007</v>
      </c>
      <c r="J29" s="1">
        <v>60.7</v>
      </c>
      <c r="K29" s="1">
        <v>71.400000000000006</v>
      </c>
      <c r="L29" s="1"/>
      <c r="M29" s="1">
        <v>11560</v>
      </c>
      <c r="N29" s="1">
        <v>6.51</v>
      </c>
      <c r="O29" s="1">
        <v>148.9</v>
      </c>
      <c r="P29" s="1">
        <v>113.2</v>
      </c>
      <c r="Q29">
        <v>300.89999999999998</v>
      </c>
      <c r="R29" s="1">
        <v>13480</v>
      </c>
      <c r="T29" s="10">
        <f>ROUND(C29*1.98347*365,-3)</f>
        <v>7565000</v>
      </c>
      <c r="U29" s="10">
        <f>ROUND(D29*1.98347*365,-2)</f>
        <v>22200</v>
      </c>
      <c r="V29" s="12"/>
      <c r="W29" s="10">
        <f>ROUND(F29*1.98347*365,-2)</f>
        <v>32900</v>
      </c>
      <c r="X29" s="10">
        <f>ROUND(G29*1.98347*365,-3)</f>
        <v>203000</v>
      </c>
      <c r="Y29" s="13">
        <f t="shared" si="17"/>
        <v>170100</v>
      </c>
      <c r="Z29" s="13">
        <f t="shared" si="8"/>
        <v>348000</v>
      </c>
      <c r="AA29" s="13">
        <f t="shared" si="10"/>
        <v>293000</v>
      </c>
      <c r="AB29" s="136">
        <f>ROUND(H29*1.98347*365,-3)</f>
        <v>7913000</v>
      </c>
      <c r="AC29" s="13">
        <f>ROUND(I29*1.98347*365,-2)</f>
        <v>7100</v>
      </c>
      <c r="AD29" s="13">
        <f t="shared" si="11"/>
        <v>43900</v>
      </c>
      <c r="AE29" s="13">
        <f t="shared" si="25"/>
        <v>51700</v>
      </c>
      <c r="AF29" s="13">
        <f t="shared" si="9"/>
        <v>456000</v>
      </c>
      <c r="AG29" s="13">
        <f t="shared" ref="AG29:AG34" si="26">AH29-AB29-AE29-AC29</f>
        <v>397200</v>
      </c>
      <c r="AH29" s="13">
        <f>ROUND(M29*1.98347*365,-3)</f>
        <v>8369000</v>
      </c>
      <c r="AI29" s="136">
        <f>ROUND(N29*1.98347*365,-1)</f>
        <v>4710</v>
      </c>
      <c r="AJ29" s="136">
        <f>ROUND(O29*1.98347*366,-3)</f>
        <v>108000</v>
      </c>
      <c r="AK29" s="13">
        <f t="shared" si="20"/>
        <v>-26000</v>
      </c>
      <c r="AL29" s="13">
        <f>ROUND(P29*1.98347*365,-2)</f>
        <v>82000</v>
      </c>
      <c r="AM29" s="13">
        <f t="shared" si="16"/>
        <v>217841.97119999997</v>
      </c>
      <c r="AN29" s="13">
        <f t="shared" si="22"/>
        <v>434710</v>
      </c>
      <c r="AO29" s="13">
        <f t="shared" si="0"/>
        <v>9759088.6399999987</v>
      </c>
      <c r="AQ29" s="13">
        <f>'BoR-GCD-HD releases'!D303</f>
        <v>7463955</v>
      </c>
      <c r="AR29" s="13">
        <f>'BoR-GCD-HD releases'!L303</f>
        <v>7479657.1000000006</v>
      </c>
      <c r="AS29" s="13">
        <f>'BoR-GCD-HD releases'!P303</f>
        <v>7479000</v>
      </c>
      <c r="AT29" s="15">
        <f t="shared" si="18"/>
        <v>101045</v>
      </c>
      <c r="AU29" s="15">
        <f t="shared" si="19"/>
        <v>85342.899999999441</v>
      </c>
      <c r="AV29" s="13"/>
      <c r="AW29" s="13">
        <v>14100670</v>
      </c>
      <c r="AX29" s="13">
        <v>22165</v>
      </c>
      <c r="AY29" s="13">
        <v>32949</v>
      </c>
      <c r="AZ29" s="13">
        <v>288503</v>
      </c>
      <c r="BA29" s="13">
        <v>14444287</v>
      </c>
      <c r="BB29">
        <v>107812</v>
      </c>
      <c r="BC29" s="13">
        <v>137307</v>
      </c>
      <c r="BD29" s="13">
        <f>'BoR-GCD-HD releases'!F303</f>
        <v>9758984</v>
      </c>
      <c r="BE29" s="13">
        <v>14689406</v>
      </c>
      <c r="BG29" s="15">
        <f t="shared" si="2"/>
        <v>101045</v>
      </c>
      <c r="BH29" s="15">
        <f t="shared" si="3"/>
        <v>804000</v>
      </c>
      <c r="BI29" s="15">
        <f>ROUND(U29+W29,-2)</f>
        <v>55100</v>
      </c>
      <c r="BJ29" s="15">
        <f t="shared" si="24"/>
        <v>749000</v>
      </c>
      <c r="BL29" s="15">
        <f t="shared" si="21"/>
        <v>297403</v>
      </c>
    </row>
    <row r="30" spans="1:64">
      <c r="A30" s="8">
        <v>2015</v>
      </c>
      <c r="B30" s="9"/>
      <c r="C30" s="10">
        <v>12620</v>
      </c>
      <c r="D30" s="1">
        <v>28.9</v>
      </c>
      <c r="E30" s="1"/>
      <c r="F30" s="1">
        <v>111.9</v>
      </c>
      <c r="G30" s="1">
        <v>349.9</v>
      </c>
      <c r="H30" s="1">
        <v>13170</v>
      </c>
      <c r="I30" s="1">
        <v>13.6</v>
      </c>
      <c r="J30" s="1">
        <v>60.2</v>
      </c>
      <c r="K30" s="1">
        <v>73.8</v>
      </c>
      <c r="L30" s="1"/>
      <c r="M30" s="1">
        <v>13620</v>
      </c>
      <c r="N30" s="1">
        <v>7.35</v>
      </c>
      <c r="O30" s="1">
        <v>123.3</v>
      </c>
      <c r="P30" s="1">
        <v>95.4</v>
      </c>
      <c r="Q30">
        <v>303.3</v>
      </c>
      <c r="R30" s="1">
        <v>12770</v>
      </c>
      <c r="T30" s="10">
        <f>ROUND(C30*1.98347*365,-3)</f>
        <v>9136000</v>
      </c>
      <c r="U30" s="10">
        <f>ROUND(D30*1.98347*365,-2)</f>
        <v>20900</v>
      </c>
      <c r="V30" s="12"/>
      <c r="W30" s="10">
        <f>ROUND(F30*1.98347*365,-2)</f>
        <v>81000</v>
      </c>
      <c r="X30" s="10">
        <f>ROUND(G30*1.98347*365,-3)</f>
        <v>253000</v>
      </c>
      <c r="Y30" s="13">
        <f t="shared" si="17"/>
        <v>172000</v>
      </c>
      <c r="Z30" s="13">
        <f t="shared" si="8"/>
        <v>399000</v>
      </c>
      <c r="AA30" s="13">
        <f t="shared" si="10"/>
        <v>297000</v>
      </c>
      <c r="AB30" s="136">
        <f>ROUND(H30*1.98347*365,-3)</f>
        <v>9535000</v>
      </c>
      <c r="AC30" s="13">
        <f>ROUND(I30*1.98347*365,-1)</f>
        <v>9850</v>
      </c>
      <c r="AD30" s="13">
        <f t="shared" si="11"/>
        <v>43600</v>
      </c>
      <c r="AE30" s="13">
        <f t="shared" si="25"/>
        <v>53400</v>
      </c>
      <c r="AF30" s="13">
        <f t="shared" si="9"/>
        <v>325000</v>
      </c>
      <c r="AG30" s="13">
        <f t="shared" si="26"/>
        <v>261750</v>
      </c>
      <c r="AH30" s="13">
        <f>ROUND(M30*1.98347*365,-3)</f>
        <v>9860000</v>
      </c>
      <c r="AI30" s="136">
        <f>ROUND(N30*1.98347*365,-1)</f>
        <v>5320</v>
      </c>
      <c r="AJ30" s="136">
        <f>ROUND(O30*1.98347*365,-2)</f>
        <v>89300</v>
      </c>
      <c r="AK30" s="13">
        <f t="shared" si="20"/>
        <v>-20200</v>
      </c>
      <c r="AL30" s="13">
        <f>ROUND(P30*1.98347*365,-2)</f>
        <v>69100</v>
      </c>
      <c r="AM30" s="13">
        <f t="shared" si="16"/>
        <v>219579.4944</v>
      </c>
      <c r="AN30" s="13">
        <f t="shared" si="22"/>
        <v>310120</v>
      </c>
      <c r="AO30" s="13">
        <f t="shared" si="0"/>
        <v>9245071.3599999994</v>
      </c>
      <c r="AQ30" s="13">
        <f>'BoR-GCD-HD releases'!D315</f>
        <v>9000274</v>
      </c>
      <c r="AR30" s="13">
        <f>'BoR-GCD-HD releases'!L315</f>
        <v>9000273.4000000004</v>
      </c>
      <c r="AS30" s="13">
        <f>'BoR-GCD-HD releases'!P315</f>
        <v>8999000</v>
      </c>
      <c r="AT30" s="15">
        <f t="shared" si="18"/>
        <v>135726</v>
      </c>
      <c r="AU30" s="15">
        <f t="shared" si="19"/>
        <v>135726.59999999963</v>
      </c>
      <c r="AV30" s="13"/>
      <c r="AW30" s="13">
        <v>13433124</v>
      </c>
      <c r="AX30" s="13">
        <v>20927</v>
      </c>
      <c r="AY30" s="13">
        <v>81034</v>
      </c>
      <c r="AZ30" s="13">
        <v>284102</v>
      </c>
      <c r="BA30" s="13">
        <v>13819187</v>
      </c>
      <c r="BB30">
        <v>90848</v>
      </c>
      <c r="BC30" s="13">
        <v>109114</v>
      </c>
      <c r="BD30" s="13">
        <f>'BoR-GCD-HD releases'!F315</f>
        <v>9245911</v>
      </c>
      <c r="BE30" s="13">
        <v>14019149</v>
      </c>
      <c r="BG30" s="15">
        <f t="shared" si="2"/>
        <v>135726</v>
      </c>
      <c r="BH30" s="15">
        <f t="shared" si="3"/>
        <v>724000</v>
      </c>
      <c r="BI30" s="15">
        <f>ROUND(U30+W30,-3)</f>
        <v>102000</v>
      </c>
      <c r="BJ30" s="15">
        <f t="shared" si="12"/>
        <v>622000</v>
      </c>
      <c r="BL30" s="15">
        <f t="shared" si="21"/>
        <v>201006</v>
      </c>
    </row>
    <row r="31" spans="1:64">
      <c r="A31" s="14">
        <v>2016</v>
      </c>
      <c r="B31" s="9"/>
      <c r="C31" s="10">
        <v>12560</v>
      </c>
      <c r="D31" s="1">
        <v>28.8</v>
      </c>
      <c r="E31" s="1"/>
      <c r="F31" s="1">
        <v>68.7</v>
      </c>
      <c r="G31" s="1">
        <v>298.89999999999998</v>
      </c>
      <c r="H31" s="1">
        <v>13120</v>
      </c>
      <c r="I31" s="1">
        <v>9.5500000000000007</v>
      </c>
      <c r="J31" s="1">
        <v>65.2</v>
      </c>
      <c r="K31" s="1">
        <v>71.5</v>
      </c>
      <c r="L31" s="1"/>
      <c r="M31" s="1">
        <v>13550</v>
      </c>
      <c r="N31" s="1">
        <v>9.14</v>
      </c>
      <c r="O31" s="1">
        <v>161.6</v>
      </c>
      <c r="P31" s="1">
        <v>118.6</v>
      </c>
      <c r="Q31">
        <v>314.60000000000002</v>
      </c>
      <c r="R31" s="1">
        <v>12800</v>
      </c>
      <c r="T31" s="10">
        <f>ROUND(C31*1.98347*366,-3)</f>
        <v>9118000</v>
      </c>
      <c r="U31" s="10">
        <f>ROUND(D31*1.98347*366,-2)</f>
        <v>20900</v>
      </c>
      <c r="V31" s="12"/>
      <c r="W31" s="10">
        <f>ROUND(F31*1.98347*366,-2)</f>
        <v>49900</v>
      </c>
      <c r="X31" s="10">
        <f>ROUND(G31*1.98347*366,-3)</f>
        <v>217000</v>
      </c>
      <c r="Y31" s="13">
        <f t="shared" si="17"/>
        <v>167100</v>
      </c>
      <c r="Z31" s="13">
        <f t="shared" si="8"/>
        <v>406000</v>
      </c>
      <c r="AA31" s="13">
        <f t="shared" si="10"/>
        <v>335000</v>
      </c>
      <c r="AB31" s="136">
        <f>ROUND(H31*1.98347*366,-3)</f>
        <v>9524000</v>
      </c>
      <c r="AC31" s="13">
        <f>ROUND(I31*1.98347*366,-2)</f>
        <v>6900</v>
      </c>
      <c r="AD31" s="13">
        <f t="shared" si="11"/>
        <v>47200</v>
      </c>
      <c r="AE31" s="13">
        <f t="shared" si="25"/>
        <v>51800</v>
      </c>
      <c r="AF31" s="13">
        <f t="shared" si="9"/>
        <v>313000</v>
      </c>
      <c r="AG31" s="13">
        <f t="shared" si="26"/>
        <v>254300</v>
      </c>
      <c r="AH31" s="13">
        <f>ROUND(M31*1.98347*366,-3)</f>
        <v>9837000</v>
      </c>
      <c r="AI31" s="136">
        <f>ROUND(N31*1.98347*366,-1)</f>
        <v>6640</v>
      </c>
      <c r="AJ31" s="136">
        <f>ROUND(O31*1.98347*366,-3)</f>
        <v>117000</v>
      </c>
      <c r="AK31" s="13">
        <f t="shared" si="20"/>
        <v>-30900</v>
      </c>
      <c r="AL31" s="13">
        <f>ROUND(P31*1.98347*366,-2)</f>
        <v>86100</v>
      </c>
      <c r="AM31" s="13">
        <f t="shared" si="16"/>
        <v>227760.3328</v>
      </c>
      <c r="AN31" s="13">
        <f t="shared" si="22"/>
        <v>288740</v>
      </c>
      <c r="AO31" s="13">
        <f t="shared" si="0"/>
        <v>9266790.4000000004</v>
      </c>
      <c r="AQ31" s="13">
        <f>'BoR-GCD-HD releases'!D327</f>
        <v>8999985</v>
      </c>
      <c r="AR31" s="13">
        <f>'BoR-GCD-HD releases'!L327</f>
        <v>8999982.8999999985</v>
      </c>
      <c r="AS31" s="13">
        <f>'BoR-GCD-HD releases'!P327</f>
        <v>8999000</v>
      </c>
      <c r="AT31" s="15">
        <f t="shared" si="18"/>
        <v>118015</v>
      </c>
      <c r="AU31" s="15">
        <f t="shared" si="19"/>
        <v>118017.10000000149</v>
      </c>
      <c r="AV31" s="13"/>
      <c r="AW31" s="13">
        <v>13477814</v>
      </c>
      <c r="AX31" s="13">
        <v>20891</v>
      </c>
      <c r="AY31" s="13">
        <v>49022</v>
      </c>
      <c r="AZ31" s="13">
        <v>360303</v>
      </c>
      <c r="BA31" s="13">
        <v>13908030</v>
      </c>
      <c r="BB31">
        <v>115964</v>
      </c>
      <c r="BC31" s="13">
        <v>134880</v>
      </c>
      <c r="BD31" s="13">
        <f>'BoR-GCD-HD releases'!F327</f>
        <v>9292788</v>
      </c>
      <c r="BE31" s="13">
        <v>14158874</v>
      </c>
      <c r="BG31" s="15">
        <f t="shared" si="2"/>
        <v>118015</v>
      </c>
      <c r="BH31" s="15">
        <f t="shared" si="3"/>
        <v>719000</v>
      </c>
      <c r="BI31" s="15">
        <f>ROUND(U31+W31,-2)</f>
        <v>70800</v>
      </c>
      <c r="BJ31" s="15">
        <f>ROUND(BH31-BI31,-3)</f>
        <v>648000</v>
      </c>
      <c r="BL31" s="15">
        <f t="shared" si="21"/>
        <v>153860</v>
      </c>
    </row>
    <row r="32" spans="1:64">
      <c r="A32" s="8">
        <v>2017</v>
      </c>
      <c r="B32" s="9"/>
      <c r="C32" s="10">
        <v>12640</v>
      </c>
      <c r="D32" s="1">
        <v>23.7</v>
      </c>
      <c r="E32" s="1"/>
      <c r="F32" s="1">
        <v>179.9</v>
      </c>
      <c r="G32" s="1">
        <v>438</v>
      </c>
      <c r="H32" s="1">
        <v>13270</v>
      </c>
      <c r="I32" s="1">
        <v>10.6</v>
      </c>
      <c r="J32" s="1">
        <v>61.5</v>
      </c>
      <c r="K32" s="1">
        <v>73.7</v>
      </c>
      <c r="L32" s="1"/>
      <c r="M32" s="1">
        <v>13860</v>
      </c>
      <c r="N32" s="1">
        <v>5.14</v>
      </c>
      <c r="O32" s="1">
        <v>230.5</v>
      </c>
      <c r="P32" s="1">
        <v>196.9</v>
      </c>
      <c r="Q32">
        <v>316.89999999999998</v>
      </c>
      <c r="R32" s="1">
        <v>11910</v>
      </c>
      <c r="T32" s="10">
        <f>ROUND(C32*1.98347*365,-3)</f>
        <v>9151000</v>
      </c>
      <c r="U32" s="10">
        <f>ROUND(D32*1.98347*365,-2)</f>
        <v>17200</v>
      </c>
      <c r="V32" s="12"/>
      <c r="W32" s="10">
        <f>ROUND(F32*1.98347*365,-3)</f>
        <v>130000</v>
      </c>
      <c r="X32" s="10">
        <f>ROUND(G32*1.98347*365,-3)</f>
        <v>317000</v>
      </c>
      <c r="Y32" s="13">
        <f t="shared" si="17"/>
        <v>187000</v>
      </c>
      <c r="Z32" s="13">
        <f t="shared" si="8"/>
        <v>456000</v>
      </c>
      <c r="AA32" s="13">
        <f t="shared" si="10"/>
        <v>309000</v>
      </c>
      <c r="AB32" s="136">
        <f>ROUND(H32*1.98347*365,-3)</f>
        <v>9607000</v>
      </c>
      <c r="AC32" s="13">
        <f>ROUND(I32*1.98347*365,-1)</f>
        <v>7670</v>
      </c>
      <c r="AD32" s="13">
        <f t="shared" si="11"/>
        <v>44500</v>
      </c>
      <c r="AE32" s="13">
        <f t="shared" si="25"/>
        <v>53400</v>
      </c>
      <c r="AF32" s="13">
        <f t="shared" si="9"/>
        <v>423000</v>
      </c>
      <c r="AG32" s="13">
        <f t="shared" si="26"/>
        <v>361930</v>
      </c>
      <c r="AH32" s="13">
        <f>ROUND(M32*1.98347*365,-4)</f>
        <v>10030000</v>
      </c>
      <c r="AI32" s="136">
        <f>ROUND(N32*1.98347*365,-1)</f>
        <v>3720</v>
      </c>
      <c r="AJ32" s="136">
        <f>ROUND(O32*1.98347*366,-3)</f>
        <v>167000</v>
      </c>
      <c r="AK32" s="13">
        <f t="shared" si="20"/>
        <v>-24000</v>
      </c>
      <c r="AL32" s="13">
        <f>ROUND(P32*1.98347*365,-3)</f>
        <v>143000</v>
      </c>
      <c r="AM32" s="13">
        <f t="shared" si="16"/>
        <v>229425.45919999998</v>
      </c>
      <c r="AN32" s="13">
        <f t="shared" si="22"/>
        <v>402720</v>
      </c>
      <c r="AO32" s="13">
        <f t="shared" si="0"/>
        <v>8622458.879999999</v>
      </c>
      <c r="AQ32" s="13">
        <f>'BoR-GCD-HD releases'!D339</f>
        <v>8999987</v>
      </c>
      <c r="AR32" s="13">
        <f>'BoR-GCD-HD releases'!L339</f>
        <v>8999985.8000000007</v>
      </c>
      <c r="AS32" s="13">
        <f>'BoR-GCD-HD releases'!P339</f>
        <v>8999000</v>
      </c>
      <c r="AT32" s="15">
        <f t="shared" si="18"/>
        <v>151013</v>
      </c>
      <c r="AU32" s="15">
        <f t="shared" si="19"/>
        <v>151014.19999999925</v>
      </c>
      <c r="AV32" s="13"/>
      <c r="AW32" s="13">
        <v>16476397</v>
      </c>
      <c r="AX32" s="13">
        <v>17184</v>
      </c>
      <c r="AY32" s="13">
        <v>130277</v>
      </c>
      <c r="AZ32" s="13">
        <v>319884</v>
      </c>
      <c r="BA32" s="13">
        <v>16943742</v>
      </c>
      <c r="BB32">
        <v>163461</v>
      </c>
      <c r="BC32" s="13">
        <v>212190</v>
      </c>
      <c r="BD32" s="13">
        <f>'BoR-GCD-HD releases'!F339</f>
        <v>8619667</v>
      </c>
      <c r="BE32" s="13">
        <v>17319393</v>
      </c>
      <c r="BG32" s="15">
        <f t="shared" si="2"/>
        <v>151013</v>
      </c>
      <c r="BH32" s="15">
        <f t="shared" si="3"/>
        <v>879000</v>
      </c>
      <c r="BI32" s="15">
        <f>ROUND(U32+W32,-3)</f>
        <v>147000</v>
      </c>
      <c r="BJ32" s="15">
        <f t="shared" si="12"/>
        <v>732000</v>
      </c>
      <c r="BL32" s="15">
        <f t="shared" si="21"/>
        <v>190530</v>
      </c>
    </row>
    <row r="33" spans="1:64">
      <c r="A33" s="8">
        <v>2018</v>
      </c>
      <c r="B33" s="9"/>
      <c r="C33" s="10">
        <v>12650</v>
      </c>
      <c r="D33" s="1">
        <v>18.8</v>
      </c>
      <c r="E33" s="1"/>
      <c r="F33" s="1">
        <v>56.9</v>
      </c>
      <c r="G33" s="1">
        <v>288.60000000000002</v>
      </c>
      <c r="H33" s="1">
        <v>13150</v>
      </c>
      <c r="I33" s="1">
        <v>11.2</v>
      </c>
      <c r="J33" s="1">
        <v>62</v>
      </c>
      <c r="K33" s="1">
        <v>71.400000000000006</v>
      </c>
      <c r="L33" s="1"/>
      <c r="M33" s="1">
        <v>13570</v>
      </c>
      <c r="N33" s="1">
        <v>4.51</v>
      </c>
      <c r="O33" s="1">
        <v>119.7</v>
      </c>
      <c r="P33" s="1">
        <v>91.4</v>
      </c>
      <c r="Q33">
        <v>320.60000000000002</v>
      </c>
      <c r="R33" s="1"/>
      <c r="T33" s="10">
        <f>ROUND(C33*1.98347*365,-3)</f>
        <v>9158000</v>
      </c>
      <c r="U33" s="10">
        <f>ROUND(D33*1.98347*365,-2)</f>
        <v>13600</v>
      </c>
      <c r="V33" s="12"/>
      <c r="W33" s="10">
        <f>ROUND(F33*1.98347*365,-2)</f>
        <v>41200</v>
      </c>
      <c r="X33" s="10">
        <f>ROUND(G33*1.98347*365,-3)</f>
        <v>209000</v>
      </c>
      <c r="Y33" s="13">
        <f t="shared" si="17"/>
        <v>167800</v>
      </c>
      <c r="Z33" s="13">
        <f t="shared" si="8"/>
        <v>362000</v>
      </c>
      <c r="AA33" s="13">
        <f t="shared" si="10"/>
        <v>307000</v>
      </c>
      <c r="AB33" s="136">
        <f>ROUND(H33*1.98347*365,-3)</f>
        <v>9520000</v>
      </c>
      <c r="AC33" s="13">
        <f>ROUND(I33*1.98347*365,-2)</f>
        <v>8100</v>
      </c>
      <c r="AD33" s="13">
        <f t="shared" si="11"/>
        <v>44900</v>
      </c>
      <c r="AE33" s="13">
        <f t="shared" si="25"/>
        <v>51700</v>
      </c>
      <c r="AF33" s="13">
        <f t="shared" si="9"/>
        <v>304000</v>
      </c>
      <c r="AG33" s="13">
        <f t="shared" si="26"/>
        <v>244200</v>
      </c>
      <c r="AH33" s="13">
        <f>ROUND(M33*1.98347*365,-3)</f>
        <v>9824000</v>
      </c>
      <c r="AI33" s="136">
        <f>ROUND(N33*1.98347*365,-1)</f>
        <v>3270</v>
      </c>
      <c r="AJ33" s="136">
        <f>ROUND(O33*1.98347*365,-2)</f>
        <v>86700</v>
      </c>
      <c r="AK33" s="13">
        <f t="shared" si="20"/>
        <v>-20500</v>
      </c>
      <c r="AL33" s="13">
        <f>ROUND(P33*1.98347*365,-2)</f>
        <v>66200</v>
      </c>
      <c r="AM33" s="13">
        <f t="shared" si="16"/>
        <v>232104.14079999999</v>
      </c>
      <c r="AN33" s="13">
        <f>AF33+AI33+AK33</f>
        <v>286770</v>
      </c>
      <c r="AO33" s="13"/>
      <c r="AQ33" s="13">
        <f>'BoR-GCD-HD releases'!D351</f>
        <v>8999906</v>
      </c>
      <c r="AR33" s="13">
        <f>'BoR-GCD-HD releases'!L351</f>
        <v>8999906</v>
      </c>
      <c r="AS33" s="13">
        <f>'BoR-GCD-HD releases'!P351</f>
        <v>9000000</v>
      </c>
      <c r="AT33" s="15">
        <f t="shared" si="18"/>
        <v>158094</v>
      </c>
      <c r="AU33" s="15">
        <f t="shared" si="19"/>
        <v>158094</v>
      </c>
      <c r="AV33" s="13"/>
      <c r="AW33" s="13">
        <v>8614203</v>
      </c>
      <c r="AX33" s="13">
        <v>13630</v>
      </c>
      <c r="AY33" s="13">
        <v>41973</v>
      </c>
      <c r="AZ33" s="13">
        <v>303882</v>
      </c>
      <c r="BA33" s="13">
        <v>8973688</v>
      </c>
      <c r="BB33">
        <v>87217</v>
      </c>
      <c r="BC33" s="13">
        <v>86462</v>
      </c>
      <c r="BD33" s="13">
        <f>'BoR-GCD-HD releases'!F351</f>
        <v>9239936</v>
      </c>
      <c r="BE33" s="13">
        <v>9147367</v>
      </c>
      <c r="BG33" s="15">
        <f t="shared" si="2"/>
        <v>158094</v>
      </c>
      <c r="BH33" s="15">
        <f t="shared" si="3"/>
        <v>666000</v>
      </c>
      <c r="BI33" s="15">
        <f>ROUND(U33+W33,-2)</f>
        <v>54800</v>
      </c>
      <c r="BJ33" s="15">
        <f t="shared" si="24"/>
        <v>611000</v>
      </c>
      <c r="BL33" s="15">
        <f t="shared" si="21"/>
        <v>200308</v>
      </c>
    </row>
    <row r="34" spans="1:64">
      <c r="A34" s="8">
        <v>2019</v>
      </c>
      <c r="B34" s="9"/>
      <c r="C34" s="10">
        <v>12770</v>
      </c>
      <c r="D34" s="1">
        <v>31.2</v>
      </c>
      <c r="E34" s="1"/>
      <c r="F34" s="1"/>
      <c r="G34" s="1">
        <v>493.5</v>
      </c>
      <c r="H34" s="1">
        <v>13480</v>
      </c>
      <c r="I34" s="1">
        <v>11.1</v>
      </c>
      <c r="J34" s="1">
        <v>62.8</v>
      </c>
      <c r="K34" s="1">
        <v>68.3</v>
      </c>
      <c r="L34" s="1"/>
      <c r="M34" s="1">
        <v>13900</v>
      </c>
      <c r="N34" s="1">
        <v>4.22</v>
      </c>
      <c r="O34" s="1">
        <v>309.10000000000002</v>
      </c>
      <c r="P34" s="1"/>
      <c r="Q34">
        <v>332.2</v>
      </c>
      <c r="R34" s="1"/>
      <c r="T34" s="10">
        <f>ROUND(C34*1.98347*365,-3)</f>
        <v>9245000</v>
      </c>
      <c r="U34" s="10">
        <f>ROUND(D34*1.98347*365,-2)</f>
        <v>22600</v>
      </c>
      <c r="V34" s="12"/>
      <c r="W34" s="12"/>
      <c r="X34" s="10">
        <f>ROUND(G34*1.98347*365,-3)</f>
        <v>357000</v>
      </c>
      <c r="Y34" s="13">
        <f t="shared" si="17"/>
        <v>357000</v>
      </c>
      <c r="Z34" s="13">
        <f t="shared" si="8"/>
        <v>514000</v>
      </c>
      <c r="AA34" s="13"/>
      <c r="AB34" s="136">
        <f>ROUND(H34*1.98347*365,-3)</f>
        <v>9759000</v>
      </c>
      <c r="AC34" s="13">
        <f>ROUND(I34*1.98347*365,-1)</f>
        <v>8040</v>
      </c>
      <c r="AD34" s="13">
        <f t="shared" si="11"/>
        <v>45500</v>
      </c>
      <c r="AE34" s="13">
        <f t="shared" si="25"/>
        <v>49400</v>
      </c>
      <c r="AF34" s="13">
        <f t="shared" si="9"/>
        <v>301000</v>
      </c>
      <c r="AG34" s="13">
        <f t="shared" si="26"/>
        <v>243560</v>
      </c>
      <c r="AH34" s="13">
        <f>ROUND(M34*1.98347*365,-4)</f>
        <v>10060000</v>
      </c>
      <c r="AI34" s="13">
        <f>N34*723.968</f>
        <v>3055.1449599999996</v>
      </c>
      <c r="AJ34" s="136">
        <f>ROUND(O34*1.98347*366,-3)</f>
        <v>224000</v>
      </c>
      <c r="AK34" s="13"/>
      <c r="AM34" s="13">
        <f t="shared" si="16"/>
        <v>240502.16959999996</v>
      </c>
      <c r="AN34" s="13"/>
      <c r="AQ34" s="13">
        <f>'BoR-GCD-HD releases'!D363</f>
        <v>9001396</v>
      </c>
      <c r="AR34" s="13">
        <f>'BoR-GCD-HD releases'!L363</f>
        <v>9001395.1999999993</v>
      </c>
      <c r="AS34" s="13">
        <f>'BoR-GCD-HD releases'!P363</f>
        <v>9000000</v>
      </c>
      <c r="AT34" s="15">
        <f t="shared" si="18"/>
        <v>243604</v>
      </c>
      <c r="AU34" s="15">
        <f t="shared" si="19"/>
        <v>243604.80000000075</v>
      </c>
      <c r="AV34" s="13"/>
      <c r="AW34" s="13"/>
      <c r="BD34" s="13">
        <f>'BoR-GCD-HD releases'!F363</f>
        <v>8891632</v>
      </c>
      <c r="BG34" s="15">
        <f t="shared" si="2"/>
        <v>243604</v>
      </c>
      <c r="BH34" s="15">
        <f t="shared" si="3"/>
        <v>815000</v>
      </c>
      <c r="BI34" s="15"/>
      <c r="BJ34" s="15"/>
    </row>
    <row r="36" spans="1:64" ht="15.5">
      <c r="A36" s="37" t="s">
        <v>112</v>
      </c>
      <c r="AQ36" s="17">
        <f>ROUND(AVERAGE(AQ20:AQ34),-4)</f>
        <v>8870000</v>
      </c>
      <c r="AR36" s="17">
        <f>ROUND(AVERAGE(AR20:AR34),-4)</f>
        <v>8860000</v>
      </c>
      <c r="AU36" s="15">
        <f>ROUND(AVERAGE(AU20:AU34),-4)</f>
        <v>150000</v>
      </c>
    </row>
    <row r="37" spans="1:64" ht="15.5">
      <c r="A37" s="37" t="s">
        <v>43</v>
      </c>
      <c r="R37" s="15"/>
      <c r="S37" s="16"/>
      <c r="T37" s="17">
        <f>ROUND(AVERAGE(T22:T33),-3)</f>
        <v>9085000</v>
      </c>
      <c r="U37" s="17">
        <f>ROUND(AVERAGE(U22:U33),-2)</f>
        <v>18700</v>
      </c>
      <c r="V37" s="15"/>
      <c r="W37" s="17">
        <f>ROUND(AVERAGE(W22:W33),-2)</f>
        <v>95000</v>
      </c>
      <c r="X37" s="17">
        <f>ROUND(AVERAGE(X22:X33),-3)</f>
        <v>267000</v>
      </c>
      <c r="Y37" s="17">
        <f>ROUND(AVERAGE(Y22:Y33),-3)</f>
        <v>172000</v>
      </c>
      <c r="Z37" s="17">
        <f>ROUND(AVERAGE(Z22:Z33),-3)</f>
        <v>432000</v>
      </c>
      <c r="AA37" s="17">
        <f>ROUND(AVERAGE(AA22:AA33),-3)</f>
        <v>319000</v>
      </c>
      <c r="AB37" s="17">
        <f>ROUND(AVERAGE(AB22:AB33),-3)</f>
        <v>9517000</v>
      </c>
      <c r="AC37" s="17">
        <f>ROUND(AVERAGE(AC22:AC33),-2)</f>
        <v>9800</v>
      </c>
      <c r="AD37" s="17">
        <f>ROUND(AVERAGE(AD22:AD33),-2)</f>
        <v>46700</v>
      </c>
      <c r="AE37" s="17">
        <f>ROUND(AVERAGE(AE22:AE33),-2)</f>
        <v>53500</v>
      </c>
      <c r="AF37" s="17">
        <f>ROUND(AVERAGE(AF22:AF33),-3)</f>
        <v>392000</v>
      </c>
      <c r="AG37" s="17">
        <f>ROUND(AVERAGE(AG22:AG33),-3)</f>
        <v>316000</v>
      </c>
      <c r="AH37" s="17">
        <f>ROUND(AVERAGE(AH22:AH33),-3)</f>
        <v>9909000</v>
      </c>
      <c r="AI37" s="17">
        <f>ROUND(AVERAGE(AI22:AI33),-1)</f>
        <v>4540</v>
      </c>
      <c r="AJ37" s="17">
        <f>ROUND(AVERAGE(AJ22:AJ33),-3)</f>
        <v>138000</v>
      </c>
      <c r="AK37" s="17">
        <f>ROUND(AVERAGE(AK22:AK33),-2)</f>
        <v>-34900</v>
      </c>
      <c r="AL37" s="17">
        <f>ROUND(AVERAGE(AL22:AL33),-3)</f>
        <v>103000</v>
      </c>
      <c r="AM37" s="17">
        <f>ROUND(AVERAGE(AM22:AM33),-3)</f>
        <v>218000</v>
      </c>
      <c r="AN37" s="17">
        <f>ROUND(AVERAGE(AN22:AN33),-3)</f>
        <v>361000</v>
      </c>
      <c r="AO37" s="17">
        <f>ROUND(AVERAGE(AO22:AO33),-3)</f>
        <v>9323000</v>
      </c>
      <c r="AQ37" s="17">
        <f>ROUND(AVERAGE(AQ22:AQ33),-3)</f>
        <v>8966000</v>
      </c>
      <c r="AR37" s="17">
        <f>ROUND(AVERAGE(AR22:AR33),-3)</f>
        <v>8948000</v>
      </c>
      <c r="AS37" s="137" t="s">
        <v>104</v>
      </c>
      <c r="AT37" s="137"/>
      <c r="AU37" s="137"/>
      <c r="AV37" s="137"/>
      <c r="AW37" s="17">
        <f>ROUND(AVERAGE(AW22:AW33),-4)</f>
        <v>13270000</v>
      </c>
      <c r="AX37" s="17">
        <f>AVERAGE(AX22:AX33)</f>
        <v>18800.333333333332</v>
      </c>
      <c r="AY37" s="17">
        <f>AVERAGE(AY22:AY33)</f>
        <v>95087</v>
      </c>
      <c r="AZ37" s="17">
        <f>AVERAGE(AZ22:AZ33)</f>
        <v>321751.5</v>
      </c>
      <c r="BA37" s="17">
        <f>ROUND(AVERAGE(BA22:BA33),-4)</f>
        <v>13710000</v>
      </c>
      <c r="BB37" s="17">
        <f>AVERAGE(BB22:BB33)</f>
        <v>139212</v>
      </c>
      <c r="BC37" s="17">
        <f>AVERAGE(BC22:BC33)</f>
        <v>101200.16666666667</v>
      </c>
      <c r="BD37" s="17">
        <f>ROUND(AVERAGE(BD22:BD33),-3)</f>
        <v>9323000</v>
      </c>
      <c r="BE37" s="17">
        <f>AVERAGE(BE22:BE33)</f>
        <v>13946138.833333334</v>
      </c>
      <c r="BG37" s="21">
        <f>ROUND(AVERAGE(BG22:BG33),-3)</f>
        <v>119000</v>
      </c>
      <c r="BH37" s="21">
        <f>ROUND(AVERAGE(BH22:BH33),-3)</f>
        <v>824000</v>
      </c>
      <c r="BI37" s="21">
        <f>ROUND(AVERAGE(BI22:BI33),-3)</f>
        <v>114000</v>
      </c>
      <c r="BJ37" s="21">
        <f>ROUND(AVERAGE(BJ22:BJ33),-3)</f>
        <v>710000</v>
      </c>
    </row>
    <row r="38" spans="1:64" ht="15.5">
      <c r="A38" s="37" t="s">
        <v>57</v>
      </c>
      <c r="G38" s="19"/>
      <c r="S38" s="20"/>
      <c r="T38" s="21">
        <f>ROUND(AVERAGE(T5:T33),-3)</f>
        <v>9270000</v>
      </c>
      <c r="U38" s="21">
        <f>ROUND(AVERAGE(U5:U33),-2)</f>
        <v>18100</v>
      </c>
      <c r="W38" s="21">
        <f>ROUND(AVERAGE(W5:W33),-2)</f>
        <v>114500</v>
      </c>
      <c r="X38" s="63" t="s">
        <v>104</v>
      </c>
      <c r="Y38" s="63" t="s">
        <v>104</v>
      </c>
      <c r="Z38" s="21">
        <f>ROUND(AVERAGE(Z5:Z33),-3)</f>
        <v>412000</v>
      </c>
      <c r="AA38" s="21">
        <f>ROUND(AVERAGE(AA5:AA33),-3)</f>
        <v>299000</v>
      </c>
      <c r="AB38" s="21">
        <f>ROUND(AVERAGE(AB5:AB33),-3)</f>
        <v>9766000</v>
      </c>
      <c r="AC38" s="63" t="s">
        <v>104</v>
      </c>
      <c r="AD38" s="21">
        <f>ROUND(AVERAGE(AD5:AD33),-2)</f>
        <v>47800</v>
      </c>
      <c r="AE38" s="21">
        <f>ROUND(AVERAGE(AE5:AE33),-2)</f>
        <v>53900</v>
      </c>
      <c r="AF38" s="21">
        <f>ROUND(AVERAGE(AF5:AF33),-3)</f>
        <v>344000</v>
      </c>
      <c r="AG38" s="63" t="s">
        <v>104</v>
      </c>
      <c r="AH38" s="21">
        <f>ROUND(AVERAGE(AH5:AH33),-4)</f>
        <v>10040000</v>
      </c>
      <c r="AI38" s="21">
        <f>ROUND(AVERAGE(AI5:AI33),-1)</f>
        <v>4010</v>
      </c>
      <c r="AJ38" s="21">
        <f>ROUND(AVERAGE(AJ5:AJ33),-3)</f>
        <v>165000</v>
      </c>
      <c r="AK38" s="63" t="s">
        <v>104</v>
      </c>
      <c r="AL38" s="63" t="s">
        <v>104</v>
      </c>
      <c r="AM38" s="63" t="s">
        <v>104</v>
      </c>
      <c r="AN38" s="63" t="s">
        <v>104</v>
      </c>
      <c r="AO38" s="21">
        <f>ROUND(AVERAGE(AO5:AO33),-3)</f>
        <v>9532000</v>
      </c>
      <c r="AQ38" s="21">
        <f>ROUND(AVERAGE(AQ5:AQ33),-3)</f>
        <v>9203000</v>
      </c>
      <c r="AR38" s="21">
        <f>ROUND(AVERAGE(AR5:AR33),-3)</f>
        <v>9175000</v>
      </c>
      <c r="AS38" s="63" t="s">
        <v>104</v>
      </c>
      <c r="AT38" s="63"/>
      <c r="AU38" s="63"/>
      <c r="AV38" s="63"/>
      <c r="AW38" s="21">
        <f>ROUND(AVERAGE(AW5:AW33),-4)</f>
        <v>13330000</v>
      </c>
      <c r="AX38" s="21">
        <f>AVERAGE(AX5:AX33)</f>
        <v>18132.931034482757</v>
      </c>
      <c r="AY38" s="21">
        <f t="shared" ref="AY38:BC38" si="27">AVERAGE(AY5:AY33)</f>
        <v>114496.03448275862</v>
      </c>
      <c r="AZ38" s="21">
        <f t="shared" si="27"/>
        <v>281988.44827586209</v>
      </c>
      <c r="BA38" s="21">
        <f>ROUND(AVERAGE(BA5:BA33),-4)</f>
        <v>13740000</v>
      </c>
      <c r="BB38" s="21">
        <f t="shared" si="27"/>
        <v>163398.31034482759</v>
      </c>
      <c r="BC38" s="21">
        <f t="shared" si="27"/>
        <v>214054.03448275861</v>
      </c>
      <c r="BD38" s="17">
        <f>ROUND(AVERAGE(BD5:BD33),-3)</f>
        <v>9530000</v>
      </c>
      <c r="BE38" s="21">
        <f>ROUND(AVERAGE(BE5:BE33),-4)</f>
        <v>14120000</v>
      </c>
      <c r="BG38" s="21">
        <f>ROUND(AVERAGE(BG5:BG33),-3)</f>
        <v>67000</v>
      </c>
      <c r="BH38" s="21">
        <f>ROUND(AVERAGE(BH5:BH33),-3)</f>
        <v>768000</v>
      </c>
      <c r="BI38" s="21">
        <f>ROUND(AVERAGE(BI5:BI33),-3)</f>
        <v>133000</v>
      </c>
      <c r="BJ38" s="21">
        <f>ROUND(AVERAGE(BJ5:BJ33),-3)</f>
        <v>635000</v>
      </c>
    </row>
    <row r="39" spans="1:64">
      <c r="M39" s="15"/>
      <c r="N39" s="15"/>
      <c r="O39" s="15"/>
      <c r="P39" s="15"/>
      <c r="Q39" s="15"/>
      <c r="R39" s="15"/>
      <c r="AD39" s="15"/>
      <c r="AH39" s="15"/>
      <c r="AO39" s="15"/>
      <c r="BE39" s="15"/>
      <c r="BH39" s="15"/>
      <c r="BI39" s="38"/>
    </row>
    <row r="40" spans="1:64">
      <c r="M40" s="15"/>
      <c r="N40" s="15"/>
      <c r="O40" s="15"/>
      <c r="P40" s="15"/>
      <c r="Q40" s="15"/>
      <c r="W40" s="15"/>
      <c r="X40" s="39"/>
      <c r="Y40" s="39"/>
      <c r="Z40" s="15"/>
      <c r="AA40" s="15"/>
      <c r="AD40" s="15"/>
      <c r="AQ40" s="15"/>
      <c r="AR40" s="15"/>
      <c r="AS40" s="15"/>
      <c r="AT40" s="15"/>
      <c r="AU40" s="15"/>
      <c r="AV40" s="15"/>
    </row>
    <row r="41" spans="1:64">
      <c r="M41" s="15"/>
      <c r="N41" s="15"/>
      <c r="O41" s="15"/>
      <c r="P41" s="15"/>
      <c r="Q41" s="15"/>
      <c r="X41" s="39"/>
      <c r="Y41" s="39"/>
      <c r="Z41" s="39"/>
      <c r="AA41" s="15"/>
      <c r="AD41" s="15"/>
    </row>
    <row r="42" spans="1:64">
      <c r="B42" s="1"/>
      <c r="C42" s="4"/>
      <c r="D42" s="4"/>
      <c r="F42" s="216"/>
      <c r="G42" s="216"/>
      <c r="J42" s="1"/>
      <c r="K42" s="1"/>
      <c r="W42" s="15"/>
      <c r="AB42" s="15"/>
      <c r="AC42" s="15"/>
    </row>
    <row r="43" spans="1:64">
      <c r="C43" s="4"/>
      <c r="D43" s="4"/>
      <c r="E43" s="2"/>
      <c r="F43" s="216"/>
      <c r="G43" s="216"/>
      <c r="AB43" s="18"/>
      <c r="AC43" s="18"/>
      <c r="AD43" s="18"/>
    </row>
    <row r="44" spans="1:64">
      <c r="C44" s="22"/>
      <c r="D44" s="22"/>
      <c r="E44" s="2"/>
      <c r="F44" s="2"/>
      <c r="H44" s="1"/>
      <c r="I44" s="1"/>
    </row>
    <row r="45" spans="1:64">
      <c r="B45" s="1"/>
      <c r="C45" s="23"/>
      <c r="D45" s="24"/>
      <c r="E45" s="25"/>
      <c r="F45" s="26"/>
      <c r="G45" s="26"/>
      <c r="H45" s="26"/>
    </row>
    <row r="46" spans="1:64">
      <c r="B46" s="1"/>
      <c r="C46" s="27"/>
      <c r="D46" s="24"/>
      <c r="E46" s="28"/>
      <c r="F46" s="18"/>
      <c r="G46" s="18"/>
      <c r="H46" s="18"/>
    </row>
    <row r="47" spans="1:64">
      <c r="B47" s="1"/>
      <c r="C47" s="27"/>
      <c r="D47" s="24"/>
      <c r="F47" s="18"/>
      <c r="G47" s="18"/>
      <c r="H47" s="18"/>
    </row>
    <row r="48" spans="1:64">
      <c r="B48" s="1"/>
      <c r="C48" s="27"/>
      <c r="D48" s="24"/>
      <c r="E48" s="29"/>
      <c r="F48" s="18"/>
      <c r="G48" s="18"/>
      <c r="H48" s="18"/>
    </row>
    <row r="49" spans="2:51">
      <c r="B49" s="1"/>
      <c r="C49" s="27"/>
      <c r="D49" s="24"/>
      <c r="F49" s="28"/>
      <c r="H49" s="18"/>
      <c r="I49" s="18"/>
      <c r="J49" s="18"/>
    </row>
    <row r="50" spans="2:51">
      <c r="B50" s="1"/>
      <c r="C50" s="30"/>
      <c r="D50" s="24"/>
      <c r="E50" s="25"/>
      <c r="F50" s="18"/>
      <c r="G50" s="18"/>
      <c r="H50" s="18"/>
      <c r="I50" s="18"/>
      <c r="J50" s="18"/>
    </row>
    <row r="51" spans="2:51">
      <c r="C51" s="30"/>
      <c r="D51" s="24"/>
      <c r="H51" s="18"/>
      <c r="I51" s="18"/>
    </row>
    <row r="52" spans="2:51">
      <c r="C52" s="30"/>
      <c r="D52" s="24"/>
      <c r="H52" s="18"/>
      <c r="I52" s="18"/>
    </row>
    <row r="53" spans="2:51">
      <c r="B53" s="1"/>
      <c r="C53" s="23"/>
      <c r="D53" s="24"/>
      <c r="E53" s="26"/>
      <c r="F53" s="18"/>
      <c r="G53" s="26"/>
      <c r="H53" s="18"/>
    </row>
    <row r="54" spans="2:51">
      <c r="B54" s="1"/>
      <c r="C54" s="30"/>
      <c r="D54" s="24"/>
      <c r="E54" s="25"/>
      <c r="F54" s="26"/>
      <c r="G54" s="26"/>
      <c r="H54" s="26"/>
    </row>
    <row r="55" spans="2:51">
      <c r="B55" s="1"/>
      <c r="C55" s="27"/>
      <c r="D55" s="24"/>
      <c r="E55" s="29"/>
      <c r="F55" s="18"/>
      <c r="G55" s="18"/>
      <c r="H55" s="18"/>
    </row>
    <row r="56" spans="2:51">
      <c r="C56" s="31"/>
      <c r="D56" s="24"/>
      <c r="F56" s="25"/>
    </row>
    <row r="57" spans="2:51">
      <c r="B57" s="1"/>
      <c r="C57" s="23"/>
      <c r="D57" s="24"/>
      <c r="E57" s="26"/>
      <c r="F57" s="26"/>
      <c r="G57" s="26"/>
      <c r="H57" s="26"/>
    </row>
    <row r="58" spans="2:51">
      <c r="B58" s="1"/>
      <c r="C58" s="32"/>
      <c r="D58" s="24"/>
      <c r="E58" s="28"/>
      <c r="F58" s="18"/>
      <c r="G58" s="18"/>
      <c r="H58" s="18"/>
    </row>
    <row r="59" spans="2:51">
      <c r="B59" s="1"/>
      <c r="C59" s="31"/>
      <c r="D59" s="24"/>
      <c r="E59" s="29"/>
      <c r="F59" s="18"/>
      <c r="G59" s="18"/>
      <c r="H59" s="18"/>
      <c r="AW59" t="s">
        <v>62</v>
      </c>
      <c r="AX59">
        <v>0</v>
      </c>
      <c r="AY59">
        <v>0</v>
      </c>
    </row>
    <row r="60" spans="2:51">
      <c r="B60" s="1"/>
      <c r="C60" s="31"/>
      <c r="D60" s="24"/>
      <c r="F60" s="33"/>
      <c r="AX60">
        <v>600000</v>
      </c>
      <c r="AY60">
        <v>600000</v>
      </c>
    </row>
    <row r="61" spans="2:51">
      <c r="B61" s="1"/>
      <c r="C61" s="30"/>
      <c r="D61" s="24"/>
      <c r="E61" s="29"/>
      <c r="F61" s="18"/>
      <c r="G61" s="18"/>
      <c r="H61" s="18"/>
    </row>
    <row r="62" spans="2:51">
      <c r="B62" s="1"/>
      <c r="C62" s="30"/>
      <c r="D62" s="24"/>
      <c r="F62" s="28"/>
    </row>
    <row r="63" spans="2:51">
      <c r="B63" s="1"/>
      <c r="C63" s="23"/>
      <c r="D63" s="24"/>
      <c r="F63" s="28"/>
    </row>
    <row r="64" spans="2:51">
      <c r="B64" s="1"/>
      <c r="C64" s="19"/>
      <c r="D64" s="24"/>
      <c r="E64" s="34"/>
      <c r="F64" s="18"/>
      <c r="G64" s="18"/>
      <c r="H64" s="18"/>
    </row>
  </sheetData>
  <mergeCells count="6">
    <mergeCell ref="F43:G43"/>
    <mergeCell ref="T1:AO1"/>
    <mergeCell ref="AQ1:AS1"/>
    <mergeCell ref="AW1:BE1"/>
    <mergeCell ref="B1:P1"/>
    <mergeCell ref="F42:G4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D6CE4-BD86-4650-8805-36C7DB767E1F}">
  <dimension ref="A1:P367"/>
  <sheetViews>
    <sheetView workbookViewId="0">
      <pane xSplit="2" ySplit="2" topLeftCell="C3" activePane="bottomRight" state="frozen"/>
      <selection pane="topRight" activeCell="C1" sqref="C1"/>
      <selection pane="bottomLeft" activeCell="A2" sqref="A2"/>
      <selection pane="bottomRight" activeCell="M227" sqref="M227"/>
    </sheetView>
  </sheetViews>
  <sheetFormatPr defaultRowHeight="14.5"/>
  <cols>
    <col min="2" max="2" width="11.36328125" bestFit="1" customWidth="1"/>
    <col min="3" max="3" width="22.6328125" bestFit="1" customWidth="1"/>
    <col min="4" max="4" width="11" bestFit="1" customWidth="1"/>
    <col min="5" max="5" width="19.08984375" customWidth="1"/>
    <col min="6" max="6" width="11" bestFit="1" customWidth="1"/>
    <col min="7" max="7" width="10" bestFit="1" customWidth="1"/>
    <col min="8" max="8" width="16.90625" customWidth="1"/>
    <col min="11" max="11" width="19.81640625" customWidth="1"/>
    <col min="12" max="12" width="12" bestFit="1" customWidth="1"/>
    <col min="13" max="13" width="22.08984375" customWidth="1"/>
    <col min="14" max="14" width="19.453125" style="1" customWidth="1"/>
    <col min="15" max="15" width="17.81640625" bestFit="1" customWidth="1"/>
    <col min="16" max="16" width="21.08984375" customWidth="1"/>
  </cols>
  <sheetData>
    <row r="1" spans="1:16" ht="27.65" customHeight="1">
      <c r="B1" s="47" t="s">
        <v>75</v>
      </c>
      <c r="C1" s="217" t="s">
        <v>100</v>
      </c>
      <c r="D1" s="217"/>
      <c r="E1" s="217"/>
      <c r="F1" s="217"/>
      <c r="G1" s="217"/>
      <c r="K1" s="217" t="s">
        <v>101</v>
      </c>
      <c r="L1" s="217"/>
      <c r="M1" s="217"/>
      <c r="N1" s="217" t="s">
        <v>102</v>
      </c>
      <c r="O1" s="217"/>
      <c r="P1" s="217"/>
    </row>
    <row r="2" spans="1:16" ht="58">
      <c r="A2" s="35"/>
      <c r="C2" s="36" t="s">
        <v>93</v>
      </c>
      <c r="E2" s="36" t="s">
        <v>94</v>
      </c>
      <c r="K2" s="36" t="s">
        <v>95</v>
      </c>
      <c r="N2" s="51" t="s">
        <v>96</v>
      </c>
      <c r="O2" s="36" t="s">
        <v>96</v>
      </c>
    </row>
    <row r="3" spans="1:16">
      <c r="A3" s="35"/>
      <c r="B3" t="s">
        <v>97</v>
      </c>
      <c r="C3" s="36" t="s">
        <v>98</v>
      </c>
      <c r="E3" s="36" t="s">
        <v>98</v>
      </c>
      <c r="K3" s="36" t="s">
        <v>98</v>
      </c>
      <c r="N3" s="51" t="s">
        <v>99</v>
      </c>
      <c r="O3" s="36" t="s">
        <v>98</v>
      </c>
    </row>
    <row r="4" spans="1:16">
      <c r="A4" s="35" t="s">
        <v>45</v>
      </c>
      <c r="B4">
        <v>1989</v>
      </c>
      <c r="C4" s="36">
        <v>557940</v>
      </c>
      <c r="E4" s="36">
        <v>629100</v>
      </c>
      <c r="K4" s="48">
        <v>547676</v>
      </c>
      <c r="L4" s="50"/>
    </row>
    <row r="5" spans="1:16">
      <c r="A5" s="35" t="s">
        <v>46</v>
      </c>
      <c r="B5">
        <v>1989</v>
      </c>
      <c r="C5" s="36">
        <v>589033</v>
      </c>
      <c r="E5" s="36">
        <v>588300</v>
      </c>
      <c r="K5" s="48">
        <v>580919</v>
      </c>
      <c r="L5" s="50"/>
    </row>
    <row r="6" spans="1:16">
      <c r="A6" s="35" t="s">
        <v>47</v>
      </c>
      <c r="B6">
        <v>1989</v>
      </c>
      <c r="C6" s="36">
        <v>644761</v>
      </c>
      <c r="E6" s="36">
        <v>594600</v>
      </c>
      <c r="K6" s="48">
        <v>644290.9</v>
      </c>
      <c r="L6" s="50"/>
    </row>
    <row r="7" spans="1:16">
      <c r="A7" s="35" t="s">
        <v>48</v>
      </c>
      <c r="B7">
        <v>1990</v>
      </c>
      <c r="C7" s="36">
        <v>689900</v>
      </c>
      <c r="E7" s="36">
        <v>543700</v>
      </c>
      <c r="K7" s="48">
        <v>689851.2</v>
      </c>
      <c r="L7" s="50"/>
    </row>
    <row r="8" spans="1:16">
      <c r="A8" s="35" t="s">
        <v>49</v>
      </c>
      <c r="B8">
        <v>1990</v>
      </c>
      <c r="C8" s="36">
        <v>593100</v>
      </c>
      <c r="E8" s="36">
        <v>467900</v>
      </c>
      <c r="K8" s="48">
        <v>593097.5</v>
      </c>
      <c r="L8" s="50"/>
    </row>
    <row r="9" spans="1:16">
      <c r="A9" s="35" t="s">
        <v>50</v>
      </c>
      <c r="B9">
        <v>1990</v>
      </c>
      <c r="C9" s="36">
        <v>640300</v>
      </c>
      <c r="E9" s="36">
        <v>947800</v>
      </c>
      <c r="K9" s="48">
        <v>640264.5</v>
      </c>
      <c r="L9" s="50"/>
    </row>
    <row r="10" spans="1:16">
      <c r="A10" s="35" t="s">
        <v>51</v>
      </c>
      <c r="B10">
        <v>1990</v>
      </c>
      <c r="C10" s="36">
        <v>585600</v>
      </c>
      <c r="E10" s="36">
        <v>920900</v>
      </c>
      <c r="K10" s="48">
        <v>585639.69999999995</v>
      </c>
      <c r="L10" s="50"/>
    </row>
    <row r="11" spans="1:16">
      <c r="A11" s="35" t="s">
        <v>52</v>
      </c>
      <c r="B11">
        <v>1990</v>
      </c>
      <c r="C11" s="36">
        <v>629300</v>
      </c>
      <c r="E11" s="12">
        <v>952900</v>
      </c>
      <c r="K11" s="48">
        <v>629256.19999999995</v>
      </c>
      <c r="L11" s="50"/>
    </row>
    <row r="12" spans="1:16">
      <c r="A12" s="35" t="s">
        <v>53</v>
      </c>
      <c r="B12">
        <v>1990</v>
      </c>
      <c r="C12" s="36">
        <v>751100</v>
      </c>
      <c r="E12" s="36">
        <v>966000</v>
      </c>
      <c r="K12" s="48">
        <v>751120.7</v>
      </c>
      <c r="L12" s="50"/>
    </row>
    <row r="13" spans="1:16">
      <c r="A13" s="35" t="s">
        <v>54</v>
      </c>
      <c r="B13">
        <v>1990</v>
      </c>
      <c r="C13" s="36">
        <v>791500</v>
      </c>
      <c r="E13" s="36">
        <v>1070000</v>
      </c>
      <c r="K13" s="48">
        <v>791504.1</v>
      </c>
      <c r="L13" s="50"/>
    </row>
    <row r="14" spans="1:16">
      <c r="A14" s="35" t="s">
        <v>55</v>
      </c>
      <c r="B14">
        <v>1990</v>
      </c>
      <c r="C14" s="36">
        <v>974000</v>
      </c>
      <c r="E14" s="36">
        <v>1020000</v>
      </c>
      <c r="K14" s="48">
        <v>973983.5</v>
      </c>
      <c r="L14" s="50"/>
    </row>
    <row r="15" spans="1:16">
      <c r="A15" s="35" t="s">
        <v>56</v>
      </c>
      <c r="B15">
        <v>1990</v>
      </c>
      <c r="C15" s="36">
        <v>712800</v>
      </c>
      <c r="D15" s="15">
        <f>SUM(C4:C15)</f>
        <v>8159334</v>
      </c>
      <c r="E15" s="36">
        <v>620400</v>
      </c>
      <c r="F15" s="15">
        <f>SUM(E4:E15)</f>
        <v>9321600</v>
      </c>
      <c r="K15" s="48">
        <v>712800</v>
      </c>
      <c r="L15" s="15">
        <f>SUM(K4:K15)</f>
        <v>8140403.2999999998</v>
      </c>
    </row>
    <row r="16" spans="1:16">
      <c r="A16" s="35" t="s">
        <v>45</v>
      </c>
      <c r="B16">
        <v>1990</v>
      </c>
      <c r="C16" s="36">
        <v>453300</v>
      </c>
      <c r="E16" s="36">
        <v>551300</v>
      </c>
      <c r="K16" s="48">
        <v>454195</v>
      </c>
    </row>
    <row r="17" spans="1:12">
      <c r="A17" s="35" t="s">
        <v>46</v>
      </c>
      <c r="B17">
        <v>1990</v>
      </c>
      <c r="C17" s="36">
        <v>490300</v>
      </c>
      <c r="E17" s="36">
        <v>491100</v>
      </c>
      <c r="K17" s="48">
        <v>496899.2</v>
      </c>
    </row>
    <row r="18" spans="1:12">
      <c r="A18" s="35" t="s">
        <v>47</v>
      </c>
      <c r="B18">
        <v>1990</v>
      </c>
      <c r="C18" s="36">
        <v>581900</v>
      </c>
      <c r="E18" s="36">
        <v>652900</v>
      </c>
      <c r="K18" s="48">
        <v>582644.6</v>
      </c>
    </row>
    <row r="19" spans="1:12">
      <c r="A19" s="35" t="s">
        <v>48</v>
      </c>
      <c r="B19">
        <v>1991</v>
      </c>
      <c r="C19" s="36">
        <v>676400</v>
      </c>
      <c r="E19" s="36">
        <v>494400</v>
      </c>
      <c r="K19" s="48">
        <v>676423.1</v>
      </c>
    </row>
    <row r="20" spans="1:12">
      <c r="A20" s="35" t="s">
        <v>49</v>
      </c>
      <c r="B20">
        <v>1991</v>
      </c>
      <c r="C20" s="36">
        <v>590000</v>
      </c>
      <c r="E20" s="36">
        <v>542900</v>
      </c>
      <c r="K20" s="48">
        <v>590003.30000000005</v>
      </c>
    </row>
    <row r="21" spans="1:12">
      <c r="A21" s="35" t="s">
        <v>50</v>
      </c>
      <c r="B21">
        <v>1991</v>
      </c>
      <c r="C21" s="36">
        <v>590400</v>
      </c>
      <c r="E21" s="36">
        <v>772100</v>
      </c>
      <c r="K21" s="48">
        <v>590360.30000000005</v>
      </c>
    </row>
    <row r="22" spans="1:12">
      <c r="A22" s="35" t="s">
        <v>51</v>
      </c>
      <c r="B22">
        <v>1991</v>
      </c>
      <c r="C22" s="36">
        <v>555400</v>
      </c>
      <c r="E22" s="36">
        <v>784000</v>
      </c>
      <c r="K22" s="48">
        <v>555391.69999999995</v>
      </c>
    </row>
    <row r="23" spans="1:12">
      <c r="A23" s="35" t="s">
        <v>52</v>
      </c>
      <c r="B23">
        <v>1991</v>
      </c>
      <c r="C23" s="36">
        <v>769000</v>
      </c>
      <c r="E23" s="36">
        <v>990000</v>
      </c>
      <c r="K23" s="48">
        <v>768971.9</v>
      </c>
    </row>
    <row r="24" spans="1:12">
      <c r="A24" s="35" t="s">
        <v>53</v>
      </c>
      <c r="B24">
        <v>1991</v>
      </c>
      <c r="C24" s="36">
        <v>799100</v>
      </c>
      <c r="E24" s="36">
        <v>967900</v>
      </c>
      <c r="K24" s="48">
        <v>799061.2</v>
      </c>
    </row>
    <row r="25" spans="1:12">
      <c r="A25" s="35" t="s">
        <v>54</v>
      </c>
      <c r="B25">
        <v>1991</v>
      </c>
      <c r="C25" s="36">
        <v>928600</v>
      </c>
      <c r="E25" s="36">
        <v>1011000</v>
      </c>
      <c r="K25" s="48">
        <v>928562</v>
      </c>
    </row>
    <row r="26" spans="1:12">
      <c r="A26" s="35" t="s">
        <v>55</v>
      </c>
      <c r="B26">
        <v>1991</v>
      </c>
      <c r="C26" s="36">
        <v>888600</v>
      </c>
      <c r="E26" s="36">
        <v>922300</v>
      </c>
      <c r="K26" s="48">
        <v>888595</v>
      </c>
    </row>
    <row r="27" spans="1:12">
      <c r="A27" s="35" t="s">
        <v>56</v>
      </c>
      <c r="B27">
        <v>1991</v>
      </c>
      <c r="C27" s="36">
        <v>790300</v>
      </c>
      <c r="D27" s="15">
        <f>SUM(C16:C27)</f>
        <v>8113300</v>
      </c>
      <c r="E27" s="36">
        <v>781800</v>
      </c>
      <c r="F27" s="15">
        <f>SUM(E16:E27)</f>
        <v>8961700</v>
      </c>
      <c r="K27" s="48">
        <v>790294.2</v>
      </c>
      <c r="L27" s="15">
        <f>SUM(K16:K27)</f>
        <v>8121401.5000000009</v>
      </c>
    </row>
    <row r="28" spans="1:12">
      <c r="A28" s="35" t="s">
        <v>45</v>
      </c>
      <c r="B28">
        <v>1991</v>
      </c>
      <c r="C28" s="36">
        <v>539600</v>
      </c>
      <c r="E28" s="36">
        <v>673800</v>
      </c>
      <c r="K28" s="48">
        <v>539623.1</v>
      </c>
    </row>
    <row r="29" spans="1:12">
      <c r="A29" s="35" t="s">
        <v>46</v>
      </c>
      <c r="B29">
        <v>1991</v>
      </c>
      <c r="C29" s="36">
        <v>576400</v>
      </c>
      <c r="E29" s="36">
        <v>534000</v>
      </c>
      <c r="K29" s="48">
        <v>576357</v>
      </c>
    </row>
    <row r="30" spans="1:12">
      <c r="A30" s="35" t="s">
        <v>47</v>
      </c>
      <c r="B30">
        <v>1991</v>
      </c>
      <c r="C30" s="36">
        <v>680600</v>
      </c>
      <c r="E30" s="36">
        <v>478300</v>
      </c>
      <c r="K30" s="48">
        <v>680548.8</v>
      </c>
    </row>
    <row r="31" spans="1:12">
      <c r="A31" s="35" t="s">
        <v>48</v>
      </c>
      <c r="B31">
        <v>1992</v>
      </c>
      <c r="C31" s="36">
        <v>784700</v>
      </c>
      <c r="E31" s="36">
        <v>301300</v>
      </c>
      <c r="K31" s="48">
        <v>784641.3</v>
      </c>
    </row>
    <row r="32" spans="1:12">
      <c r="A32" s="35" t="s">
        <v>49</v>
      </c>
      <c r="B32">
        <v>1992</v>
      </c>
      <c r="C32" s="36">
        <v>639100</v>
      </c>
      <c r="E32" s="36">
        <v>424900</v>
      </c>
      <c r="K32" s="48">
        <v>639054.5</v>
      </c>
    </row>
    <row r="33" spans="1:12">
      <c r="A33" s="35" t="s">
        <v>50</v>
      </c>
      <c r="B33">
        <v>1992</v>
      </c>
      <c r="C33" s="36">
        <v>593300</v>
      </c>
      <c r="E33" s="36">
        <v>612900</v>
      </c>
      <c r="K33" s="48">
        <v>593335.5</v>
      </c>
    </row>
    <row r="34" spans="1:12">
      <c r="A34" s="35" t="s">
        <v>51</v>
      </c>
      <c r="B34">
        <v>1992</v>
      </c>
      <c r="C34" s="36">
        <v>570700</v>
      </c>
      <c r="E34" s="36">
        <v>721300</v>
      </c>
      <c r="K34" s="48">
        <v>570664.5</v>
      </c>
    </row>
    <row r="35" spans="1:12">
      <c r="A35" s="35" t="s">
        <v>52</v>
      </c>
      <c r="B35">
        <v>1992</v>
      </c>
      <c r="C35" s="36">
        <v>584300</v>
      </c>
      <c r="E35" s="36">
        <v>930600</v>
      </c>
      <c r="K35" s="48">
        <v>584330.6</v>
      </c>
    </row>
    <row r="36" spans="1:12">
      <c r="A36" s="35" t="s">
        <v>53</v>
      </c>
      <c r="B36">
        <v>1992</v>
      </c>
      <c r="C36" s="36">
        <v>662800</v>
      </c>
      <c r="E36" s="36">
        <v>877000</v>
      </c>
      <c r="K36" s="48">
        <v>662796.69999999995</v>
      </c>
    </row>
    <row r="37" spans="1:12">
      <c r="A37" s="35" t="s">
        <v>54</v>
      </c>
      <c r="B37">
        <v>1992</v>
      </c>
      <c r="C37" s="36">
        <v>848700</v>
      </c>
      <c r="E37" s="36">
        <v>961100</v>
      </c>
      <c r="K37" s="48">
        <v>848727.3</v>
      </c>
    </row>
    <row r="38" spans="1:12">
      <c r="A38" s="35" t="s">
        <v>55</v>
      </c>
      <c r="B38">
        <v>1992</v>
      </c>
      <c r="C38" s="36">
        <v>838600</v>
      </c>
      <c r="E38" s="36">
        <v>898500</v>
      </c>
      <c r="K38" s="48">
        <v>838611.6</v>
      </c>
    </row>
    <row r="39" spans="1:12">
      <c r="A39" s="35" t="s">
        <v>56</v>
      </c>
      <c r="B39">
        <v>1992</v>
      </c>
      <c r="C39" s="36">
        <v>683200</v>
      </c>
      <c r="D39" s="15">
        <f>SUM(C28:C39)</f>
        <v>8002000</v>
      </c>
      <c r="E39" s="36">
        <v>593400</v>
      </c>
      <c r="F39" s="15">
        <f>SUM(E28:E39)</f>
        <v>8007100</v>
      </c>
      <c r="K39" s="48">
        <v>683206.6</v>
      </c>
      <c r="L39" s="15">
        <f>SUM(K28:K39)</f>
        <v>8001897.4999999991</v>
      </c>
    </row>
    <row r="40" spans="1:12">
      <c r="A40" s="35" t="s">
        <v>45</v>
      </c>
      <c r="B40">
        <v>1992</v>
      </c>
      <c r="C40" s="36">
        <v>515500</v>
      </c>
      <c r="E40" s="36">
        <v>512100</v>
      </c>
      <c r="K40" s="48">
        <v>535695.9</v>
      </c>
    </row>
    <row r="41" spans="1:12">
      <c r="A41" s="35" t="s">
        <v>46</v>
      </c>
      <c r="B41">
        <v>1992</v>
      </c>
      <c r="C41" s="36">
        <v>560800</v>
      </c>
      <c r="E41" s="36">
        <v>456900</v>
      </c>
      <c r="K41" s="48">
        <v>584013.19999999995</v>
      </c>
    </row>
    <row r="42" spans="1:12">
      <c r="A42" s="35" t="s">
        <v>47</v>
      </c>
      <c r="B42">
        <v>1992</v>
      </c>
      <c r="C42" s="36">
        <v>653600</v>
      </c>
      <c r="D42" s="15"/>
      <c r="E42" s="36">
        <v>537300</v>
      </c>
      <c r="F42" s="15"/>
      <c r="K42" s="48">
        <v>678724</v>
      </c>
      <c r="L42" s="15"/>
    </row>
    <row r="43" spans="1:12">
      <c r="A43" s="35" t="s">
        <v>48</v>
      </c>
      <c r="B43">
        <v>1993</v>
      </c>
      <c r="C43" s="36">
        <v>783900</v>
      </c>
      <c r="D43" s="15"/>
      <c r="E43" s="36">
        <v>284400</v>
      </c>
      <c r="F43" s="15"/>
      <c r="K43" s="48">
        <v>783867.8</v>
      </c>
      <c r="L43" s="15"/>
    </row>
    <row r="44" spans="1:12">
      <c r="A44" s="35" t="s">
        <v>49</v>
      </c>
      <c r="B44">
        <v>1993</v>
      </c>
      <c r="C44" s="36">
        <v>638600</v>
      </c>
      <c r="D44" s="15"/>
      <c r="E44" s="36">
        <v>61500</v>
      </c>
      <c r="F44" s="15"/>
      <c r="K44" s="48">
        <v>638578.5</v>
      </c>
      <c r="L44" s="15"/>
    </row>
    <row r="45" spans="1:12">
      <c r="A45" s="35" t="s">
        <v>50</v>
      </c>
      <c r="B45">
        <v>1993</v>
      </c>
      <c r="C45" s="36">
        <v>597700</v>
      </c>
      <c r="D45" s="15"/>
      <c r="E45" s="36">
        <v>336600</v>
      </c>
      <c r="F45" s="15"/>
      <c r="K45" s="48">
        <v>597669.19999999995</v>
      </c>
      <c r="L45" s="15"/>
    </row>
    <row r="46" spans="1:12">
      <c r="A46" s="35" t="s">
        <v>51</v>
      </c>
      <c r="B46">
        <v>1993</v>
      </c>
      <c r="C46" s="36">
        <v>592400</v>
      </c>
      <c r="D46" s="15"/>
      <c r="E46" s="36">
        <v>782400</v>
      </c>
      <c r="F46" s="15"/>
      <c r="K46" s="48">
        <v>592363.6</v>
      </c>
      <c r="L46" s="15"/>
    </row>
    <row r="47" spans="1:12">
      <c r="A47" s="35" t="s">
        <v>52</v>
      </c>
      <c r="B47">
        <v>1993</v>
      </c>
      <c r="C47" s="36">
        <v>592800</v>
      </c>
      <c r="D47" s="15"/>
      <c r="E47" s="36">
        <v>1061000</v>
      </c>
      <c r="F47" s="15"/>
      <c r="K47" s="48">
        <v>592819.80000000005</v>
      </c>
      <c r="L47" s="15"/>
    </row>
    <row r="48" spans="1:12">
      <c r="A48" s="35" t="s">
        <v>53</v>
      </c>
      <c r="B48">
        <v>1993</v>
      </c>
      <c r="C48" s="36">
        <v>613600</v>
      </c>
      <c r="D48" s="15"/>
      <c r="E48" s="36">
        <v>823400</v>
      </c>
      <c r="F48" s="15"/>
      <c r="K48" s="48">
        <v>613586.80000000005</v>
      </c>
      <c r="L48" s="15"/>
    </row>
    <row r="49" spans="1:12">
      <c r="A49" s="35" t="s">
        <v>54</v>
      </c>
      <c r="B49">
        <v>1993</v>
      </c>
      <c r="C49" s="36">
        <v>896300</v>
      </c>
      <c r="D49" s="15"/>
      <c r="E49" s="36">
        <v>929500</v>
      </c>
      <c r="F49" s="15"/>
      <c r="K49" s="48">
        <v>896330.6</v>
      </c>
      <c r="L49" s="15"/>
    </row>
    <row r="50" spans="1:12">
      <c r="A50" s="35" t="s">
        <v>55</v>
      </c>
      <c r="B50">
        <v>1993</v>
      </c>
      <c r="C50" s="36">
        <v>927700</v>
      </c>
      <c r="D50" s="15"/>
      <c r="E50" s="36">
        <v>712100</v>
      </c>
      <c r="F50" s="15"/>
      <c r="K50" s="48">
        <v>927669.4</v>
      </c>
      <c r="L50" s="15"/>
    </row>
    <row r="51" spans="1:12">
      <c r="A51" s="35" t="s">
        <v>56</v>
      </c>
      <c r="B51">
        <v>1993</v>
      </c>
      <c r="C51" s="36">
        <v>661200</v>
      </c>
      <c r="D51" s="15">
        <f>SUM(C40:C51)</f>
        <v>8034100</v>
      </c>
      <c r="E51" s="36">
        <v>516300</v>
      </c>
      <c r="F51" s="15">
        <f>SUM(E40:E51)</f>
        <v>7013500</v>
      </c>
      <c r="K51" s="48">
        <v>661150.4</v>
      </c>
      <c r="L51" s="15">
        <f>SUM(K40:K51)</f>
        <v>8102469.2000000002</v>
      </c>
    </row>
    <row r="52" spans="1:12">
      <c r="A52" s="35" t="s">
        <v>45</v>
      </c>
      <c r="B52">
        <v>1993</v>
      </c>
      <c r="C52" s="36">
        <v>532700</v>
      </c>
      <c r="D52" s="15"/>
      <c r="E52" s="36">
        <v>663200</v>
      </c>
      <c r="F52" s="15"/>
      <c r="K52" s="48">
        <v>532720.69999999995</v>
      </c>
      <c r="L52" s="15"/>
    </row>
    <row r="53" spans="1:12">
      <c r="A53" s="35" t="s">
        <v>46</v>
      </c>
      <c r="B53">
        <v>1993</v>
      </c>
      <c r="C53" s="36">
        <v>613800</v>
      </c>
      <c r="D53" s="15"/>
      <c r="E53" s="36">
        <v>533800</v>
      </c>
      <c r="F53" s="15"/>
      <c r="K53" s="48">
        <v>613824.80000000005</v>
      </c>
      <c r="L53" s="15"/>
    </row>
    <row r="54" spans="1:12">
      <c r="A54" s="35" t="s">
        <v>47</v>
      </c>
      <c r="B54">
        <v>1993</v>
      </c>
      <c r="C54" s="36">
        <v>795800</v>
      </c>
      <c r="D54" s="15"/>
      <c r="E54" s="36">
        <v>740700</v>
      </c>
      <c r="F54" s="15"/>
      <c r="K54" s="48">
        <v>795768.6</v>
      </c>
      <c r="L54" s="15"/>
    </row>
    <row r="55" spans="1:12">
      <c r="A55" s="35" t="s">
        <v>48</v>
      </c>
      <c r="B55">
        <v>1994</v>
      </c>
      <c r="C55" s="36">
        <v>800600</v>
      </c>
      <c r="D55" s="15"/>
      <c r="E55" s="36">
        <v>612300</v>
      </c>
      <c r="F55" s="15"/>
      <c r="K55" s="48">
        <v>800548.8</v>
      </c>
      <c r="L55" s="15"/>
    </row>
    <row r="56" spans="1:12">
      <c r="A56" s="35" t="s">
        <v>49</v>
      </c>
      <c r="B56">
        <v>1994</v>
      </c>
      <c r="C56" s="36">
        <v>693800</v>
      </c>
      <c r="D56" s="15"/>
      <c r="E56" s="36">
        <v>581800</v>
      </c>
      <c r="F56" s="15"/>
      <c r="K56" s="48">
        <v>693778.5</v>
      </c>
      <c r="L56" s="15"/>
    </row>
    <row r="57" spans="1:12">
      <c r="A57" s="35" t="s">
        <v>50</v>
      </c>
      <c r="B57">
        <v>1994</v>
      </c>
      <c r="C57" s="36">
        <v>619200</v>
      </c>
      <c r="D57" s="15"/>
      <c r="E57" s="36">
        <v>1003000</v>
      </c>
      <c r="F57" s="15"/>
      <c r="K57" s="48">
        <v>619239.69999999995</v>
      </c>
      <c r="L57" s="15"/>
    </row>
    <row r="58" spans="1:12">
      <c r="A58" s="35" t="s">
        <v>51</v>
      </c>
      <c r="B58">
        <v>1994</v>
      </c>
      <c r="C58" s="36">
        <v>626000</v>
      </c>
      <c r="D58" s="15"/>
      <c r="E58" s="36">
        <v>1102000</v>
      </c>
      <c r="F58" s="15"/>
      <c r="K58" s="48">
        <v>626023.1</v>
      </c>
      <c r="L58" s="15"/>
    </row>
    <row r="59" spans="1:12">
      <c r="A59" s="35" t="s">
        <v>52</v>
      </c>
      <c r="B59">
        <v>1994</v>
      </c>
      <c r="C59" s="36">
        <v>611400</v>
      </c>
      <c r="D59" s="15"/>
      <c r="E59" s="36">
        <v>1036000</v>
      </c>
      <c r="F59" s="15"/>
      <c r="K59" s="48">
        <v>611365.30000000005</v>
      </c>
      <c r="L59" s="15"/>
    </row>
    <row r="60" spans="1:12">
      <c r="A60" s="35" t="s">
        <v>53</v>
      </c>
      <c r="B60">
        <v>1994</v>
      </c>
      <c r="C60" s="36">
        <v>632500</v>
      </c>
      <c r="D60" s="15"/>
      <c r="E60" s="36">
        <v>832500</v>
      </c>
      <c r="F60" s="15"/>
      <c r="K60" s="48">
        <v>632509.1</v>
      </c>
      <c r="L60" s="15"/>
    </row>
    <row r="61" spans="1:12">
      <c r="A61" s="35" t="s">
        <v>54</v>
      </c>
      <c r="B61">
        <v>1994</v>
      </c>
      <c r="C61" s="36">
        <v>854900</v>
      </c>
      <c r="D61" s="15"/>
      <c r="E61" s="36">
        <v>831200</v>
      </c>
      <c r="F61" s="15"/>
      <c r="K61" s="48">
        <v>854876</v>
      </c>
      <c r="L61" s="15"/>
    </row>
    <row r="62" spans="1:12">
      <c r="A62" s="35" t="s">
        <v>55</v>
      </c>
      <c r="B62">
        <v>1994</v>
      </c>
      <c r="C62" s="36">
        <v>873500</v>
      </c>
      <c r="D62" s="15"/>
      <c r="E62" s="36">
        <v>896600</v>
      </c>
      <c r="F62" s="15"/>
      <c r="K62" s="48">
        <v>873520.7</v>
      </c>
      <c r="L62" s="15"/>
    </row>
    <row r="63" spans="1:12">
      <c r="A63" s="35" t="s">
        <v>56</v>
      </c>
      <c r="B63">
        <v>1994</v>
      </c>
      <c r="C63" s="36">
        <v>634400</v>
      </c>
      <c r="D63" s="15">
        <f>SUM(C52:C63)</f>
        <v>8288600</v>
      </c>
      <c r="E63" s="36">
        <v>576400</v>
      </c>
      <c r="F63" s="15">
        <f>SUM(E52:E63)</f>
        <v>9409500</v>
      </c>
      <c r="K63" s="48">
        <v>634353.69999999995</v>
      </c>
      <c r="L63" s="15">
        <f>SUM(K52:K63)</f>
        <v>8288529</v>
      </c>
    </row>
    <row r="64" spans="1:12">
      <c r="A64" s="35" t="s">
        <v>45</v>
      </c>
      <c r="B64">
        <v>1994</v>
      </c>
      <c r="C64" s="36">
        <v>516400</v>
      </c>
      <c r="D64" s="15"/>
      <c r="E64" s="36">
        <v>558300</v>
      </c>
      <c r="F64" s="15"/>
      <c r="K64" s="48">
        <v>502452.9</v>
      </c>
      <c r="L64" s="15"/>
    </row>
    <row r="65" spans="1:12">
      <c r="A65" s="35" t="s">
        <v>46</v>
      </c>
      <c r="B65">
        <v>1994</v>
      </c>
      <c r="C65" s="36">
        <v>520000</v>
      </c>
      <c r="D65" s="15"/>
      <c r="E65" s="36">
        <v>730100</v>
      </c>
      <c r="F65" s="15"/>
      <c r="K65" s="48">
        <v>502770.2</v>
      </c>
      <c r="L65" s="15"/>
    </row>
    <row r="66" spans="1:12">
      <c r="A66" s="35" t="s">
        <v>47</v>
      </c>
      <c r="B66">
        <v>1994</v>
      </c>
      <c r="C66" s="36">
        <v>684500</v>
      </c>
      <c r="D66" s="15"/>
      <c r="E66" s="36">
        <v>591700</v>
      </c>
      <c r="F66" s="15"/>
      <c r="K66" s="48">
        <v>680628.1</v>
      </c>
      <c r="L66" s="15"/>
    </row>
    <row r="67" spans="1:12">
      <c r="A67" s="35" t="s">
        <v>48</v>
      </c>
      <c r="B67">
        <v>1995</v>
      </c>
      <c r="C67" s="36">
        <v>756400</v>
      </c>
      <c r="D67" s="15"/>
      <c r="E67" s="36">
        <v>344200</v>
      </c>
      <c r="F67" s="15"/>
      <c r="K67" s="48">
        <v>756416.5</v>
      </c>
      <c r="L67" s="15"/>
    </row>
    <row r="68" spans="1:12">
      <c r="A68" s="35" t="s">
        <v>49</v>
      </c>
      <c r="B68">
        <v>1995</v>
      </c>
      <c r="C68" s="36">
        <v>654300</v>
      </c>
      <c r="D68" s="15"/>
      <c r="E68" s="36">
        <v>454900</v>
      </c>
      <c r="F68" s="15"/>
      <c r="K68" s="48">
        <v>654247.9</v>
      </c>
      <c r="L68" s="15"/>
    </row>
    <row r="69" spans="1:12">
      <c r="A69" s="35" t="s">
        <v>50</v>
      </c>
      <c r="B69">
        <v>1995</v>
      </c>
      <c r="C69" s="36">
        <v>604600</v>
      </c>
      <c r="D69" s="15"/>
      <c r="E69" s="36">
        <v>899600</v>
      </c>
      <c r="F69" s="15"/>
      <c r="K69" s="48">
        <v>604542.1</v>
      </c>
      <c r="L69" s="15"/>
    </row>
    <row r="70" spans="1:12">
      <c r="A70" s="35" t="s">
        <v>51</v>
      </c>
      <c r="B70">
        <v>1995</v>
      </c>
      <c r="C70" s="36">
        <v>633500</v>
      </c>
      <c r="D70" s="15"/>
      <c r="E70" s="36">
        <v>996300</v>
      </c>
      <c r="F70" s="15"/>
      <c r="K70" s="48">
        <v>633441.30000000005</v>
      </c>
      <c r="L70" s="15"/>
    </row>
    <row r="71" spans="1:12">
      <c r="A71" s="35" t="s">
        <v>52</v>
      </c>
      <c r="B71">
        <v>1995</v>
      </c>
      <c r="C71" s="36">
        <v>625000</v>
      </c>
      <c r="D71" s="15"/>
      <c r="E71" s="36">
        <v>873400</v>
      </c>
      <c r="F71" s="15"/>
      <c r="K71" s="48">
        <v>624971.9</v>
      </c>
      <c r="L71" s="15"/>
    </row>
    <row r="72" spans="1:12">
      <c r="A72" s="35" t="s">
        <v>53</v>
      </c>
      <c r="B72">
        <v>1995</v>
      </c>
      <c r="C72" s="36">
        <v>981600</v>
      </c>
      <c r="D72" s="15"/>
      <c r="E72" s="36">
        <v>863800</v>
      </c>
      <c r="F72" s="15"/>
      <c r="K72" s="48">
        <v>981620</v>
      </c>
      <c r="L72" s="15"/>
    </row>
    <row r="73" spans="1:12">
      <c r="A73" s="35" t="s">
        <v>54</v>
      </c>
      <c r="B73">
        <v>1995</v>
      </c>
      <c r="C73" s="36">
        <v>1074000</v>
      </c>
      <c r="D73" s="15"/>
      <c r="E73" s="36">
        <v>806700</v>
      </c>
      <c r="F73" s="15"/>
      <c r="K73" s="48">
        <v>1074050</v>
      </c>
      <c r="L73" s="15"/>
    </row>
    <row r="74" spans="1:12">
      <c r="A74" s="35" t="s">
        <v>55</v>
      </c>
      <c r="B74">
        <v>1995</v>
      </c>
      <c r="C74" s="36">
        <v>1123000</v>
      </c>
      <c r="D74" s="15"/>
      <c r="E74" s="36">
        <v>957600</v>
      </c>
      <c r="F74" s="15"/>
      <c r="K74" s="48">
        <v>1123041</v>
      </c>
      <c r="L74" s="15"/>
    </row>
    <row r="75" spans="1:12">
      <c r="A75" s="35" t="s">
        <v>56</v>
      </c>
      <c r="B75">
        <v>1995</v>
      </c>
      <c r="C75" s="36">
        <v>1085000</v>
      </c>
      <c r="D75" s="15">
        <f>SUM(C64:C75)</f>
        <v>9258300</v>
      </c>
      <c r="E75" s="36">
        <v>677000</v>
      </c>
      <c r="F75" s="15">
        <f>SUM(E64:E75)</f>
        <v>8753600</v>
      </c>
      <c r="K75" s="48">
        <v>1085157</v>
      </c>
      <c r="L75" s="15">
        <f>SUM(K64:K75)</f>
        <v>9223338.9000000004</v>
      </c>
    </row>
    <row r="76" spans="1:12">
      <c r="A76" s="35" t="s">
        <v>45</v>
      </c>
      <c r="B76">
        <v>1995</v>
      </c>
      <c r="C76" s="36">
        <v>906500</v>
      </c>
      <c r="D76" s="15"/>
      <c r="E76" s="36">
        <v>612300</v>
      </c>
      <c r="F76" s="15"/>
      <c r="K76" s="48">
        <v>906446.3</v>
      </c>
      <c r="L76" s="15"/>
    </row>
    <row r="77" spans="1:12">
      <c r="A77" s="35" t="s">
        <v>46</v>
      </c>
      <c r="B77">
        <v>1995</v>
      </c>
      <c r="C77" s="36">
        <v>856100</v>
      </c>
      <c r="D77" s="15"/>
      <c r="E77" s="36">
        <v>333900</v>
      </c>
      <c r="F77" s="15"/>
      <c r="K77" s="48">
        <v>855867.8</v>
      </c>
      <c r="L77" s="15"/>
    </row>
    <row r="78" spans="1:12">
      <c r="A78" s="35" t="s">
        <v>47</v>
      </c>
      <c r="B78">
        <v>1995</v>
      </c>
      <c r="C78" s="36">
        <v>905500</v>
      </c>
      <c r="D78" s="15"/>
      <c r="E78" s="36">
        <v>725200</v>
      </c>
      <c r="F78" s="15"/>
      <c r="K78" s="48">
        <v>905454.5</v>
      </c>
      <c r="L78" s="15"/>
    </row>
    <row r="79" spans="1:12">
      <c r="A79" s="35" t="s">
        <v>48</v>
      </c>
      <c r="B79">
        <v>1996</v>
      </c>
      <c r="C79" s="36">
        <v>974900</v>
      </c>
      <c r="D79" s="15"/>
      <c r="E79" s="36">
        <v>594600</v>
      </c>
      <c r="F79" s="15"/>
      <c r="K79" s="48">
        <v>974876</v>
      </c>
      <c r="L79" s="15"/>
    </row>
    <row r="80" spans="1:12">
      <c r="A80" s="35" t="s">
        <v>49</v>
      </c>
      <c r="B80">
        <v>1996</v>
      </c>
      <c r="C80" s="36">
        <v>822600</v>
      </c>
      <c r="D80" s="15"/>
      <c r="E80" s="36">
        <v>766400</v>
      </c>
      <c r="F80" s="15"/>
      <c r="K80" s="48">
        <v>822743.8</v>
      </c>
      <c r="L80" s="15"/>
    </row>
    <row r="81" spans="1:12">
      <c r="A81" s="35" t="s">
        <v>50</v>
      </c>
      <c r="B81">
        <v>1996</v>
      </c>
      <c r="C81" s="36">
        <v>1133000</v>
      </c>
      <c r="D81" s="15"/>
      <c r="E81" s="36">
        <v>1013000</v>
      </c>
      <c r="F81" s="15"/>
      <c r="K81" s="48">
        <v>1132602</v>
      </c>
      <c r="L81" s="15"/>
    </row>
    <row r="82" spans="1:12">
      <c r="A82" s="35" t="s">
        <v>51</v>
      </c>
      <c r="B82">
        <v>1996</v>
      </c>
      <c r="C82" s="36">
        <v>1112000</v>
      </c>
      <c r="D82" s="15"/>
      <c r="E82" s="36">
        <v>1303000</v>
      </c>
      <c r="F82" s="15"/>
      <c r="K82" s="48">
        <v>1111874</v>
      </c>
      <c r="L82" s="15"/>
    </row>
    <row r="83" spans="1:12">
      <c r="A83" s="35" t="s">
        <v>52</v>
      </c>
      <c r="B83">
        <v>1996</v>
      </c>
      <c r="C83" s="36">
        <v>1047000</v>
      </c>
      <c r="D83" s="15"/>
      <c r="E83" s="36">
        <v>1197000</v>
      </c>
      <c r="F83" s="15"/>
      <c r="K83" s="48">
        <v>1046678</v>
      </c>
      <c r="L83" s="15"/>
    </row>
    <row r="84" spans="1:12">
      <c r="A84" s="35" t="s">
        <v>53</v>
      </c>
      <c r="B84">
        <v>1996</v>
      </c>
      <c r="C84" s="36">
        <v>1045000</v>
      </c>
      <c r="D84" s="15"/>
      <c r="E84" s="36">
        <v>1061000</v>
      </c>
      <c r="F84" s="15"/>
      <c r="K84" s="48">
        <v>1044893</v>
      </c>
      <c r="L84" s="15"/>
    </row>
    <row r="85" spans="1:12">
      <c r="A85" s="35" t="s">
        <v>54</v>
      </c>
      <c r="B85">
        <v>1996</v>
      </c>
      <c r="C85" s="36">
        <v>987600</v>
      </c>
      <c r="D85" s="15"/>
      <c r="E85" s="36">
        <v>966600</v>
      </c>
      <c r="F85" s="15"/>
      <c r="K85" s="48">
        <v>987570</v>
      </c>
      <c r="L85" s="15"/>
    </row>
    <row r="86" spans="1:12">
      <c r="A86" s="35" t="s">
        <v>55</v>
      </c>
      <c r="B86">
        <v>1996</v>
      </c>
      <c r="C86" s="36">
        <v>910700</v>
      </c>
      <c r="D86" s="15"/>
      <c r="E86" s="36">
        <v>873700</v>
      </c>
      <c r="F86" s="15"/>
      <c r="K86" s="48">
        <v>910671.1</v>
      </c>
      <c r="L86" s="15"/>
    </row>
    <row r="87" spans="1:12">
      <c r="A87" s="35" t="s">
        <v>56</v>
      </c>
      <c r="B87">
        <v>1996</v>
      </c>
      <c r="C87" s="36">
        <v>822500</v>
      </c>
      <c r="D87" s="15">
        <f>SUM(C76:C87)</f>
        <v>11523400</v>
      </c>
      <c r="E87" s="36">
        <v>634600</v>
      </c>
      <c r="F87" s="15">
        <f>SUM(E76:E87)</f>
        <v>10081300</v>
      </c>
      <c r="K87" s="48">
        <v>822466.1</v>
      </c>
      <c r="L87" s="15">
        <f>SUM(K76:K87)</f>
        <v>11522142.6</v>
      </c>
    </row>
    <row r="88" spans="1:12">
      <c r="A88" s="35" t="s">
        <v>45</v>
      </c>
      <c r="B88">
        <v>1996</v>
      </c>
      <c r="C88" s="36">
        <v>663100</v>
      </c>
      <c r="D88" s="15"/>
      <c r="E88" s="36">
        <v>499700</v>
      </c>
      <c r="F88" s="15"/>
      <c r="K88" s="48">
        <v>666307.4</v>
      </c>
      <c r="L88" s="15"/>
    </row>
    <row r="89" spans="1:12">
      <c r="A89" s="35" t="s">
        <v>46</v>
      </c>
      <c r="B89">
        <v>1996</v>
      </c>
      <c r="C89" s="36">
        <v>623800</v>
      </c>
      <c r="D89" s="15"/>
      <c r="E89" s="36">
        <v>448500</v>
      </c>
      <c r="F89" s="15"/>
      <c r="K89" s="48">
        <v>633044.6</v>
      </c>
      <c r="L89" s="15"/>
    </row>
    <row r="90" spans="1:12">
      <c r="A90" s="35" t="s">
        <v>47</v>
      </c>
      <c r="B90">
        <v>1996</v>
      </c>
      <c r="C90" s="36">
        <v>882900</v>
      </c>
      <c r="D90" s="15"/>
      <c r="E90" s="36">
        <v>614000</v>
      </c>
      <c r="F90" s="15"/>
      <c r="K90" s="48">
        <v>906644.6</v>
      </c>
      <c r="L90" s="15"/>
    </row>
    <row r="91" spans="1:12">
      <c r="A91" s="35" t="s">
        <v>48</v>
      </c>
      <c r="B91">
        <v>1997</v>
      </c>
      <c r="C91" s="36">
        <v>1072000</v>
      </c>
      <c r="D91" s="15"/>
      <c r="E91" s="36">
        <v>883800</v>
      </c>
      <c r="F91" s="15"/>
      <c r="K91" s="48">
        <v>1072463</v>
      </c>
      <c r="L91" s="15"/>
    </row>
    <row r="92" spans="1:12">
      <c r="A92" s="35" t="s">
        <v>49</v>
      </c>
      <c r="B92">
        <v>1997</v>
      </c>
      <c r="C92" s="36">
        <v>1238000</v>
      </c>
      <c r="D92" s="15"/>
      <c r="E92" s="36">
        <v>1051000</v>
      </c>
      <c r="F92" s="15"/>
      <c r="K92" s="48">
        <v>1241006</v>
      </c>
      <c r="L92" s="15"/>
    </row>
    <row r="93" spans="1:12">
      <c r="A93" s="35" t="s">
        <v>50</v>
      </c>
      <c r="B93">
        <v>1997</v>
      </c>
      <c r="C93" s="36">
        <v>1532000</v>
      </c>
      <c r="D93" s="15"/>
      <c r="E93" s="36">
        <v>1173000</v>
      </c>
      <c r="F93" s="15"/>
      <c r="K93" s="48">
        <v>1537194</v>
      </c>
      <c r="L93" s="15"/>
    </row>
    <row r="94" spans="1:12">
      <c r="A94" s="35" t="s">
        <v>51</v>
      </c>
      <c r="B94">
        <v>1997</v>
      </c>
      <c r="C94" s="36">
        <v>1302000</v>
      </c>
      <c r="D94" s="15"/>
      <c r="E94" s="36">
        <v>1150000</v>
      </c>
      <c r="K94" s="48">
        <v>1295308</v>
      </c>
      <c r="L94" s="15"/>
    </row>
    <row r="95" spans="1:12">
      <c r="A95" s="35" t="s">
        <v>52</v>
      </c>
      <c r="B95">
        <v>1997</v>
      </c>
      <c r="C95" s="36">
        <v>1290000</v>
      </c>
      <c r="D95" s="15"/>
      <c r="E95" s="36">
        <v>1237000</v>
      </c>
      <c r="K95" s="48">
        <v>1281789</v>
      </c>
      <c r="L95" s="15"/>
    </row>
    <row r="96" spans="1:12">
      <c r="A96" s="35" t="s">
        <v>53</v>
      </c>
      <c r="B96">
        <v>1997</v>
      </c>
      <c r="C96" s="36">
        <v>1485000</v>
      </c>
      <c r="D96" s="15"/>
      <c r="E96" s="36">
        <v>1010000</v>
      </c>
      <c r="K96" s="48">
        <v>1486215</v>
      </c>
      <c r="L96" s="15"/>
    </row>
    <row r="97" spans="1:12">
      <c r="A97" s="35" t="s">
        <v>54</v>
      </c>
      <c r="B97">
        <v>1997</v>
      </c>
      <c r="C97" s="36">
        <v>1322000</v>
      </c>
      <c r="D97" s="15"/>
      <c r="E97" s="36">
        <v>1068000</v>
      </c>
      <c r="K97" s="48">
        <v>1251023</v>
      </c>
      <c r="L97" s="15"/>
    </row>
    <row r="98" spans="1:12">
      <c r="A98" s="35" t="s">
        <v>55</v>
      </c>
      <c r="B98">
        <v>1997</v>
      </c>
      <c r="C98" s="36">
        <v>1261000</v>
      </c>
      <c r="D98" s="15"/>
      <c r="E98" s="36">
        <v>1097000</v>
      </c>
      <c r="K98" s="48">
        <v>1142163</v>
      </c>
      <c r="L98" s="15"/>
    </row>
    <row r="99" spans="1:12">
      <c r="A99" s="35" t="s">
        <v>56</v>
      </c>
      <c r="B99">
        <v>1997</v>
      </c>
      <c r="C99" s="36">
        <v>1136000</v>
      </c>
      <c r="D99" s="15">
        <f>SUM(C88:C99)</f>
        <v>13807800</v>
      </c>
      <c r="E99" s="36">
        <v>914200</v>
      </c>
      <c r="F99" s="15">
        <f>SUM(E88:E99)</f>
        <v>11146200</v>
      </c>
      <c r="K99" s="48">
        <v>1212968</v>
      </c>
      <c r="L99" s="15">
        <f>SUM(K88:K99)</f>
        <v>13726125.6</v>
      </c>
    </row>
    <row r="100" spans="1:12">
      <c r="A100" s="35" t="s">
        <v>45</v>
      </c>
      <c r="B100">
        <v>1997</v>
      </c>
      <c r="C100" s="36">
        <v>1179000</v>
      </c>
      <c r="D100" s="15"/>
      <c r="E100" s="36">
        <v>523300</v>
      </c>
      <c r="K100" s="48">
        <v>1204652</v>
      </c>
      <c r="L100" s="15"/>
    </row>
    <row r="101" spans="1:12">
      <c r="A101" s="35" t="s">
        <v>46</v>
      </c>
      <c r="B101">
        <v>1997</v>
      </c>
      <c r="C101" s="36">
        <v>1190000</v>
      </c>
      <c r="D101" s="15"/>
      <c r="E101" s="36">
        <v>675500</v>
      </c>
      <c r="K101" s="48">
        <v>1212968</v>
      </c>
      <c r="L101" s="15"/>
    </row>
    <row r="102" spans="1:12">
      <c r="A102" s="35" t="s">
        <v>47</v>
      </c>
      <c r="B102">
        <v>1997</v>
      </c>
      <c r="C102" s="36">
        <v>1239000</v>
      </c>
      <c r="D102" s="15"/>
      <c r="E102" s="36">
        <v>886300</v>
      </c>
      <c r="F102" s="15"/>
      <c r="K102" s="48">
        <v>1254123</v>
      </c>
      <c r="L102" s="15"/>
    </row>
    <row r="103" spans="1:12">
      <c r="A103" s="35" t="s">
        <v>48</v>
      </c>
      <c r="B103">
        <v>1998</v>
      </c>
      <c r="C103" s="36">
        <v>1186000</v>
      </c>
      <c r="D103" s="15"/>
      <c r="E103" s="36">
        <v>1229000</v>
      </c>
      <c r="F103" s="15"/>
      <c r="K103" s="48">
        <v>1198576</v>
      </c>
      <c r="L103" s="15"/>
    </row>
    <row r="104" spans="1:12">
      <c r="A104" s="35" t="s">
        <v>49</v>
      </c>
      <c r="B104">
        <v>1998</v>
      </c>
      <c r="C104" s="36">
        <v>1081000</v>
      </c>
      <c r="D104" s="15"/>
      <c r="E104" s="36">
        <v>1179000</v>
      </c>
      <c r="F104" s="15"/>
      <c r="K104" s="48">
        <v>1091148</v>
      </c>
      <c r="L104" s="15"/>
    </row>
    <row r="105" spans="1:12">
      <c r="A105" s="35" t="s">
        <v>50</v>
      </c>
      <c r="B105">
        <v>1998</v>
      </c>
      <c r="C105" s="36">
        <v>1182000</v>
      </c>
      <c r="D105" s="15"/>
      <c r="E105" s="36">
        <v>1208000</v>
      </c>
      <c r="F105" s="15"/>
      <c r="K105" s="48">
        <v>1197422</v>
      </c>
      <c r="L105" s="15"/>
    </row>
    <row r="106" spans="1:12">
      <c r="A106" s="35" t="s">
        <v>51</v>
      </c>
      <c r="B106">
        <v>1998</v>
      </c>
      <c r="C106" s="36">
        <v>797000</v>
      </c>
      <c r="D106" s="15"/>
      <c r="E106" s="36">
        <v>1121000</v>
      </c>
      <c r="F106" s="15"/>
      <c r="K106" s="48">
        <v>798954.3</v>
      </c>
      <c r="L106" s="15"/>
    </row>
    <row r="107" spans="1:12">
      <c r="A107" s="35" t="s">
        <v>52</v>
      </c>
      <c r="B107">
        <v>1998</v>
      </c>
      <c r="C107" s="36">
        <v>898000</v>
      </c>
      <c r="D107" s="15"/>
      <c r="E107" s="36">
        <v>1135000</v>
      </c>
      <c r="F107" s="15"/>
      <c r="K107" s="48">
        <v>902894.8</v>
      </c>
      <c r="L107" s="15"/>
    </row>
    <row r="108" spans="1:12">
      <c r="A108" s="35" t="s">
        <v>53</v>
      </c>
      <c r="B108">
        <v>1998</v>
      </c>
      <c r="C108" s="36">
        <v>1073000</v>
      </c>
      <c r="D108" s="15"/>
      <c r="E108" s="36">
        <v>987000</v>
      </c>
      <c r="F108" s="15"/>
      <c r="K108" s="48">
        <v>1096508</v>
      </c>
      <c r="L108" s="15"/>
    </row>
    <row r="109" spans="1:12">
      <c r="A109" s="35" t="s">
        <v>54</v>
      </c>
      <c r="B109">
        <v>1998</v>
      </c>
      <c r="C109" s="36">
        <v>1236000</v>
      </c>
      <c r="D109" s="15"/>
      <c r="E109" s="36">
        <v>1121000</v>
      </c>
      <c r="F109" s="15"/>
      <c r="K109" s="48">
        <v>1248576</v>
      </c>
      <c r="L109" s="15"/>
    </row>
    <row r="110" spans="1:12">
      <c r="A110" s="35" t="s">
        <v>55</v>
      </c>
      <c r="B110">
        <v>1998</v>
      </c>
      <c r="C110" s="36">
        <v>1296000</v>
      </c>
      <c r="D110" s="15"/>
      <c r="E110" s="36">
        <v>934000</v>
      </c>
      <c r="F110" s="15"/>
      <c r="K110" s="48">
        <v>1288953</v>
      </c>
      <c r="L110" s="15"/>
    </row>
    <row r="111" spans="1:12">
      <c r="A111" s="35" t="s">
        <v>56</v>
      </c>
      <c r="B111">
        <v>1998</v>
      </c>
      <c r="C111" s="36">
        <v>1035000</v>
      </c>
      <c r="D111" s="15">
        <f>SUM(C100:C111)</f>
        <v>13392000</v>
      </c>
      <c r="E111" s="36">
        <v>962000</v>
      </c>
      <c r="F111" s="15">
        <f>SUM(E100:E111)</f>
        <v>11961100</v>
      </c>
      <c r="K111" s="48">
        <v>1015061</v>
      </c>
      <c r="L111" s="15">
        <f>SUM(K100:K111)</f>
        <v>13509836.1</v>
      </c>
    </row>
    <row r="112" spans="1:12">
      <c r="A112" s="35" t="s">
        <v>45</v>
      </c>
      <c r="B112">
        <v>1998</v>
      </c>
      <c r="C112" s="36">
        <v>932000</v>
      </c>
      <c r="D112" s="15"/>
      <c r="E112" s="36">
        <v>721000</v>
      </c>
      <c r="F112" s="15"/>
      <c r="K112" s="48">
        <v>902314.8</v>
      </c>
      <c r="L112" s="15"/>
    </row>
    <row r="113" spans="1:12">
      <c r="A113" s="35" t="s">
        <v>46</v>
      </c>
      <c r="B113">
        <v>1998</v>
      </c>
      <c r="C113" s="36">
        <v>820000</v>
      </c>
      <c r="D113" s="15"/>
      <c r="E113" s="36">
        <v>951000</v>
      </c>
      <c r="F113" s="15"/>
      <c r="K113" s="48">
        <v>805035.3</v>
      </c>
      <c r="L113" s="15"/>
    </row>
    <row r="114" spans="1:12">
      <c r="A114" s="35" t="s">
        <v>47</v>
      </c>
      <c r="B114">
        <v>1998</v>
      </c>
      <c r="C114" s="36">
        <v>921000</v>
      </c>
      <c r="D114" s="15"/>
      <c r="E114" s="36">
        <v>1227000</v>
      </c>
      <c r="F114" s="15"/>
      <c r="K114" s="48">
        <v>908923.7</v>
      </c>
      <c r="L114" s="15"/>
    </row>
    <row r="115" spans="1:12">
      <c r="A115" s="35" t="s">
        <v>48</v>
      </c>
      <c r="B115">
        <v>1999</v>
      </c>
      <c r="C115" s="36">
        <v>909000</v>
      </c>
      <c r="D115" s="15"/>
      <c r="E115" s="36">
        <v>851000</v>
      </c>
      <c r="F115" s="15"/>
      <c r="K115" s="48">
        <v>898857.9</v>
      </c>
      <c r="L115" s="15"/>
    </row>
    <row r="116" spans="1:12">
      <c r="A116" s="35" t="s">
        <v>49</v>
      </c>
      <c r="B116">
        <v>1999</v>
      </c>
      <c r="C116" s="36">
        <v>808000</v>
      </c>
      <c r="D116" s="15"/>
      <c r="E116" s="36">
        <v>733000</v>
      </c>
      <c r="F116" s="15"/>
      <c r="K116" s="48">
        <v>801387.3</v>
      </c>
      <c r="L116" s="15"/>
    </row>
    <row r="117" spans="1:12">
      <c r="A117" s="35" t="s">
        <v>50</v>
      </c>
      <c r="B117">
        <v>1999</v>
      </c>
      <c r="C117" s="36">
        <v>819000</v>
      </c>
      <c r="D117" s="15"/>
      <c r="E117" s="36">
        <v>1011000</v>
      </c>
      <c r="F117" s="15"/>
      <c r="K117" s="48">
        <v>782850.6</v>
      </c>
      <c r="L117" s="15"/>
    </row>
    <row r="118" spans="1:12">
      <c r="A118" s="35" t="s">
        <v>51</v>
      </c>
      <c r="B118">
        <v>1999</v>
      </c>
      <c r="C118" s="36">
        <v>727000</v>
      </c>
      <c r="D118" s="15"/>
      <c r="E118" s="36">
        <v>1088000</v>
      </c>
      <c r="F118" s="15"/>
      <c r="K118" s="48">
        <v>707394.7</v>
      </c>
      <c r="L118" s="15"/>
    </row>
    <row r="119" spans="1:12">
      <c r="A119" s="35" t="s">
        <v>52</v>
      </c>
      <c r="B119">
        <v>1999</v>
      </c>
      <c r="C119" s="36">
        <v>1055000</v>
      </c>
      <c r="D119" s="15"/>
      <c r="E119" s="36">
        <v>1195000</v>
      </c>
      <c r="F119" s="15"/>
      <c r="K119" s="48">
        <v>1045722</v>
      </c>
      <c r="L119" s="15"/>
    </row>
    <row r="120" spans="1:12">
      <c r="A120" s="35" t="s">
        <v>53</v>
      </c>
      <c r="B120">
        <v>1999</v>
      </c>
      <c r="C120" s="36">
        <v>991000</v>
      </c>
      <c r="D120" s="15"/>
      <c r="E120" s="36">
        <v>1055000</v>
      </c>
      <c r="F120" s="15"/>
      <c r="K120" s="48">
        <v>977847</v>
      </c>
      <c r="L120" s="15"/>
    </row>
    <row r="121" spans="1:12">
      <c r="A121" s="35" t="s">
        <v>54</v>
      </c>
      <c r="B121">
        <v>1999</v>
      </c>
      <c r="C121" s="36">
        <v>1117000</v>
      </c>
      <c r="D121" s="15"/>
      <c r="E121" s="36">
        <v>958000</v>
      </c>
      <c r="F121" s="15"/>
      <c r="K121" s="48">
        <v>1093267</v>
      </c>
      <c r="L121" s="15"/>
    </row>
    <row r="122" spans="1:12">
      <c r="A122" s="35" t="s">
        <v>55</v>
      </c>
      <c r="B122">
        <v>1999</v>
      </c>
      <c r="C122" s="36">
        <v>1176000</v>
      </c>
      <c r="D122" s="15"/>
      <c r="E122" s="36">
        <v>902000</v>
      </c>
      <c r="F122" s="15"/>
      <c r="K122" s="48">
        <v>1155495</v>
      </c>
      <c r="L122" s="15"/>
    </row>
    <row r="123" spans="1:12">
      <c r="A123" s="35" t="s">
        <v>56</v>
      </c>
      <c r="B123">
        <v>1999</v>
      </c>
      <c r="C123" s="36">
        <v>1139000</v>
      </c>
      <c r="D123" s="15">
        <f>SUM(C112:C123)</f>
        <v>11414000</v>
      </c>
      <c r="E123" s="36">
        <v>712000</v>
      </c>
      <c r="F123" s="15">
        <f>SUM(E112:E123)</f>
        <v>11404000</v>
      </c>
      <c r="K123" s="48">
        <v>1125161</v>
      </c>
      <c r="L123" s="15">
        <f>SUM(K112:K123)</f>
        <v>11204256.300000001</v>
      </c>
    </row>
    <row r="124" spans="1:12">
      <c r="A124" s="35" t="s">
        <v>45</v>
      </c>
      <c r="B124">
        <v>1999</v>
      </c>
      <c r="C124" s="36">
        <v>1070000</v>
      </c>
      <c r="D124" s="15"/>
      <c r="E124" s="36">
        <v>856000</v>
      </c>
      <c r="F124" s="15"/>
      <c r="K124" s="48">
        <v>1052980</v>
      </c>
      <c r="L124" s="15"/>
    </row>
    <row r="125" spans="1:12">
      <c r="A125" s="35" t="s">
        <v>46</v>
      </c>
      <c r="B125">
        <v>1999</v>
      </c>
      <c r="C125" s="36">
        <v>1068000</v>
      </c>
      <c r="D125" s="15"/>
      <c r="E125" s="36">
        <v>926000</v>
      </c>
      <c r="F125" s="15"/>
      <c r="K125" s="48">
        <v>1060747</v>
      </c>
      <c r="L125" s="15"/>
    </row>
    <row r="126" spans="1:12">
      <c r="A126" s="35" t="s">
        <v>47</v>
      </c>
      <c r="B126">
        <v>1999</v>
      </c>
      <c r="C126" s="36">
        <v>1018000</v>
      </c>
      <c r="D126" s="15"/>
      <c r="E126" s="36">
        <v>747000</v>
      </c>
      <c r="F126" s="15"/>
      <c r="K126" s="48">
        <v>1008747</v>
      </c>
      <c r="L126" s="15"/>
    </row>
    <row r="127" spans="1:12">
      <c r="A127" s="35" t="s">
        <v>48</v>
      </c>
      <c r="B127">
        <v>2000</v>
      </c>
      <c r="C127" s="36">
        <v>808900</v>
      </c>
      <c r="D127" s="15"/>
      <c r="E127" s="36">
        <v>750900</v>
      </c>
      <c r="F127" s="15"/>
      <c r="K127" s="48">
        <v>804941.3</v>
      </c>
      <c r="L127" s="15"/>
    </row>
    <row r="128" spans="1:12">
      <c r="A128" s="35" t="s">
        <v>49</v>
      </c>
      <c r="B128">
        <v>2000</v>
      </c>
      <c r="C128" s="36">
        <v>652600</v>
      </c>
      <c r="D128" s="15"/>
      <c r="E128" s="36">
        <v>743800</v>
      </c>
      <c r="F128" s="15"/>
      <c r="K128" s="48">
        <v>649429.5</v>
      </c>
      <c r="L128" s="15"/>
    </row>
    <row r="129" spans="1:12">
      <c r="A129" s="35" t="s">
        <v>50</v>
      </c>
      <c r="B129">
        <v>2000</v>
      </c>
      <c r="C129" s="36">
        <v>657300</v>
      </c>
      <c r="D129" s="15"/>
      <c r="E129" s="36">
        <v>1036000</v>
      </c>
      <c r="F129" s="15"/>
      <c r="K129" s="48">
        <v>648072.6</v>
      </c>
      <c r="L129" s="15"/>
    </row>
    <row r="130" spans="1:12">
      <c r="A130" s="35" t="s">
        <v>51</v>
      </c>
      <c r="B130">
        <v>2000</v>
      </c>
      <c r="C130" s="36">
        <v>918600</v>
      </c>
      <c r="D130" s="15"/>
      <c r="E130" s="36">
        <v>1229000</v>
      </c>
      <c r="F130" s="15"/>
      <c r="K130" s="48">
        <v>907017.8</v>
      </c>
      <c r="L130" s="15"/>
    </row>
    <row r="131" spans="1:12">
      <c r="A131" s="35" t="s">
        <v>52</v>
      </c>
      <c r="B131">
        <v>2000</v>
      </c>
      <c r="C131" s="36">
        <v>1154000</v>
      </c>
      <c r="D131" s="15"/>
      <c r="E131" s="36">
        <v>1237000</v>
      </c>
      <c r="F131" s="15"/>
      <c r="K131" s="48">
        <v>1130646</v>
      </c>
      <c r="L131" s="15"/>
    </row>
    <row r="132" spans="1:12">
      <c r="A132" s="35" t="s">
        <v>53</v>
      </c>
      <c r="B132">
        <v>2000</v>
      </c>
      <c r="C132" s="36">
        <v>493200</v>
      </c>
      <c r="D132" s="15"/>
      <c r="E132" s="36">
        <v>963900</v>
      </c>
      <c r="F132" s="15"/>
      <c r="K132" s="48">
        <v>474151.1</v>
      </c>
      <c r="L132" s="15"/>
    </row>
    <row r="133" spans="1:12">
      <c r="A133" s="35" t="s">
        <v>54</v>
      </c>
      <c r="B133">
        <v>2000</v>
      </c>
      <c r="C133" s="36">
        <v>514000</v>
      </c>
      <c r="D133" s="15"/>
      <c r="E133" s="36">
        <v>1001000</v>
      </c>
      <c r="F133" s="15"/>
      <c r="K133" s="48">
        <v>493447.8</v>
      </c>
      <c r="L133" s="15"/>
    </row>
    <row r="134" spans="1:12">
      <c r="A134" s="35" t="s">
        <v>55</v>
      </c>
      <c r="B134">
        <v>2000</v>
      </c>
      <c r="C134" s="36">
        <v>517200</v>
      </c>
      <c r="D134" s="15"/>
      <c r="E134" s="36">
        <v>926100</v>
      </c>
      <c r="F134" s="15"/>
      <c r="K134" s="48">
        <v>495014.8</v>
      </c>
      <c r="L134" s="15"/>
    </row>
    <row r="135" spans="1:12">
      <c r="A135" s="35" t="s">
        <v>56</v>
      </c>
      <c r="B135">
        <v>2000</v>
      </c>
      <c r="C135" s="36">
        <v>671700</v>
      </c>
      <c r="D135" s="15">
        <f>SUM(C124:C135)</f>
        <v>9543500</v>
      </c>
      <c r="E135" s="36">
        <v>577000</v>
      </c>
      <c r="F135" s="15">
        <f>SUM(E124:E135)</f>
        <v>10993700</v>
      </c>
      <c r="K135" s="48">
        <v>656245.4</v>
      </c>
      <c r="L135" s="15">
        <f>SUM(K124:K135)</f>
        <v>9381440.2999999989</v>
      </c>
    </row>
    <row r="136" spans="1:12">
      <c r="A136" s="35" t="s">
        <v>45</v>
      </c>
      <c r="B136">
        <v>2000</v>
      </c>
      <c r="C136" s="36">
        <v>617200</v>
      </c>
      <c r="E136" s="36">
        <v>588600</v>
      </c>
      <c r="K136" s="48">
        <v>605493.19999999995</v>
      </c>
    </row>
    <row r="137" spans="1:12">
      <c r="A137" s="35" t="s">
        <v>46</v>
      </c>
      <c r="B137">
        <v>2000</v>
      </c>
      <c r="C137" s="36">
        <v>813200</v>
      </c>
      <c r="E137" s="36">
        <v>776900</v>
      </c>
      <c r="F137" s="15"/>
      <c r="K137" s="48">
        <v>802827.3</v>
      </c>
    </row>
    <row r="138" spans="1:12">
      <c r="A138" s="35" t="s">
        <v>47</v>
      </c>
      <c r="B138">
        <v>2000</v>
      </c>
      <c r="C138" s="36">
        <v>838000</v>
      </c>
      <c r="D138" s="15"/>
      <c r="E138" s="36">
        <v>861800</v>
      </c>
      <c r="F138" s="15"/>
      <c r="K138" s="48">
        <v>825788</v>
      </c>
      <c r="L138" s="15"/>
    </row>
    <row r="139" spans="1:12">
      <c r="A139" s="35" t="s">
        <v>48</v>
      </c>
      <c r="B139">
        <v>2001</v>
      </c>
      <c r="C139" s="36">
        <v>856000</v>
      </c>
      <c r="E139" s="36">
        <v>689000</v>
      </c>
      <c r="F139" s="15"/>
      <c r="K139" s="48">
        <v>850218.6</v>
      </c>
    </row>
    <row r="140" spans="1:12">
      <c r="A140" s="35" t="s">
        <v>49</v>
      </c>
      <c r="B140">
        <v>2001</v>
      </c>
      <c r="C140" s="36">
        <v>653000</v>
      </c>
      <c r="E140" s="36">
        <v>770000</v>
      </c>
      <c r="F140" s="15"/>
      <c r="K140" s="48">
        <v>648798.5</v>
      </c>
    </row>
    <row r="141" spans="1:12">
      <c r="A141" s="35" t="s">
        <v>50</v>
      </c>
      <c r="B141">
        <v>2001</v>
      </c>
      <c r="C141" s="36">
        <v>655000</v>
      </c>
      <c r="E141" s="36">
        <v>974000</v>
      </c>
      <c r="F141" s="15"/>
      <c r="K141" s="48">
        <v>649542.5</v>
      </c>
    </row>
    <row r="142" spans="1:12">
      <c r="A142" s="35" t="s">
        <v>51</v>
      </c>
      <c r="B142">
        <v>2001</v>
      </c>
      <c r="C142" s="36">
        <v>616000</v>
      </c>
      <c r="E142" s="36">
        <v>1140000</v>
      </c>
      <c r="F142" s="15"/>
      <c r="K142" s="48">
        <v>598623.30000000005</v>
      </c>
    </row>
    <row r="143" spans="1:12">
      <c r="A143" s="35" t="s">
        <v>52</v>
      </c>
      <c r="B143">
        <v>2001</v>
      </c>
      <c r="C143" s="36">
        <v>613000</v>
      </c>
      <c r="E143" s="36">
        <v>1029000</v>
      </c>
      <c r="F143" s="15"/>
      <c r="K143" s="48">
        <v>601661.19999999995</v>
      </c>
    </row>
    <row r="144" spans="1:12">
      <c r="A144" s="35" t="s">
        <v>53</v>
      </c>
      <c r="B144">
        <v>2001</v>
      </c>
      <c r="C144" s="36">
        <v>588000</v>
      </c>
      <c r="E144" s="36">
        <v>1080000</v>
      </c>
      <c r="F144" s="15"/>
      <c r="K144" s="48">
        <v>580734.5</v>
      </c>
    </row>
    <row r="145" spans="1:12">
      <c r="A145" s="35" t="s">
        <v>54</v>
      </c>
      <c r="B145">
        <v>2001</v>
      </c>
      <c r="C145" s="36">
        <v>808000</v>
      </c>
      <c r="E145" s="36">
        <v>1001000</v>
      </c>
      <c r="F145" s="15"/>
      <c r="K145" s="48">
        <v>799469.3</v>
      </c>
    </row>
    <row r="146" spans="1:12">
      <c r="A146" s="35" t="s">
        <v>55</v>
      </c>
      <c r="B146">
        <v>2001</v>
      </c>
      <c r="C146" s="36">
        <v>825000</v>
      </c>
      <c r="E146" s="36">
        <v>888000</v>
      </c>
      <c r="K146" s="48">
        <v>819772</v>
      </c>
    </row>
    <row r="147" spans="1:12">
      <c r="A147" s="35" t="s">
        <v>56</v>
      </c>
      <c r="B147">
        <v>2001</v>
      </c>
      <c r="C147" s="36">
        <v>460000</v>
      </c>
      <c r="D147" s="15">
        <f>SUM(C136:C147)</f>
        <v>8342400</v>
      </c>
      <c r="E147" s="36">
        <v>698000</v>
      </c>
      <c r="F147" s="15">
        <f>SUM(E136:E147)</f>
        <v>10496300</v>
      </c>
      <c r="K147" s="48">
        <v>452605.4</v>
      </c>
      <c r="L147" s="15">
        <f>SUM(K136:K147)</f>
        <v>8235533.7999999998</v>
      </c>
    </row>
    <row r="148" spans="1:12">
      <c r="A148" s="35" t="s">
        <v>45</v>
      </c>
      <c r="B148">
        <v>2001</v>
      </c>
      <c r="C148" s="36">
        <v>607000</v>
      </c>
      <c r="E148" s="36">
        <v>516000</v>
      </c>
      <c r="F148" s="15"/>
      <c r="K148" s="48">
        <v>602248.19999999995</v>
      </c>
    </row>
    <row r="149" spans="1:12">
      <c r="A149" s="35" t="s">
        <v>46</v>
      </c>
      <c r="B149">
        <v>2001</v>
      </c>
      <c r="C149" s="36">
        <v>610000</v>
      </c>
      <c r="E149" s="36">
        <v>667000</v>
      </c>
      <c r="F149" s="15"/>
      <c r="K149" s="48">
        <v>605535.19999999995</v>
      </c>
    </row>
    <row r="150" spans="1:12">
      <c r="A150" s="35" t="s">
        <v>47</v>
      </c>
      <c r="B150">
        <v>2001</v>
      </c>
      <c r="C150" s="36">
        <v>802000</v>
      </c>
      <c r="D150" s="15"/>
      <c r="E150" s="36">
        <v>758000</v>
      </c>
      <c r="F150" s="15"/>
      <c r="K150" s="48">
        <v>800700.3</v>
      </c>
      <c r="L150" s="15"/>
    </row>
    <row r="151" spans="1:12">
      <c r="A151" s="35" t="s">
        <v>48</v>
      </c>
      <c r="B151">
        <v>2002</v>
      </c>
      <c r="C151" s="36">
        <v>805000</v>
      </c>
      <c r="D151" s="15"/>
      <c r="E151" s="36">
        <v>702000</v>
      </c>
      <c r="F151" s="15"/>
      <c r="K151" s="48">
        <v>804833.3</v>
      </c>
      <c r="L151" s="15"/>
    </row>
    <row r="152" spans="1:12">
      <c r="A152" s="35" t="s">
        <v>49</v>
      </c>
      <c r="B152">
        <v>2002</v>
      </c>
      <c r="C152" s="36">
        <v>604000</v>
      </c>
      <c r="D152" s="15"/>
      <c r="E152" s="36">
        <v>785000</v>
      </c>
      <c r="F152" s="15"/>
      <c r="K152" s="48">
        <v>601446.19999999995</v>
      </c>
      <c r="L152" s="15"/>
    </row>
    <row r="153" spans="1:12">
      <c r="A153" s="35" t="s">
        <v>50</v>
      </c>
      <c r="B153">
        <v>2002</v>
      </c>
      <c r="C153" s="36">
        <v>611000</v>
      </c>
      <c r="D153" s="15"/>
      <c r="E153" s="36">
        <v>1146000</v>
      </c>
      <c r="F153" s="15"/>
      <c r="K153" s="48">
        <v>601939.19999999995</v>
      </c>
      <c r="L153" s="15"/>
    </row>
    <row r="154" spans="1:12">
      <c r="A154" s="35" t="s">
        <v>51</v>
      </c>
      <c r="B154">
        <v>2002</v>
      </c>
      <c r="C154" s="36">
        <v>616000</v>
      </c>
      <c r="D154" s="15"/>
      <c r="E154" s="36">
        <v>1112000</v>
      </c>
      <c r="F154" s="15"/>
      <c r="K154" s="48">
        <v>601998.19999999995</v>
      </c>
      <c r="L154" s="15"/>
    </row>
    <row r="155" spans="1:12">
      <c r="A155" s="35" t="s">
        <v>52</v>
      </c>
      <c r="B155">
        <v>2002</v>
      </c>
      <c r="C155" s="36">
        <v>605000</v>
      </c>
      <c r="D155" s="15"/>
      <c r="E155" s="36">
        <v>1170000</v>
      </c>
      <c r="F155" s="15"/>
      <c r="K155" s="48">
        <v>590126.4</v>
      </c>
      <c r="L155" s="15"/>
    </row>
    <row r="156" spans="1:12">
      <c r="A156" s="35" t="s">
        <v>53</v>
      </c>
      <c r="B156">
        <v>2002</v>
      </c>
      <c r="C156" s="36">
        <v>762000</v>
      </c>
      <c r="D156" s="15"/>
      <c r="E156" s="36">
        <v>1036000</v>
      </c>
      <c r="F156" s="15"/>
      <c r="K156" s="48">
        <v>747605.1</v>
      </c>
      <c r="L156" s="15"/>
    </row>
    <row r="157" spans="1:12">
      <c r="A157" s="35" t="s">
        <v>54</v>
      </c>
      <c r="B157">
        <v>2002</v>
      </c>
      <c r="C157" s="36">
        <v>917000</v>
      </c>
      <c r="D157" s="15"/>
      <c r="E157" s="36">
        <v>1007000</v>
      </c>
      <c r="F157" s="15"/>
      <c r="K157" s="48">
        <v>897249.9</v>
      </c>
      <c r="L157" s="15"/>
    </row>
    <row r="158" spans="1:12">
      <c r="A158" s="35" t="s">
        <v>55</v>
      </c>
      <c r="B158">
        <v>2002</v>
      </c>
      <c r="C158" s="36">
        <v>909000</v>
      </c>
      <c r="D158" s="15"/>
      <c r="E158" s="36">
        <v>945000</v>
      </c>
      <c r="K158" s="48">
        <v>893429</v>
      </c>
      <c r="L158" s="15"/>
    </row>
    <row r="159" spans="1:12">
      <c r="A159" s="35" t="s">
        <v>56</v>
      </c>
      <c r="B159">
        <v>2002</v>
      </c>
      <c r="C159" s="36">
        <v>492000</v>
      </c>
      <c r="D159" s="15">
        <f>SUM(C148:C159)</f>
        <v>8340000</v>
      </c>
      <c r="E159" s="36">
        <v>664000</v>
      </c>
      <c r="F159" s="15">
        <f>SUM(E148:E159)</f>
        <v>10508000</v>
      </c>
      <c r="K159" s="48">
        <v>483382</v>
      </c>
      <c r="L159" s="15">
        <f>SUM(K148:K159)</f>
        <v>8230493.0000000009</v>
      </c>
    </row>
    <row r="160" spans="1:12">
      <c r="A160" s="35" t="s">
        <v>45</v>
      </c>
      <c r="B160">
        <v>2002</v>
      </c>
      <c r="C160" s="36">
        <v>503000</v>
      </c>
      <c r="D160" s="15"/>
      <c r="E160" s="36">
        <v>525000</v>
      </c>
      <c r="F160" s="15"/>
      <c r="K160" s="48">
        <v>496451.8</v>
      </c>
      <c r="L160" s="15"/>
    </row>
    <row r="161" spans="1:12">
      <c r="A161" s="35" t="s">
        <v>46</v>
      </c>
      <c r="B161">
        <v>2002</v>
      </c>
      <c r="C161" s="36">
        <v>480000</v>
      </c>
      <c r="D161" s="15"/>
      <c r="E161" s="36">
        <v>625000</v>
      </c>
      <c r="F161" s="15"/>
      <c r="K161" s="48">
        <v>475966.1</v>
      </c>
      <c r="L161" s="15"/>
    </row>
    <row r="162" spans="1:12">
      <c r="A162" s="35" t="s">
        <v>47</v>
      </c>
      <c r="B162">
        <v>2002</v>
      </c>
      <c r="C162" s="36">
        <v>609000</v>
      </c>
      <c r="D162" s="15"/>
      <c r="E162" s="36">
        <v>731000</v>
      </c>
      <c r="F162" s="15"/>
      <c r="K162" s="48">
        <v>601504.19999999995</v>
      </c>
      <c r="L162" s="15"/>
    </row>
    <row r="163" spans="1:12">
      <c r="A163" s="35" t="s">
        <v>48</v>
      </c>
      <c r="B163">
        <v>2003</v>
      </c>
      <c r="C163" s="36">
        <v>794700</v>
      </c>
      <c r="D163" s="15"/>
      <c r="E163" s="36">
        <v>651400</v>
      </c>
      <c r="K163" s="48">
        <v>784193.6</v>
      </c>
      <c r="L163" s="15"/>
    </row>
    <row r="164" spans="1:12">
      <c r="A164" s="35" t="s">
        <v>49</v>
      </c>
      <c r="B164">
        <v>2003</v>
      </c>
      <c r="C164" s="36">
        <v>723500</v>
      </c>
      <c r="D164" s="15"/>
      <c r="E164" s="36">
        <v>607800</v>
      </c>
      <c r="K164" s="48">
        <v>714019.6</v>
      </c>
      <c r="L164" s="15"/>
    </row>
    <row r="165" spans="1:12">
      <c r="A165" s="35" t="s">
        <v>50</v>
      </c>
      <c r="B165">
        <v>2003</v>
      </c>
      <c r="C165" s="36">
        <v>794300</v>
      </c>
      <c r="D165" s="15"/>
      <c r="E165" s="36">
        <v>957400</v>
      </c>
      <c r="K165" s="48">
        <v>786464.5</v>
      </c>
      <c r="L165" s="15"/>
    </row>
    <row r="166" spans="1:12">
      <c r="A166" s="35" t="s">
        <v>51</v>
      </c>
      <c r="B166">
        <v>2003</v>
      </c>
      <c r="C166" s="36">
        <v>606000</v>
      </c>
      <c r="D166" s="15"/>
      <c r="E166" s="36">
        <v>1138000</v>
      </c>
      <c r="K166" s="48">
        <v>601028.19999999995</v>
      </c>
      <c r="L166" s="15"/>
    </row>
    <row r="167" spans="1:12">
      <c r="A167" s="35" t="s">
        <v>52</v>
      </c>
      <c r="B167">
        <v>2003</v>
      </c>
      <c r="C167" s="36">
        <v>661700</v>
      </c>
      <c r="D167" s="15"/>
      <c r="E167" s="36">
        <v>1017000</v>
      </c>
      <c r="K167" s="48">
        <v>651782.5</v>
      </c>
      <c r="L167" s="15"/>
    </row>
    <row r="168" spans="1:12">
      <c r="A168" s="35" t="s">
        <v>53</v>
      </c>
      <c r="B168">
        <v>2003</v>
      </c>
      <c r="C168" s="36">
        <v>860900</v>
      </c>
      <c r="D168" s="15"/>
      <c r="E168" s="36">
        <v>918000</v>
      </c>
      <c r="K168" s="48">
        <v>842179.7</v>
      </c>
      <c r="L168" s="15"/>
    </row>
    <row r="169" spans="1:12">
      <c r="A169" s="35" t="s">
        <v>54</v>
      </c>
      <c r="B169">
        <v>2003</v>
      </c>
      <c r="C169" s="36">
        <v>919900</v>
      </c>
      <c r="D169" s="15"/>
      <c r="E169" s="36">
        <v>964600</v>
      </c>
      <c r="K169" s="48">
        <v>990234.9</v>
      </c>
      <c r="L169" s="15"/>
    </row>
    <row r="170" spans="1:12">
      <c r="A170" s="35" t="s">
        <v>55</v>
      </c>
      <c r="B170">
        <v>2003</v>
      </c>
      <c r="C170" s="36">
        <v>923700</v>
      </c>
      <c r="D170" s="15"/>
      <c r="E170" s="36">
        <v>744200</v>
      </c>
      <c r="K170" s="48">
        <v>901760.8</v>
      </c>
      <c r="L170" s="15"/>
    </row>
    <row r="171" spans="1:12">
      <c r="A171" s="35" t="s">
        <v>56</v>
      </c>
      <c r="B171">
        <v>2003</v>
      </c>
      <c r="C171" s="36">
        <v>484900</v>
      </c>
      <c r="D171" s="15">
        <f>SUM(C160:C171)</f>
        <v>8361600</v>
      </c>
      <c r="E171" s="36">
        <v>584600</v>
      </c>
      <c r="F171" s="15">
        <f>SUM(E160:E171)</f>
        <v>9464000</v>
      </c>
      <c r="K171" s="48">
        <v>472998.1</v>
      </c>
      <c r="L171" s="15">
        <f>SUM(K160:K171)</f>
        <v>8318584</v>
      </c>
    </row>
    <row r="172" spans="1:12">
      <c r="A172" s="35" t="s">
        <v>45</v>
      </c>
      <c r="B172">
        <v>2003</v>
      </c>
      <c r="C172" s="36">
        <v>499900</v>
      </c>
      <c r="D172" s="15"/>
      <c r="E172" s="36">
        <v>538300</v>
      </c>
      <c r="K172" s="48">
        <v>490381.8</v>
      </c>
      <c r="L172" s="15"/>
    </row>
    <row r="173" spans="1:12">
      <c r="A173" s="35" t="s">
        <v>46</v>
      </c>
      <c r="B173">
        <v>2003</v>
      </c>
      <c r="C173" s="36">
        <v>482500</v>
      </c>
      <c r="D173" s="15"/>
      <c r="E173" s="36">
        <v>637100</v>
      </c>
      <c r="K173" s="48">
        <v>474952.1</v>
      </c>
      <c r="L173" s="15"/>
    </row>
    <row r="174" spans="1:12">
      <c r="A174" s="35" t="s">
        <v>47</v>
      </c>
      <c r="B174">
        <v>2003</v>
      </c>
      <c r="C174" s="36">
        <v>613700</v>
      </c>
      <c r="D174" s="15"/>
      <c r="E174" s="36">
        <v>623300</v>
      </c>
      <c r="K174" s="48">
        <v>602024.19999999995</v>
      </c>
      <c r="L174" s="15"/>
    </row>
    <row r="175" spans="1:12">
      <c r="A175" s="35" t="s">
        <v>48</v>
      </c>
      <c r="B175">
        <v>2004</v>
      </c>
      <c r="C175" s="36">
        <v>788700</v>
      </c>
      <c r="D175" s="15"/>
      <c r="E175" s="36">
        <v>633200</v>
      </c>
      <c r="K175" s="48">
        <v>788673.5</v>
      </c>
      <c r="L175" s="15"/>
    </row>
    <row r="176" spans="1:12">
      <c r="A176" s="35" t="s">
        <v>49</v>
      </c>
      <c r="B176">
        <v>2004</v>
      </c>
      <c r="C176" s="36">
        <v>742600</v>
      </c>
      <c r="D176" s="15"/>
      <c r="E176" s="36">
        <v>805700</v>
      </c>
      <c r="K176" s="48">
        <v>742557.1</v>
      </c>
      <c r="L176" s="15"/>
    </row>
    <row r="177" spans="1:12">
      <c r="A177" s="35" t="s">
        <v>50</v>
      </c>
      <c r="B177">
        <v>2004</v>
      </c>
      <c r="C177" s="36">
        <v>805200</v>
      </c>
      <c r="D177" s="15"/>
      <c r="E177" s="36">
        <v>945700</v>
      </c>
      <c r="K177" s="48">
        <v>805198</v>
      </c>
      <c r="L177" s="15"/>
    </row>
    <row r="178" spans="1:12">
      <c r="A178" s="35" t="s">
        <v>51</v>
      </c>
      <c r="B178">
        <v>2004</v>
      </c>
      <c r="C178" s="36">
        <v>648200</v>
      </c>
      <c r="D178" s="15"/>
      <c r="E178" s="36">
        <v>1049000</v>
      </c>
      <c r="K178" s="48">
        <v>650568.5</v>
      </c>
      <c r="L178" s="15"/>
    </row>
    <row r="179" spans="1:12">
      <c r="A179" s="35" t="s">
        <v>52</v>
      </c>
      <c r="B179">
        <v>2004</v>
      </c>
      <c r="C179" s="36">
        <v>596100</v>
      </c>
      <c r="D179" s="15"/>
      <c r="E179" s="36">
        <v>1124000</v>
      </c>
      <c r="K179" s="48">
        <v>595347.5</v>
      </c>
      <c r="L179" s="15"/>
    </row>
    <row r="180" spans="1:12">
      <c r="A180" s="35" t="s">
        <v>53</v>
      </c>
      <c r="B180">
        <v>2004</v>
      </c>
      <c r="C180" s="36">
        <v>801800</v>
      </c>
      <c r="D180" s="15"/>
      <c r="E180" s="36">
        <v>994600</v>
      </c>
      <c r="K180" s="48">
        <v>801765.3</v>
      </c>
      <c r="L180" s="15"/>
    </row>
    <row r="181" spans="1:12">
      <c r="A181" s="35" t="s">
        <v>54</v>
      </c>
      <c r="B181">
        <v>2004</v>
      </c>
      <c r="C181" s="36">
        <v>900500</v>
      </c>
      <c r="D181" s="15"/>
      <c r="E181" s="36">
        <v>952400</v>
      </c>
      <c r="K181" s="48">
        <v>900085.1</v>
      </c>
      <c r="L181" s="15"/>
    </row>
    <row r="182" spans="1:12">
      <c r="A182" s="35" t="s">
        <v>55</v>
      </c>
      <c r="B182">
        <v>2004</v>
      </c>
      <c r="C182" s="36">
        <v>895900</v>
      </c>
      <c r="D182" s="15"/>
      <c r="E182" s="36">
        <v>763800</v>
      </c>
      <c r="K182" s="48">
        <v>895846.3</v>
      </c>
      <c r="L182" s="15"/>
    </row>
    <row r="183" spans="1:12">
      <c r="A183" s="35" t="s">
        <v>56</v>
      </c>
      <c r="B183">
        <v>2004</v>
      </c>
      <c r="C183" s="36">
        <v>483500</v>
      </c>
      <c r="D183" s="15">
        <f>SUM(C172:C183)</f>
        <v>8258600</v>
      </c>
      <c r="E183" s="36">
        <v>567800</v>
      </c>
      <c r="F183" s="15">
        <f>SUM(E172:E183)</f>
        <v>9634900</v>
      </c>
      <c r="K183" s="48">
        <v>483541.3</v>
      </c>
      <c r="L183" s="15">
        <f>SUM(K172:K183)</f>
        <v>8230940.6999999983</v>
      </c>
    </row>
    <row r="184" spans="1:12">
      <c r="A184" s="35" t="s">
        <v>45</v>
      </c>
      <c r="B184">
        <v>2004</v>
      </c>
      <c r="C184" s="36">
        <v>493400</v>
      </c>
      <c r="D184" s="15"/>
      <c r="E184" s="36">
        <v>364700</v>
      </c>
      <c r="K184" s="48">
        <v>493391.8</v>
      </c>
      <c r="L184" s="15"/>
    </row>
    <row r="185" spans="1:12">
      <c r="A185" s="35" t="s">
        <v>46</v>
      </c>
      <c r="B185">
        <v>2004</v>
      </c>
      <c r="C185" s="36">
        <v>716100</v>
      </c>
      <c r="D185" s="15"/>
      <c r="E185" s="36">
        <v>501600</v>
      </c>
      <c r="K185" s="48">
        <v>716185.8</v>
      </c>
      <c r="L185" s="15"/>
    </row>
    <row r="186" spans="1:12">
      <c r="A186" s="35" t="s">
        <v>47</v>
      </c>
      <c r="B186">
        <v>2004</v>
      </c>
      <c r="C186" s="36">
        <v>599400</v>
      </c>
      <c r="D186" s="15"/>
      <c r="E186" s="36">
        <v>642200</v>
      </c>
      <c r="F186" s="15"/>
      <c r="K186" s="48">
        <v>599409.1</v>
      </c>
      <c r="L186" s="15"/>
    </row>
    <row r="187" spans="1:12">
      <c r="A187" s="35" t="s">
        <v>48</v>
      </c>
      <c r="B187">
        <v>2005</v>
      </c>
      <c r="C187" s="36">
        <v>776745</v>
      </c>
      <c r="D187" s="15"/>
      <c r="E187" s="36">
        <v>337300</v>
      </c>
      <c r="F187" s="15"/>
      <c r="K187" s="48">
        <v>776745</v>
      </c>
      <c r="L187" s="15"/>
    </row>
    <row r="188" spans="1:12">
      <c r="A188" s="35" t="s">
        <v>49</v>
      </c>
      <c r="B188">
        <v>2005</v>
      </c>
      <c r="C188" s="36">
        <v>720028</v>
      </c>
      <c r="D188" s="15"/>
      <c r="E188" s="36">
        <v>341500</v>
      </c>
      <c r="F188" s="15"/>
      <c r="K188" s="48">
        <v>720027.9</v>
      </c>
      <c r="L188" s="15"/>
    </row>
    <row r="189" spans="1:12">
      <c r="A189" s="35" t="s">
        <v>50</v>
      </c>
      <c r="B189">
        <v>2005</v>
      </c>
      <c r="C189" s="36">
        <v>802770</v>
      </c>
      <c r="D189" s="15"/>
      <c r="E189" s="36">
        <v>427200</v>
      </c>
      <c r="F189" s="15"/>
      <c r="K189" s="48">
        <v>802770.2</v>
      </c>
      <c r="L189" s="15"/>
    </row>
    <row r="190" spans="1:12">
      <c r="A190" s="35" t="s">
        <v>51</v>
      </c>
      <c r="B190">
        <v>2005</v>
      </c>
      <c r="C190" s="36">
        <v>526100</v>
      </c>
      <c r="D190" s="15"/>
      <c r="E190" s="36">
        <v>1023000</v>
      </c>
      <c r="F190" s="15"/>
      <c r="K190" s="48">
        <v>526099.80000000005</v>
      </c>
      <c r="L190" s="15"/>
    </row>
    <row r="191" spans="1:12">
      <c r="A191" s="35" t="s">
        <v>52</v>
      </c>
      <c r="B191">
        <v>2005</v>
      </c>
      <c r="C191" s="36">
        <v>597081</v>
      </c>
      <c r="D191" s="15"/>
      <c r="E191" s="36">
        <v>1008000</v>
      </c>
      <c r="F191" s="15"/>
      <c r="K191" s="48">
        <v>597081</v>
      </c>
      <c r="L191" s="15"/>
    </row>
    <row r="192" spans="1:12">
      <c r="A192" s="35" t="s">
        <v>53</v>
      </c>
      <c r="B192">
        <v>2005</v>
      </c>
      <c r="C192" s="36">
        <v>781520</v>
      </c>
      <c r="D192" s="15"/>
      <c r="E192" s="36">
        <v>899200</v>
      </c>
      <c r="F192" s="15"/>
      <c r="K192" s="48">
        <v>781519.8</v>
      </c>
      <c r="L192" s="15"/>
    </row>
    <row r="193" spans="1:12">
      <c r="A193" s="35" t="s">
        <v>54</v>
      </c>
      <c r="B193">
        <v>2005</v>
      </c>
      <c r="C193" s="36">
        <v>850106</v>
      </c>
      <c r="D193" s="15"/>
      <c r="E193" s="36">
        <v>974900</v>
      </c>
      <c r="F193" s="15"/>
      <c r="K193" s="48">
        <v>850106</v>
      </c>
      <c r="L193" s="15"/>
    </row>
    <row r="194" spans="1:12">
      <c r="A194" s="35" t="s">
        <v>55</v>
      </c>
      <c r="B194">
        <v>2005</v>
      </c>
      <c r="C194" s="36">
        <v>871894</v>
      </c>
      <c r="D194" s="15"/>
      <c r="E194" s="36">
        <v>795300</v>
      </c>
      <c r="F194" s="15"/>
      <c r="K194" s="48">
        <v>871894.2</v>
      </c>
      <c r="L194" s="15"/>
    </row>
    <row r="195" spans="1:12">
      <c r="A195" s="35" t="s">
        <v>56</v>
      </c>
      <c r="B195">
        <v>2005</v>
      </c>
      <c r="C195" s="36">
        <v>496488</v>
      </c>
      <c r="D195" s="15">
        <f>SUM(C184:C195)</f>
        <v>8231632</v>
      </c>
      <c r="E195" s="36">
        <v>623100</v>
      </c>
      <c r="F195" s="15">
        <f>SUM(E184:E195)</f>
        <v>7938000</v>
      </c>
      <c r="K195" s="48">
        <v>496487.6</v>
      </c>
      <c r="L195" s="15">
        <f>SUM(K184:K195)</f>
        <v>8231718.1999999993</v>
      </c>
    </row>
    <row r="196" spans="1:12">
      <c r="A196" s="35" t="s">
        <v>45</v>
      </c>
      <c r="B196">
        <v>2005</v>
      </c>
      <c r="C196" s="36">
        <v>513656</v>
      </c>
      <c r="D196" s="15"/>
      <c r="E196" s="36">
        <v>640100</v>
      </c>
      <c r="K196" s="48">
        <v>513655.8</v>
      </c>
      <c r="L196" s="15"/>
    </row>
    <row r="197" spans="1:12">
      <c r="A197" s="35" t="s">
        <v>46</v>
      </c>
      <c r="B197">
        <v>2005</v>
      </c>
      <c r="C197" s="36">
        <v>513831</v>
      </c>
      <c r="E197" s="36">
        <v>674700</v>
      </c>
      <c r="K197" s="48">
        <v>513831.3</v>
      </c>
    </row>
    <row r="198" spans="1:12">
      <c r="A198" s="35" t="s">
        <v>47</v>
      </c>
      <c r="B198">
        <v>2005</v>
      </c>
      <c r="C198" s="36">
        <v>801357</v>
      </c>
      <c r="E198" s="36">
        <v>529500</v>
      </c>
      <c r="F198" s="15"/>
      <c r="K198" s="48">
        <v>801357.4</v>
      </c>
    </row>
    <row r="199" spans="1:12">
      <c r="A199" s="35" t="s">
        <v>48</v>
      </c>
      <c r="B199">
        <v>2006</v>
      </c>
      <c r="C199" s="36">
        <v>800027</v>
      </c>
      <c r="E199" s="36">
        <v>594600</v>
      </c>
      <c r="F199" s="15"/>
      <c r="K199" s="48">
        <v>800026.8</v>
      </c>
    </row>
    <row r="200" spans="1:12">
      <c r="A200" s="35" t="s">
        <v>49</v>
      </c>
      <c r="B200">
        <v>2006</v>
      </c>
      <c r="C200" s="36">
        <v>800247</v>
      </c>
      <c r="E200" s="36">
        <v>610600</v>
      </c>
      <c r="F200" s="15"/>
      <c r="K200" s="48">
        <v>800210.2</v>
      </c>
    </row>
    <row r="201" spans="1:12">
      <c r="A201" s="35" t="s">
        <v>50</v>
      </c>
      <c r="B201">
        <v>2006</v>
      </c>
      <c r="C201" s="36">
        <v>601972</v>
      </c>
      <c r="E201" s="36">
        <v>830200</v>
      </c>
      <c r="F201" s="15"/>
      <c r="K201" s="48">
        <v>601950.4</v>
      </c>
    </row>
    <row r="202" spans="1:12">
      <c r="A202" s="35" t="s">
        <v>51</v>
      </c>
      <c r="B202">
        <v>2006</v>
      </c>
      <c r="C202" s="36">
        <v>602905</v>
      </c>
      <c r="E202" s="36">
        <v>989900</v>
      </c>
      <c r="F202" s="15"/>
      <c r="K202" s="48">
        <v>602880.30000000005</v>
      </c>
    </row>
    <row r="203" spans="1:12">
      <c r="A203" s="35" t="s">
        <v>52</v>
      </c>
      <c r="B203">
        <v>2006</v>
      </c>
      <c r="C203" s="36">
        <v>601542</v>
      </c>
      <c r="E203" s="36">
        <v>1071000</v>
      </c>
      <c r="F203" s="15"/>
      <c r="K203" s="48">
        <v>601514.4</v>
      </c>
    </row>
    <row r="204" spans="1:12">
      <c r="A204" s="35" t="s">
        <v>53</v>
      </c>
      <c r="B204">
        <v>2006</v>
      </c>
      <c r="C204" s="36">
        <v>801175</v>
      </c>
      <c r="E204" s="36">
        <v>1036000</v>
      </c>
      <c r="F204" s="15"/>
      <c r="K204" s="48">
        <v>801141.4</v>
      </c>
    </row>
    <row r="205" spans="1:12">
      <c r="A205" s="35" t="s">
        <v>54</v>
      </c>
      <c r="B205">
        <v>2006</v>
      </c>
      <c r="C205" s="36">
        <v>828681</v>
      </c>
      <c r="E205" s="36">
        <v>967000</v>
      </c>
      <c r="F205" s="15"/>
      <c r="K205" s="48">
        <v>828639</v>
      </c>
    </row>
    <row r="206" spans="1:12">
      <c r="A206" s="35" t="s">
        <v>55</v>
      </c>
      <c r="B206">
        <v>2006</v>
      </c>
      <c r="C206" s="36">
        <v>827020</v>
      </c>
      <c r="E206" s="36">
        <v>817900</v>
      </c>
      <c r="F206" s="15"/>
      <c r="K206" s="48">
        <v>826980.5</v>
      </c>
    </row>
    <row r="207" spans="1:12">
      <c r="A207" s="35" t="s">
        <v>56</v>
      </c>
      <c r="B207">
        <v>2006</v>
      </c>
      <c r="C207" s="36">
        <v>536200</v>
      </c>
      <c r="D207" s="15">
        <f>SUM(C196:C207)</f>
        <v>8228613</v>
      </c>
      <c r="E207" s="36">
        <v>633100</v>
      </c>
      <c r="F207" s="15">
        <f>SUM(E196:E207)</f>
        <v>9394600</v>
      </c>
      <c r="K207" s="48">
        <v>536177.19999999995</v>
      </c>
      <c r="L207" s="15">
        <f>SUM(K196:K207)</f>
        <v>8228364.7000000011</v>
      </c>
    </row>
    <row r="208" spans="1:12">
      <c r="A208" s="35" t="s">
        <v>45</v>
      </c>
      <c r="B208">
        <v>2006</v>
      </c>
      <c r="C208" s="12">
        <v>606031</v>
      </c>
      <c r="E208" s="12">
        <v>563700</v>
      </c>
      <c r="K208" s="48">
        <v>606049.4</v>
      </c>
    </row>
    <row r="209" spans="1:12">
      <c r="A209" s="35" t="s">
        <v>46</v>
      </c>
      <c r="B209">
        <v>2006</v>
      </c>
      <c r="C209" s="12">
        <v>602548</v>
      </c>
      <c r="E209" s="12">
        <v>524700</v>
      </c>
      <c r="K209" s="48">
        <v>602503.19999999995</v>
      </c>
    </row>
    <row r="210" spans="1:12">
      <c r="A210" s="35" t="s">
        <v>47</v>
      </c>
      <c r="B210">
        <v>2006</v>
      </c>
      <c r="C210" s="12">
        <v>800703</v>
      </c>
      <c r="E210" s="12">
        <v>620600</v>
      </c>
      <c r="K210" s="48">
        <v>800555.9</v>
      </c>
    </row>
    <row r="211" spans="1:12">
      <c r="A211" s="35" t="s">
        <v>48</v>
      </c>
      <c r="B211">
        <v>2007</v>
      </c>
      <c r="C211" s="12">
        <v>800273</v>
      </c>
      <c r="E211" s="12">
        <v>638558</v>
      </c>
      <c r="K211" s="48">
        <v>800227.6</v>
      </c>
    </row>
    <row r="212" spans="1:12">
      <c r="A212" s="35" t="s">
        <v>49</v>
      </c>
      <c r="B212">
        <v>2007</v>
      </c>
      <c r="C212" s="12">
        <v>604476</v>
      </c>
      <c r="E212" s="12">
        <v>646851</v>
      </c>
      <c r="K212" s="48">
        <v>604453.5</v>
      </c>
    </row>
    <row r="213" spans="1:12">
      <c r="A213" s="35" t="s">
        <v>50</v>
      </c>
      <c r="B213">
        <v>2007</v>
      </c>
      <c r="C213" s="12">
        <v>601911</v>
      </c>
      <c r="E213" s="12">
        <v>970104</v>
      </c>
      <c r="K213" s="48">
        <v>601931.9</v>
      </c>
    </row>
    <row r="214" spans="1:12">
      <c r="A214" s="35" t="s">
        <v>51</v>
      </c>
      <c r="B214">
        <v>2007</v>
      </c>
      <c r="C214" s="12">
        <v>600346</v>
      </c>
      <c r="E214" s="12">
        <v>1092869</v>
      </c>
      <c r="K214" s="48">
        <v>600335.1</v>
      </c>
    </row>
    <row r="215" spans="1:12">
      <c r="A215" s="35" t="s">
        <v>52</v>
      </c>
      <c r="B215">
        <v>2007</v>
      </c>
      <c r="C215" s="12">
        <v>601358</v>
      </c>
      <c r="E215" s="12">
        <v>1025751</v>
      </c>
      <c r="K215" s="48">
        <v>601343.19999999995</v>
      </c>
    </row>
    <row r="216" spans="1:12">
      <c r="A216" s="35" t="s">
        <v>53</v>
      </c>
      <c r="B216">
        <v>2007</v>
      </c>
      <c r="C216" s="12">
        <v>801473</v>
      </c>
      <c r="E216" s="12">
        <v>957792</v>
      </c>
      <c r="K216" s="48">
        <v>801486.6</v>
      </c>
    </row>
    <row r="217" spans="1:12">
      <c r="A217" s="35" t="s">
        <v>54</v>
      </c>
      <c r="B217">
        <v>2007</v>
      </c>
      <c r="C217" s="12">
        <v>804024</v>
      </c>
      <c r="E217" s="12">
        <v>950120</v>
      </c>
      <c r="K217" s="48">
        <v>804018.6</v>
      </c>
    </row>
    <row r="218" spans="1:12">
      <c r="A218" s="35" t="s">
        <v>55</v>
      </c>
      <c r="B218">
        <v>2007</v>
      </c>
      <c r="C218" s="12">
        <v>803962</v>
      </c>
      <c r="E218" s="12">
        <v>802855</v>
      </c>
      <c r="F218" s="15"/>
      <c r="K218" s="48">
        <v>803971.7</v>
      </c>
    </row>
    <row r="219" spans="1:12">
      <c r="A219" s="35" t="s">
        <v>56</v>
      </c>
      <c r="B219">
        <v>2007</v>
      </c>
      <c r="C219" s="12">
        <v>603738</v>
      </c>
      <c r="D219" s="15">
        <f>SUM(C208:C219)</f>
        <v>8230843</v>
      </c>
      <c r="E219" s="12">
        <v>655805</v>
      </c>
      <c r="F219" s="15">
        <f>SUM(E208:E219)</f>
        <v>9449705</v>
      </c>
      <c r="K219" s="48">
        <v>604104.9</v>
      </c>
      <c r="L219" s="15">
        <f>SUM(K208:K219)</f>
        <v>8230981.5999999996</v>
      </c>
    </row>
    <row r="220" spans="1:12">
      <c r="A220" s="35" t="s">
        <v>45</v>
      </c>
      <c r="B220">
        <v>2007</v>
      </c>
      <c r="C220" s="12">
        <v>600927</v>
      </c>
      <c r="E220" s="12">
        <v>569752</v>
      </c>
      <c r="K220" s="48">
        <v>600902.30000000005</v>
      </c>
    </row>
    <row r="221" spans="1:12">
      <c r="A221" s="35" t="s">
        <v>46</v>
      </c>
      <c r="B221">
        <v>2007</v>
      </c>
      <c r="C221" s="12">
        <v>603202</v>
      </c>
      <c r="E221" s="12">
        <v>575056</v>
      </c>
      <c r="K221" s="48">
        <v>603116.1</v>
      </c>
    </row>
    <row r="222" spans="1:12">
      <c r="A222" s="35" t="s">
        <v>47</v>
      </c>
      <c r="B222">
        <v>2007</v>
      </c>
      <c r="C222" s="12">
        <v>802609</v>
      </c>
      <c r="E222" s="12">
        <v>476597</v>
      </c>
      <c r="K222" s="48">
        <v>802620.3</v>
      </c>
    </row>
    <row r="223" spans="1:12">
      <c r="A223" s="35" t="s">
        <v>48</v>
      </c>
      <c r="B223">
        <v>2008</v>
      </c>
      <c r="C223" s="12">
        <v>800644</v>
      </c>
      <c r="E223" s="12">
        <v>672106</v>
      </c>
      <c r="K223" s="48">
        <v>800643.6</v>
      </c>
    </row>
    <row r="224" spans="1:12">
      <c r="A224" s="35" t="s">
        <v>49</v>
      </c>
      <c r="B224">
        <v>2008</v>
      </c>
      <c r="C224" s="12">
        <v>602286</v>
      </c>
      <c r="E224" s="12">
        <v>658790</v>
      </c>
      <c r="K224" s="48">
        <v>602285.6</v>
      </c>
    </row>
    <row r="225" spans="1:12">
      <c r="A225" s="35" t="s">
        <v>50</v>
      </c>
      <c r="B225">
        <v>2008</v>
      </c>
      <c r="C225" s="12">
        <v>830227</v>
      </c>
      <c r="E225" s="12">
        <v>1024602</v>
      </c>
      <c r="K225" s="48">
        <v>830227.5</v>
      </c>
    </row>
    <row r="226" spans="1:12">
      <c r="A226" s="35" t="s">
        <v>51</v>
      </c>
      <c r="B226">
        <v>2008</v>
      </c>
      <c r="C226" s="12">
        <v>678427</v>
      </c>
      <c r="E226" s="12">
        <v>1159011</v>
      </c>
      <c r="K226" s="48">
        <v>678427.4</v>
      </c>
    </row>
    <row r="227" spans="1:12">
      <c r="A227" s="35" t="s">
        <v>52</v>
      </c>
      <c r="B227">
        <v>2008</v>
      </c>
      <c r="C227" s="12">
        <v>790191</v>
      </c>
      <c r="E227" s="12">
        <v>1112844</v>
      </c>
      <c r="K227" s="48">
        <v>790191.4</v>
      </c>
    </row>
    <row r="228" spans="1:12">
      <c r="A228" s="35" t="s">
        <v>53</v>
      </c>
      <c r="B228">
        <v>2008</v>
      </c>
      <c r="C228" s="12">
        <v>791309</v>
      </c>
      <c r="E228" s="12">
        <v>948887</v>
      </c>
      <c r="K228" s="48">
        <v>791309.1</v>
      </c>
    </row>
    <row r="229" spans="1:12">
      <c r="A229" s="35" t="s">
        <v>54</v>
      </c>
      <c r="B229">
        <v>2008</v>
      </c>
      <c r="C229" s="12">
        <v>865320</v>
      </c>
      <c r="E229" s="12">
        <v>876099</v>
      </c>
      <c r="K229" s="48">
        <v>865319.8</v>
      </c>
    </row>
    <row r="230" spans="1:12">
      <c r="A230" s="35" t="s">
        <v>55</v>
      </c>
      <c r="B230">
        <v>2008</v>
      </c>
      <c r="C230" s="12">
        <v>889590</v>
      </c>
      <c r="E230" s="12">
        <v>804350</v>
      </c>
      <c r="K230" s="48">
        <v>889590</v>
      </c>
    </row>
    <row r="231" spans="1:12">
      <c r="A231" s="35" t="s">
        <v>56</v>
      </c>
      <c r="B231">
        <v>2008</v>
      </c>
      <c r="C231" s="12">
        <v>723342</v>
      </c>
      <c r="D231" s="15">
        <f>SUM(C220:C231)</f>
        <v>8978074</v>
      </c>
      <c r="E231" s="12">
        <v>651947</v>
      </c>
      <c r="F231" s="15">
        <f>SUM(E220:E231)</f>
        <v>9530041</v>
      </c>
      <c r="K231" s="48">
        <v>723342.1</v>
      </c>
      <c r="L231" s="15">
        <f>SUM(K220:K231)</f>
        <v>8977975.2000000011</v>
      </c>
    </row>
    <row r="232" spans="1:12">
      <c r="A232" s="35" t="s">
        <v>45</v>
      </c>
      <c r="B232">
        <v>2008</v>
      </c>
      <c r="C232" s="12">
        <v>748639</v>
      </c>
      <c r="E232" s="12">
        <v>508355</v>
      </c>
      <c r="K232" s="48">
        <v>748639.4</v>
      </c>
    </row>
    <row r="233" spans="1:12">
      <c r="A233" s="35" t="s">
        <v>46</v>
      </c>
      <c r="B233">
        <v>2008</v>
      </c>
      <c r="C233" s="12">
        <v>602952</v>
      </c>
      <c r="E233" s="12">
        <v>674912</v>
      </c>
      <c r="K233" s="48">
        <v>602952.1</v>
      </c>
    </row>
    <row r="234" spans="1:12">
      <c r="A234" s="35" t="s">
        <v>47</v>
      </c>
      <c r="B234">
        <v>2008</v>
      </c>
      <c r="C234" s="12">
        <v>800571</v>
      </c>
      <c r="E234" s="12">
        <v>453437</v>
      </c>
      <c r="K234" s="48">
        <v>800571</v>
      </c>
    </row>
    <row r="235" spans="1:12">
      <c r="A235" s="35" t="s">
        <v>48</v>
      </c>
      <c r="B235">
        <v>2009</v>
      </c>
      <c r="C235" s="12">
        <v>802363</v>
      </c>
      <c r="E235" s="12">
        <v>741367</v>
      </c>
      <c r="K235" s="48">
        <v>802343.4</v>
      </c>
    </row>
    <row r="236" spans="1:12">
      <c r="A236" s="35" t="s">
        <v>49</v>
      </c>
      <c r="B236">
        <v>2009</v>
      </c>
      <c r="C236" s="12">
        <v>601810</v>
      </c>
      <c r="E236" s="12">
        <v>679063</v>
      </c>
      <c r="K236" s="48">
        <v>601812.5</v>
      </c>
    </row>
    <row r="237" spans="1:12">
      <c r="A237" s="35" t="s">
        <v>50</v>
      </c>
      <c r="B237">
        <v>2009</v>
      </c>
      <c r="C237" s="12">
        <v>625891</v>
      </c>
      <c r="E237" s="12">
        <v>1036512</v>
      </c>
      <c r="K237" s="48">
        <v>625896.30000000005</v>
      </c>
    </row>
    <row r="238" spans="1:12">
      <c r="A238" s="35" t="s">
        <v>51</v>
      </c>
      <c r="B238">
        <v>2009</v>
      </c>
      <c r="C238" s="12">
        <v>603976</v>
      </c>
      <c r="E238" s="12">
        <v>1174212</v>
      </c>
      <c r="K238" s="48">
        <v>603987</v>
      </c>
    </row>
    <row r="239" spans="1:12">
      <c r="A239" s="35" t="s">
        <v>52</v>
      </c>
      <c r="B239">
        <v>2009</v>
      </c>
      <c r="C239" s="12">
        <v>582235</v>
      </c>
      <c r="E239" s="12">
        <v>977421</v>
      </c>
      <c r="K239" s="48">
        <v>582220.19999999995</v>
      </c>
    </row>
    <row r="240" spans="1:12">
      <c r="A240" s="35" t="s">
        <v>53</v>
      </c>
      <c r="B240">
        <v>2009</v>
      </c>
      <c r="C240" s="12">
        <v>664195</v>
      </c>
      <c r="E240" s="12">
        <v>749584</v>
      </c>
      <c r="K240" s="48">
        <v>664181</v>
      </c>
    </row>
    <row r="241" spans="1:16">
      <c r="A241" s="35" t="s">
        <v>54</v>
      </c>
      <c r="B241">
        <v>2009</v>
      </c>
      <c r="C241" s="12">
        <v>802917</v>
      </c>
      <c r="E241" s="12">
        <v>839933</v>
      </c>
      <c r="K241" s="48">
        <v>802912</v>
      </c>
    </row>
    <row r="242" spans="1:16">
      <c r="A242" s="35" t="s">
        <v>55</v>
      </c>
      <c r="B242">
        <v>2009</v>
      </c>
      <c r="C242" s="12">
        <v>802179</v>
      </c>
      <c r="E242" s="12">
        <v>801257</v>
      </c>
      <c r="K242" s="48">
        <v>802197.9</v>
      </c>
      <c r="N242" s="1">
        <v>802</v>
      </c>
      <c r="O242" s="40">
        <f t="shared" ref="O242:O246" si="0">N242*1000</f>
        <v>802000</v>
      </c>
    </row>
    <row r="243" spans="1:16">
      <c r="A243" s="35" t="s">
        <v>56</v>
      </c>
      <c r="B243">
        <v>2009</v>
      </c>
      <c r="C243" s="12">
        <v>598025</v>
      </c>
      <c r="D243" s="15">
        <f>SUM(C232:C243)</f>
        <v>8235753</v>
      </c>
      <c r="E243" s="12">
        <v>574402</v>
      </c>
      <c r="F243" s="15">
        <f>SUM(E232:E243)</f>
        <v>9210455</v>
      </c>
      <c r="K243" s="48">
        <v>597989.80000000005</v>
      </c>
      <c r="L243" s="15">
        <f>SUM(K232:K243)</f>
        <v>8235702.6000000006</v>
      </c>
      <c r="N243" s="1">
        <v>598</v>
      </c>
      <c r="O243" s="40">
        <f t="shared" si="0"/>
        <v>598000</v>
      </c>
    </row>
    <row r="244" spans="1:16">
      <c r="A244" s="35" t="s">
        <v>45</v>
      </c>
      <c r="B244">
        <v>2009</v>
      </c>
      <c r="C244" s="12">
        <v>619866</v>
      </c>
      <c r="E244" s="12">
        <v>612610</v>
      </c>
      <c r="K244" s="48">
        <v>619869.1</v>
      </c>
      <c r="N244" s="1">
        <v>620</v>
      </c>
      <c r="O244" s="40">
        <f t="shared" si="0"/>
        <v>620000</v>
      </c>
    </row>
    <row r="245" spans="1:16">
      <c r="A245" s="35" t="s">
        <v>46</v>
      </c>
      <c r="B245">
        <v>2009</v>
      </c>
      <c r="C245" s="12">
        <v>691805</v>
      </c>
      <c r="E245" s="12">
        <v>648128</v>
      </c>
      <c r="K245" s="48">
        <v>691791.9</v>
      </c>
      <c r="N245" s="1">
        <v>692</v>
      </c>
      <c r="O245" s="40">
        <f t="shared" si="0"/>
        <v>692000</v>
      </c>
    </row>
    <row r="246" spans="1:16">
      <c r="A246" s="35" t="s">
        <v>47</v>
      </c>
      <c r="B246">
        <v>2009</v>
      </c>
      <c r="C246" s="12">
        <v>901175</v>
      </c>
      <c r="E246" s="12">
        <v>645629</v>
      </c>
      <c r="K246" s="48">
        <v>901179.8</v>
      </c>
      <c r="N246" s="1">
        <v>901</v>
      </c>
      <c r="O246" s="40">
        <f t="shared" si="0"/>
        <v>901000</v>
      </c>
    </row>
    <row r="247" spans="1:16">
      <c r="A247" s="35" t="s">
        <v>48</v>
      </c>
      <c r="B247">
        <v>2010</v>
      </c>
      <c r="C247" s="12">
        <v>900478</v>
      </c>
      <c r="E247" s="12">
        <v>634322</v>
      </c>
      <c r="K247" s="48">
        <v>900478.2</v>
      </c>
      <c r="N247" s="1">
        <v>900</v>
      </c>
      <c r="O247" s="40">
        <f>N247*1000</f>
        <v>900000</v>
      </c>
      <c r="P247" s="53"/>
    </row>
    <row r="248" spans="1:16">
      <c r="A248" s="35" t="s">
        <v>49</v>
      </c>
      <c r="B248">
        <v>2010</v>
      </c>
      <c r="C248" s="12">
        <v>630501</v>
      </c>
      <c r="E248" s="12">
        <v>400427</v>
      </c>
      <c r="K248" s="48">
        <v>630500.6</v>
      </c>
      <c r="N248" s="1">
        <v>631</v>
      </c>
      <c r="O248" s="40">
        <f t="shared" ref="O248:O311" si="1">N248*1000</f>
        <v>631000</v>
      </c>
      <c r="P248" s="53"/>
    </row>
    <row r="249" spans="1:16">
      <c r="A249" s="35" t="s">
        <v>50</v>
      </c>
      <c r="B249">
        <v>2010</v>
      </c>
      <c r="C249" s="12">
        <v>602349</v>
      </c>
      <c r="E249" s="12">
        <v>889313</v>
      </c>
      <c r="K249" s="48">
        <v>602348.80000000005</v>
      </c>
      <c r="N249" s="1">
        <v>602</v>
      </c>
      <c r="O249" s="40">
        <f t="shared" si="1"/>
        <v>602000</v>
      </c>
      <c r="P249" s="53"/>
    </row>
    <row r="250" spans="1:16">
      <c r="A250" s="35" t="s">
        <v>51</v>
      </c>
      <c r="B250">
        <v>2010</v>
      </c>
      <c r="C250" s="12">
        <v>601915</v>
      </c>
      <c r="E250" s="12">
        <v>932990</v>
      </c>
      <c r="K250" s="48">
        <v>601914.69999999995</v>
      </c>
      <c r="N250" s="1">
        <v>602</v>
      </c>
      <c r="O250" s="40">
        <f t="shared" si="1"/>
        <v>602000</v>
      </c>
      <c r="P250" s="53"/>
    </row>
    <row r="251" spans="1:16">
      <c r="A251" s="35" t="s">
        <v>52</v>
      </c>
      <c r="B251">
        <v>2010</v>
      </c>
      <c r="C251" s="12">
        <v>601342</v>
      </c>
      <c r="E251" s="12">
        <v>960947</v>
      </c>
      <c r="K251" s="48">
        <v>601341.5</v>
      </c>
      <c r="N251" s="1">
        <v>601</v>
      </c>
      <c r="O251" s="40">
        <f t="shared" si="1"/>
        <v>601000</v>
      </c>
      <c r="P251" s="53"/>
    </row>
    <row r="252" spans="1:16">
      <c r="A252" s="35" t="s">
        <v>53</v>
      </c>
      <c r="B252">
        <v>2010</v>
      </c>
      <c r="C252" s="12">
        <v>600984</v>
      </c>
      <c r="E252" s="12">
        <v>1007173</v>
      </c>
      <c r="K252" s="48">
        <v>600984.1</v>
      </c>
      <c r="N252" s="1">
        <v>601</v>
      </c>
      <c r="O252" s="40">
        <f t="shared" si="1"/>
        <v>601000</v>
      </c>
      <c r="P252" s="53"/>
    </row>
    <row r="253" spans="1:16">
      <c r="A253" s="35" t="s">
        <v>54</v>
      </c>
      <c r="B253">
        <v>2010</v>
      </c>
      <c r="C253" s="12">
        <v>802463</v>
      </c>
      <c r="E253" s="12">
        <v>940805</v>
      </c>
      <c r="K253" s="48">
        <v>802463.2</v>
      </c>
      <c r="N253" s="1">
        <v>802</v>
      </c>
      <c r="O253" s="40">
        <f t="shared" si="1"/>
        <v>802000</v>
      </c>
      <c r="P253" s="53"/>
    </row>
    <row r="254" spans="1:16">
      <c r="A254" s="35" t="s">
        <v>55</v>
      </c>
      <c r="B254">
        <v>2010</v>
      </c>
      <c r="C254" s="12">
        <v>801694</v>
      </c>
      <c r="E254" s="12">
        <v>828841</v>
      </c>
      <c r="K254" s="48">
        <v>801694</v>
      </c>
      <c r="N254" s="1">
        <v>802</v>
      </c>
      <c r="O254" s="40">
        <f t="shared" si="1"/>
        <v>802000</v>
      </c>
      <c r="P254" s="53"/>
    </row>
    <row r="255" spans="1:16">
      <c r="A255" s="35" t="s">
        <v>56</v>
      </c>
      <c r="B255">
        <v>2010</v>
      </c>
      <c r="C255" s="12">
        <v>480189</v>
      </c>
      <c r="D255" s="15">
        <f>SUM(C244:C255)</f>
        <v>8234761</v>
      </c>
      <c r="E255" s="12">
        <v>758480</v>
      </c>
      <c r="F255" s="45">
        <f>SUM(E244:E255)</f>
        <v>9259665</v>
      </c>
      <c r="K255" s="48">
        <v>480188.6</v>
      </c>
      <c r="L255" s="15">
        <f>SUM(K244:K255)</f>
        <v>8234754.5</v>
      </c>
      <c r="N255" s="1">
        <v>480</v>
      </c>
      <c r="O255" s="40">
        <f t="shared" si="1"/>
        <v>480000</v>
      </c>
      <c r="P255" s="15">
        <f>SUM(O244:O255)</f>
        <v>8234000</v>
      </c>
    </row>
    <row r="256" spans="1:16">
      <c r="A256" s="35" t="s">
        <v>45</v>
      </c>
      <c r="B256">
        <v>2010</v>
      </c>
      <c r="C256" s="12">
        <v>495480</v>
      </c>
      <c r="E256" s="12">
        <v>637585</v>
      </c>
      <c r="J256" s="40"/>
      <c r="K256" s="48">
        <v>495479.7</v>
      </c>
      <c r="N256" s="1">
        <v>495</v>
      </c>
      <c r="O256" s="40">
        <f t="shared" si="1"/>
        <v>495000</v>
      </c>
    </row>
    <row r="257" spans="1:16">
      <c r="A257" s="35" t="s">
        <v>46</v>
      </c>
      <c r="B257">
        <v>2010</v>
      </c>
      <c r="C257" s="12">
        <v>809825</v>
      </c>
      <c r="E257" s="12">
        <v>799870</v>
      </c>
      <c r="J257" s="40"/>
      <c r="K257" s="48">
        <v>809825.3</v>
      </c>
      <c r="N257" s="1">
        <v>810</v>
      </c>
      <c r="O257" s="40">
        <f t="shared" si="1"/>
        <v>810000</v>
      </c>
    </row>
    <row r="258" spans="1:16">
      <c r="A258" s="35" t="s">
        <v>47</v>
      </c>
      <c r="B258">
        <v>2010</v>
      </c>
      <c r="C258" s="12">
        <v>846584</v>
      </c>
      <c r="E258" s="12">
        <v>660041</v>
      </c>
      <c r="J258" s="40"/>
      <c r="K258" s="48">
        <v>846548</v>
      </c>
      <c r="N258" s="1">
        <v>847</v>
      </c>
      <c r="O258" s="40">
        <f t="shared" si="1"/>
        <v>847000</v>
      </c>
    </row>
    <row r="259" spans="1:16">
      <c r="A259" s="35" t="s">
        <v>48</v>
      </c>
      <c r="B259">
        <v>2011</v>
      </c>
      <c r="C259" s="12">
        <v>1012000</v>
      </c>
      <c r="E259" s="12">
        <v>539700</v>
      </c>
      <c r="J259" s="40"/>
      <c r="K259" s="48">
        <v>997214</v>
      </c>
      <c r="N259" s="1">
        <v>997</v>
      </c>
      <c r="O259" s="40">
        <f t="shared" si="1"/>
        <v>997000</v>
      </c>
    </row>
    <row r="260" spans="1:16">
      <c r="A260" s="35" t="s">
        <v>49</v>
      </c>
      <c r="B260">
        <v>2011</v>
      </c>
      <c r="C260" s="12">
        <v>975900</v>
      </c>
      <c r="E260" s="12">
        <v>634400</v>
      </c>
      <c r="G260" s="15">
        <f>SUM(E249:E260)</f>
        <v>9590145</v>
      </c>
      <c r="H260" s="15">
        <f>SUM(C249:C260)</f>
        <v>8630725</v>
      </c>
      <c r="J260" s="40"/>
      <c r="K260" s="48">
        <v>964084.3</v>
      </c>
      <c r="M260" s="15">
        <f>SUM(K249:K260)</f>
        <v>8604086.1999999993</v>
      </c>
      <c r="N260" s="1">
        <v>964</v>
      </c>
      <c r="O260" s="40">
        <f t="shared" si="1"/>
        <v>964000</v>
      </c>
    </row>
    <row r="261" spans="1:16">
      <c r="A261" s="35" t="s">
        <v>50</v>
      </c>
      <c r="B261">
        <v>2011</v>
      </c>
      <c r="C261" s="12">
        <v>1046000</v>
      </c>
      <c r="E261" s="12">
        <v>1006000</v>
      </c>
      <c r="J261" s="40"/>
      <c r="K261" s="48">
        <v>1033242</v>
      </c>
      <c r="N261" s="1">
        <v>1033</v>
      </c>
      <c r="O261" s="40">
        <f t="shared" si="1"/>
        <v>1033000</v>
      </c>
    </row>
    <row r="262" spans="1:16">
      <c r="A262" s="35" t="s">
        <v>51</v>
      </c>
      <c r="B262">
        <v>2011</v>
      </c>
      <c r="C262" s="12">
        <v>962600</v>
      </c>
      <c r="E262" s="12">
        <v>1078000</v>
      </c>
      <c r="J262" s="40"/>
      <c r="K262" s="48">
        <v>940041.9</v>
      </c>
      <c r="N262" s="1">
        <v>940</v>
      </c>
      <c r="O262" s="40">
        <f t="shared" si="1"/>
        <v>940000</v>
      </c>
    </row>
    <row r="263" spans="1:16">
      <c r="A263" s="35" t="s">
        <v>52</v>
      </c>
      <c r="B263">
        <v>2011</v>
      </c>
      <c r="C263" s="12">
        <v>1191000</v>
      </c>
      <c r="E263" s="12">
        <v>1002000</v>
      </c>
      <c r="J263" s="40"/>
      <c r="K263" s="48">
        <v>1171155</v>
      </c>
      <c r="N263" s="1">
        <v>1171</v>
      </c>
      <c r="O263" s="40">
        <f t="shared" si="1"/>
        <v>1171000</v>
      </c>
    </row>
    <row r="264" spans="1:16">
      <c r="A264" s="35" t="s">
        <v>53</v>
      </c>
      <c r="B264">
        <v>2011</v>
      </c>
      <c r="C264" s="12">
        <v>1391000</v>
      </c>
      <c r="E264" s="12">
        <v>939600</v>
      </c>
      <c r="J264" s="40"/>
      <c r="K264" s="48">
        <v>1376733</v>
      </c>
      <c r="N264" s="1">
        <v>1377</v>
      </c>
      <c r="O264" s="40">
        <f t="shared" si="1"/>
        <v>1377000</v>
      </c>
    </row>
    <row r="265" spans="1:16">
      <c r="A265" s="35" t="s">
        <v>54</v>
      </c>
      <c r="B265">
        <v>2011</v>
      </c>
      <c r="C265" s="12">
        <v>1502000</v>
      </c>
      <c r="E265" s="12">
        <v>1002000</v>
      </c>
      <c r="J265" s="40"/>
      <c r="K265" s="48">
        <v>1483340</v>
      </c>
      <c r="N265" s="1">
        <v>1483</v>
      </c>
      <c r="O265" s="40">
        <f t="shared" si="1"/>
        <v>1483000</v>
      </c>
    </row>
    <row r="266" spans="1:16">
      <c r="A266" s="35" t="s">
        <v>55</v>
      </c>
      <c r="B266">
        <v>2011</v>
      </c>
      <c r="C266" s="12">
        <v>1501000</v>
      </c>
      <c r="E266" s="12">
        <v>831300</v>
      </c>
      <c r="F266" s="15"/>
      <c r="J266" s="40"/>
      <c r="K266" s="48">
        <v>1478548</v>
      </c>
      <c r="N266" s="1">
        <v>1479</v>
      </c>
      <c r="O266" s="40">
        <f t="shared" si="1"/>
        <v>1479000</v>
      </c>
    </row>
    <row r="267" spans="1:16">
      <c r="A267" s="35" t="s">
        <v>56</v>
      </c>
      <c r="B267">
        <v>2011</v>
      </c>
      <c r="C267" s="12">
        <v>957000</v>
      </c>
      <c r="D267" s="15">
        <f>SUM(C256:C267)</f>
        <v>12690389</v>
      </c>
      <c r="E267" s="12">
        <v>669800</v>
      </c>
      <c r="F267" s="15">
        <f>SUM(E256:E267)</f>
        <v>9800296</v>
      </c>
      <c r="J267" s="40"/>
      <c r="K267" s="48">
        <v>921987.2</v>
      </c>
      <c r="L267" s="15">
        <f>SUM(K256:K267)</f>
        <v>12518198.399999999</v>
      </c>
      <c r="N267" s="1">
        <v>922</v>
      </c>
      <c r="O267" s="40">
        <f t="shared" si="1"/>
        <v>922000</v>
      </c>
      <c r="P267" s="15">
        <f>SUM(O256:O267)</f>
        <v>12518000</v>
      </c>
    </row>
    <row r="268" spans="1:16">
      <c r="A268" s="35" t="s">
        <v>45</v>
      </c>
      <c r="B268">
        <v>2011</v>
      </c>
      <c r="C268" s="12">
        <v>979500</v>
      </c>
      <c r="E268" s="12">
        <v>443300</v>
      </c>
      <c r="K268" s="48">
        <v>956084</v>
      </c>
      <c r="N268" s="1">
        <v>956</v>
      </c>
      <c r="O268" s="40">
        <f t="shared" si="1"/>
        <v>956000</v>
      </c>
    </row>
    <row r="269" spans="1:16">
      <c r="A269" s="35" t="s">
        <v>46</v>
      </c>
      <c r="B269">
        <v>2011</v>
      </c>
      <c r="C269" s="12">
        <v>1104000</v>
      </c>
      <c r="E269" s="12">
        <v>564200</v>
      </c>
      <c r="K269" s="48">
        <v>1099179</v>
      </c>
      <c r="N269" s="1">
        <v>1099</v>
      </c>
      <c r="O269" s="40">
        <f t="shared" si="1"/>
        <v>1099000</v>
      </c>
    </row>
    <row r="270" spans="1:16">
      <c r="A270" s="35" t="s">
        <v>47</v>
      </c>
      <c r="B270">
        <v>2011</v>
      </c>
      <c r="C270" s="12">
        <v>1226000</v>
      </c>
      <c r="E270" s="12">
        <v>496700</v>
      </c>
      <c r="K270" s="48">
        <v>1223368</v>
      </c>
      <c r="N270" s="1">
        <v>1223</v>
      </c>
      <c r="O270" s="40">
        <f t="shared" si="1"/>
        <v>1223000</v>
      </c>
    </row>
    <row r="271" spans="1:16">
      <c r="A271" s="35" t="s">
        <v>48</v>
      </c>
      <c r="B271">
        <v>2012</v>
      </c>
      <c r="C271" s="12">
        <v>846400</v>
      </c>
      <c r="E271" s="12">
        <v>713100</v>
      </c>
      <c r="K271" s="48">
        <v>851864</v>
      </c>
      <c r="N271" s="1">
        <v>852</v>
      </c>
      <c r="O271" s="40">
        <f t="shared" si="1"/>
        <v>852000</v>
      </c>
    </row>
    <row r="272" spans="1:16">
      <c r="A272" s="35" t="s">
        <v>49</v>
      </c>
      <c r="B272">
        <v>2012</v>
      </c>
      <c r="C272" s="12">
        <v>654200</v>
      </c>
      <c r="E272" s="12">
        <v>775700</v>
      </c>
      <c r="G272" s="15">
        <f>SUM(E261:E272)</f>
        <v>9521700</v>
      </c>
      <c r="H272" s="15">
        <f>SUM(C261:C272)</f>
        <v>13360700</v>
      </c>
      <c r="K272" s="48">
        <v>652572.4</v>
      </c>
      <c r="M272" s="15">
        <f>SUM(K261:K272)</f>
        <v>13188114.5</v>
      </c>
      <c r="N272" s="1">
        <v>653</v>
      </c>
      <c r="O272" s="40">
        <f t="shared" si="1"/>
        <v>653000</v>
      </c>
    </row>
    <row r="273" spans="1:16">
      <c r="A273" s="35" t="s">
        <v>50</v>
      </c>
      <c r="B273">
        <v>2012</v>
      </c>
      <c r="C273" s="12">
        <v>607000</v>
      </c>
      <c r="E273" s="12">
        <v>986000</v>
      </c>
      <c r="K273" s="48">
        <v>600014.80000000005</v>
      </c>
      <c r="N273" s="1">
        <v>600</v>
      </c>
      <c r="O273" s="40">
        <f t="shared" si="1"/>
        <v>600000</v>
      </c>
    </row>
    <row r="274" spans="1:16">
      <c r="A274" s="35" t="s">
        <v>51</v>
      </c>
      <c r="B274">
        <v>2012</v>
      </c>
      <c r="C274" s="12">
        <v>611800</v>
      </c>
      <c r="E274" s="12">
        <v>1170000</v>
      </c>
      <c r="K274" s="48">
        <v>606337.30000000005</v>
      </c>
      <c r="N274" s="1">
        <v>606</v>
      </c>
      <c r="O274" s="40">
        <f t="shared" si="1"/>
        <v>606000</v>
      </c>
    </row>
    <row r="275" spans="1:16">
      <c r="A275" s="35" t="s">
        <v>52</v>
      </c>
      <c r="B275">
        <v>2012</v>
      </c>
      <c r="C275" s="12">
        <v>605900</v>
      </c>
      <c r="E275" s="12">
        <v>1006000</v>
      </c>
      <c r="K275" s="48">
        <v>600918.69999999995</v>
      </c>
      <c r="N275" s="1">
        <v>601</v>
      </c>
      <c r="O275" s="40">
        <f t="shared" si="1"/>
        <v>601000</v>
      </c>
    </row>
    <row r="276" spans="1:16">
      <c r="A276" s="35" t="s">
        <v>53</v>
      </c>
      <c r="B276">
        <v>2012</v>
      </c>
      <c r="C276" s="12">
        <v>712200</v>
      </c>
      <c r="E276" s="12">
        <v>989700</v>
      </c>
      <c r="K276" s="48">
        <v>708595.8</v>
      </c>
      <c r="N276" s="1">
        <v>709</v>
      </c>
      <c r="O276" s="40">
        <f t="shared" si="1"/>
        <v>709000</v>
      </c>
    </row>
    <row r="277" spans="1:16">
      <c r="A277" s="35" t="s">
        <v>54</v>
      </c>
      <c r="B277">
        <v>2012</v>
      </c>
      <c r="C277" s="12">
        <v>892400</v>
      </c>
      <c r="E277" s="12">
        <v>841269</v>
      </c>
      <c r="K277" s="48">
        <v>885773.5</v>
      </c>
      <c r="N277" s="1">
        <v>886</v>
      </c>
      <c r="O277" s="40">
        <f t="shared" si="1"/>
        <v>886000</v>
      </c>
    </row>
    <row r="278" spans="1:16">
      <c r="A278" s="35" t="s">
        <v>55</v>
      </c>
      <c r="B278">
        <v>2012</v>
      </c>
      <c r="C278" s="12">
        <v>810300</v>
      </c>
      <c r="E278" s="12">
        <v>798526</v>
      </c>
      <c r="K278" s="48">
        <v>800393.8</v>
      </c>
      <c r="N278" s="1">
        <v>800</v>
      </c>
      <c r="O278" s="40">
        <f t="shared" si="1"/>
        <v>800000</v>
      </c>
    </row>
    <row r="279" spans="1:16">
      <c r="A279" s="35" t="s">
        <v>56</v>
      </c>
      <c r="B279">
        <v>2012</v>
      </c>
      <c r="C279" s="12">
        <v>478000</v>
      </c>
      <c r="D279" s="15">
        <f>SUM(C268:C279)</f>
        <v>9527700</v>
      </c>
      <c r="E279" s="12">
        <v>635484</v>
      </c>
      <c r="F279" s="15">
        <f>SUM(E268:E279)</f>
        <v>9419979</v>
      </c>
      <c r="K279" s="48">
        <v>480840.9</v>
      </c>
      <c r="L279" s="15">
        <f>SUM(K268:K279)</f>
        <v>9465942.2000000011</v>
      </c>
      <c r="N279" s="1">
        <v>481</v>
      </c>
      <c r="O279" s="40">
        <f t="shared" si="1"/>
        <v>481000</v>
      </c>
      <c r="P279" s="15">
        <f>SUM(O268:O279)</f>
        <v>9466000</v>
      </c>
    </row>
    <row r="280" spans="1:16">
      <c r="A280" s="35" t="s">
        <v>45</v>
      </c>
      <c r="B280">
        <v>2012</v>
      </c>
      <c r="C280" s="12">
        <v>495200</v>
      </c>
      <c r="E280" s="12">
        <v>345481</v>
      </c>
      <c r="K280" s="48">
        <v>498059</v>
      </c>
      <c r="N280" s="1">
        <v>498</v>
      </c>
      <c r="O280" s="40">
        <f t="shared" si="1"/>
        <v>498000</v>
      </c>
    </row>
    <row r="281" spans="1:16">
      <c r="A281" s="35" t="s">
        <v>46</v>
      </c>
      <c r="B281">
        <v>2012</v>
      </c>
      <c r="C281" s="12">
        <v>736000</v>
      </c>
      <c r="E281" s="12">
        <v>650360</v>
      </c>
      <c r="K281" s="48">
        <v>729978.2</v>
      </c>
      <c r="N281" s="1">
        <v>730</v>
      </c>
      <c r="O281" s="40">
        <f t="shared" si="1"/>
        <v>730000</v>
      </c>
    </row>
    <row r="282" spans="1:16">
      <c r="A282" s="35" t="s">
        <v>47</v>
      </c>
      <c r="B282">
        <v>2012</v>
      </c>
      <c r="C282" s="12">
        <v>799500</v>
      </c>
      <c r="E282" s="12">
        <v>475636</v>
      </c>
      <c r="K282" s="48">
        <v>800945.1</v>
      </c>
      <c r="N282" s="1">
        <v>801</v>
      </c>
      <c r="O282" s="40">
        <f t="shared" si="1"/>
        <v>801000</v>
      </c>
    </row>
    <row r="283" spans="1:16">
      <c r="A283" s="35" t="s">
        <v>48</v>
      </c>
      <c r="B283">
        <v>2013</v>
      </c>
      <c r="C283" s="12">
        <v>800838</v>
      </c>
      <c r="E283" s="12">
        <v>608857</v>
      </c>
      <c r="K283" s="48">
        <v>800838</v>
      </c>
      <c r="N283" s="1">
        <v>801</v>
      </c>
      <c r="O283" s="40">
        <f t="shared" si="1"/>
        <v>801000</v>
      </c>
    </row>
    <row r="284" spans="1:16">
      <c r="A284" s="35" t="s">
        <v>49</v>
      </c>
      <c r="B284">
        <v>2013</v>
      </c>
      <c r="C284" s="12">
        <v>599801</v>
      </c>
      <c r="E284" s="12">
        <v>646350</v>
      </c>
      <c r="G284" s="15">
        <f>SUM(E273:E284)</f>
        <v>9153663</v>
      </c>
      <c r="H284" s="15">
        <f>SUM(C273:C284)</f>
        <v>8148939</v>
      </c>
      <c r="K284" s="48">
        <v>599801.19999999995</v>
      </c>
      <c r="M284" s="15">
        <f>SUM(K273:K284)</f>
        <v>8112496.3000000007</v>
      </c>
      <c r="N284" s="1">
        <v>600</v>
      </c>
      <c r="O284" s="40">
        <f t="shared" si="1"/>
        <v>600000</v>
      </c>
    </row>
    <row r="285" spans="1:16">
      <c r="A285" s="35" t="s">
        <v>50</v>
      </c>
      <c r="B285">
        <v>2013</v>
      </c>
      <c r="C285" s="12">
        <v>601200</v>
      </c>
      <c r="E285" s="12">
        <v>987074</v>
      </c>
      <c r="K285" s="48">
        <v>601199.6</v>
      </c>
      <c r="N285" s="1">
        <v>601</v>
      </c>
      <c r="O285" s="40">
        <f t="shared" si="1"/>
        <v>601000</v>
      </c>
    </row>
    <row r="286" spans="1:16">
      <c r="A286" s="35" t="s">
        <v>51</v>
      </c>
      <c r="B286">
        <v>2013</v>
      </c>
      <c r="C286" s="12">
        <v>550907</v>
      </c>
      <c r="E286" s="12">
        <v>1103099</v>
      </c>
      <c r="K286" s="48">
        <v>550907</v>
      </c>
      <c r="N286" s="1">
        <v>551</v>
      </c>
      <c r="O286" s="40">
        <f t="shared" si="1"/>
        <v>551000</v>
      </c>
    </row>
    <row r="287" spans="1:16">
      <c r="A287" s="35" t="s">
        <v>52</v>
      </c>
      <c r="B287">
        <v>2013</v>
      </c>
      <c r="C287" s="12">
        <v>601526</v>
      </c>
      <c r="E287" s="12">
        <v>1006651</v>
      </c>
      <c r="K287" s="48">
        <v>601526.1</v>
      </c>
      <c r="N287" s="1">
        <v>602</v>
      </c>
      <c r="O287" s="40">
        <f t="shared" si="1"/>
        <v>602000</v>
      </c>
    </row>
    <row r="288" spans="1:16">
      <c r="A288" s="35" t="s">
        <v>53</v>
      </c>
      <c r="B288">
        <v>2013</v>
      </c>
      <c r="C288" s="12">
        <v>799858</v>
      </c>
      <c r="E288" s="12">
        <v>947681</v>
      </c>
      <c r="K288" s="48">
        <v>799858.3</v>
      </c>
      <c r="N288" s="1">
        <v>800</v>
      </c>
      <c r="O288" s="40">
        <f t="shared" si="1"/>
        <v>800000</v>
      </c>
    </row>
    <row r="289" spans="1:16">
      <c r="A289" s="35" t="s">
        <v>54</v>
      </c>
      <c r="B289">
        <v>2013</v>
      </c>
      <c r="C289" s="12">
        <v>847502</v>
      </c>
      <c r="E289" s="12">
        <v>864869</v>
      </c>
      <c r="K289" s="48">
        <v>847501.8</v>
      </c>
      <c r="N289" s="1">
        <v>848</v>
      </c>
      <c r="O289" s="40">
        <f t="shared" si="1"/>
        <v>848000</v>
      </c>
    </row>
    <row r="290" spans="1:16">
      <c r="A290" s="35" t="s">
        <v>55</v>
      </c>
      <c r="B290">
        <v>2013</v>
      </c>
      <c r="C290" s="12">
        <v>800964</v>
      </c>
      <c r="E290" s="12">
        <v>807874</v>
      </c>
      <c r="K290" s="48">
        <v>800964.4</v>
      </c>
      <c r="N290" s="1">
        <v>801</v>
      </c>
      <c r="O290" s="40">
        <f t="shared" si="1"/>
        <v>801000</v>
      </c>
    </row>
    <row r="291" spans="1:16">
      <c r="A291" s="35" t="s">
        <v>56</v>
      </c>
      <c r="B291">
        <v>2013</v>
      </c>
      <c r="C291" s="12">
        <v>600491</v>
      </c>
      <c r="D291" s="15">
        <f>SUM(C280:C291)</f>
        <v>8233787</v>
      </c>
      <c r="E291" s="12">
        <v>598691</v>
      </c>
      <c r="F291" s="15">
        <f>SUM(E280:E291)</f>
        <v>9042623</v>
      </c>
      <c r="K291" s="48">
        <v>600491.5</v>
      </c>
      <c r="L291" s="15">
        <f>SUM(K280:K291)</f>
        <v>8232070.1999999993</v>
      </c>
      <c r="N291" s="1">
        <v>600</v>
      </c>
      <c r="O291" s="40">
        <f t="shared" si="1"/>
        <v>600000</v>
      </c>
      <c r="P291" s="15">
        <f>SUM(O280:O291)</f>
        <v>8233000</v>
      </c>
    </row>
    <row r="292" spans="1:16">
      <c r="A292" s="35" t="s">
        <v>45</v>
      </c>
      <c r="B292">
        <v>2013</v>
      </c>
      <c r="C292" s="12">
        <v>481091</v>
      </c>
      <c r="E292" s="12">
        <v>732807</v>
      </c>
      <c r="K292" s="48">
        <v>481090.5</v>
      </c>
      <c r="N292" s="1">
        <v>481</v>
      </c>
      <c r="O292" s="40">
        <f t="shared" si="1"/>
        <v>481000</v>
      </c>
    </row>
    <row r="293" spans="1:16">
      <c r="A293" s="35" t="s">
        <v>46</v>
      </c>
      <c r="B293">
        <v>2013</v>
      </c>
      <c r="C293" s="12">
        <v>680427</v>
      </c>
      <c r="E293" s="12">
        <v>513358</v>
      </c>
      <c r="K293" s="48">
        <v>696129.6</v>
      </c>
      <c r="N293" s="1">
        <v>696</v>
      </c>
      <c r="O293" s="40">
        <f t="shared" si="1"/>
        <v>696000</v>
      </c>
    </row>
    <row r="294" spans="1:16">
      <c r="A294" s="35" t="s">
        <v>47</v>
      </c>
      <c r="B294">
        <v>2013</v>
      </c>
      <c r="C294" s="12">
        <v>600656</v>
      </c>
      <c r="E294" s="12">
        <v>557970</v>
      </c>
      <c r="K294" s="48">
        <v>600656.30000000005</v>
      </c>
      <c r="N294" s="1">
        <v>601</v>
      </c>
      <c r="O294" s="40">
        <f t="shared" si="1"/>
        <v>601000</v>
      </c>
    </row>
    <row r="295" spans="1:16">
      <c r="A295" s="35" t="s">
        <v>48</v>
      </c>
      <c r="B295">
        <v>2014</v>
      </c>
      <c r="C295" s="12">
        <v>800322</v>
      </c>
      <c r="E295" s="12">
        <v>605470</v>
      </c>
      <c r="K295" s="48">
        <v>800321.8</v>
      </c>
      <c r="N295" s="1">
        <v>800</v>
      </c>
      <c r="O295" s="40">
        <f t="shared" si="1"/>
        <v>800000</v>
      </c>
    </row>
    <row r="296" spans="1:16">
      <c r="A296" s="35" t="s">
        <v>49</v>
      </c>
      <c r="B296">
        <v>2014</v>
      </c>
      <c r="C296" s="12">
        <v>599471</v>
      </c>
      <c r="E296" s="12">
        <v>717087</v>
      </c>
      <c r="G296" s="15">
        <f>SUM(E285:E296)</f>
        <v>9442631</v>
      </c>
      <c r="H296" s="15">
        <f>SUM(C285:C296)</f>
        <v>7964415</v>
      </c>
      <c r="K296" s="48">
        <v>599470.69999999995</v>
      </c>
      <c r="M296" s="15">
        <f>SUM(K285:K296)</f>
        <v>7980117.5999999996</v>
      </c>
      <c r="N296" s="1">
        <v>599</v>
      </c>
      <c r="O296" s="40">
        <f t="shared" si="1"/>
        <v>599000</v>
      </c>
    </row>
    <row r="297" spans="1:16">
      <c r="A297" s="35" t="s">
        <v>50</v>
      </c>
      <c r="B297">
        <v>2014</v>
      </c>
      <c r="C297" s="12">
        <v>503514</v>
      </c>
      <c r="E297" s="12">
        <v>1089771</v>
      </c>
      <c r="K297" s="48">
        <v>503514.2</v>
      </c>
      <c r="N297" s="1">
        <v>504</v>
      </c>
      <c r="O297" s="40">
        <f t="shared" si="1"/>
        <v>504000</v>
      </c>
    </row>
    <row r="298" spans="1:16">
      <c r="A298" s="35" t="s">
        <v>51</v>
      </c>
      <c r="B298">
        <v>2014</v>
      </c>
      <c r="C298" s="12">
        <v>501685</v>
      </c>
      <c r="E298" s="12">
        <v>1133734</v>
      </c>
      <c r="K298" s="48">
        <v>501685.3</v>
      </c>
      <c r="N298" s="1">
        <v>502</v>
      </c>
      <c r="O298" s="40">
        <f t="shared" si="1"/>
        <v>502000</v>
      </c>
    </row>
    <row r="299" spans="1:16">
      <c r="A299" s="35" t="s">
        <v>52</v>
      </c>
      <c r="B299">
        <v>2014</v>
      </c>
      <c r="C299" s="12">
        <v>493263</v>
      </c>
      <c r="E299" s="12">
        <v>1085576</v>
      </c>
      <c r="K299" s="48">
        <v>493263.2</v>
      </c>
      <c r="N299" s="1">
        <v>493</v>
      </c>
      <c r="O299" s="40">
        <f t="shared" si="1"/>
        <v>493000</v>
      </c>
    </row>
    <row r="300" spans="1:16">
      <c r="A300" s="35" t="s">
        <v>53</v>
      </c>
      <c r="B300">
        <v>2014</v>
      </c>
      <c r="C300" s="12">
        <v>598253</v>
      </c>
      <c r="E300" s="12">
        <v>959403</v>
      </c>
      <c r="K300" s="48">
        <v>598252.69999999995</v>
      </c>
      <c r="N300" s="1">
        <v>598</v>
      </c>
      <c r="O300" s="40">
        <f t="shared" si="1"/>
        <v>598000</v>
      </c>
    </row>
    <row r="301" spans="1:16">
      <c r="A301" s="35" t="s">
        <v>54</v>
      </c>
      <c r="B301">
        <v>2014</v>
      </c>
      <c r="C301" s="12">
        <v>800029</v>
      </c>
      <c r="E301" s="12">
        <v>942819</v>
      </c>
      <c r="K301" s="48">
        <v>800029.5</v>
      </c>
      <c r="N301" s="1">
        <v>800</v>
      </c>
      <c r="O301" s="40">
        <f t="shared" si="1"/>
        <v>800000</v>
      </c>
    </row>
    <row r="302" spans="1:16">
      <c r="A302" s="35" t="s">
        <v>55</v>
      </c>
      <c r="B302">
        <v>2014</v>
      </c>
      <c r="C302" s="12">
        <v>801049</v>
      </c>
      <c r="E302" s="12">
        <v>735220</v>
      </c>
      <c r="K302" s="48">
        <v>801048.8</v>
      </c>
      <c r="N302" s="1">
        <v>801</v>
      </c>
      <c r="O302" s="40">
        <f t="shared" si="1"/>
        <v>801000</v>
      </c>
    </row>
    <row r="303" spans="1:16">
      <c r="A303" s="35" t="s">
        <v>56</v>
      </c>
      <c r="B303">
        <v>2014</v>
      </c>
      <c r="C303" s="12">
        <v>604195</v>
      </c>
      <c r="D303" s="15">
        <f>SUM(C292:C303)</f>
        <v>7463955</v>
      </c>
      <c r="E303" s="12">
        <v>685769</v>
      </c>
      <c r="F303" s="15">
        <f>SUM(E292:E303)</f>
        <v>9758984</v>
      </c>
      <c r="K303" s="48">
        <v>604194.5</v>
      </c>
      <c r="L303" s="15">
        <f>SUM(K292:K303)</f>
        <v>7479657.1000000006</v>
      </c>
      <c r="N303" s="1">
        <v>604</v>
      </c>
      <c r="O303" s="40">
        <f t="shared" si="1"/>
        <v>604000</v>
      </c>
      <c r="P303" s="15">
        <f>SUM(O292:O303)</f>
        <v>7479000</v>
      </c>
    </row>
    <row r="304" spans="1:16">
      <c r="A304" s="35" t="s">
        <v>45</v>
      </c>
      <c r="B304">
        <v>2014</v>
      </c>
      <c r="C304" s="12">
        <v>597939</v>
      </c>
      <c r="E304" s="12">
        <v>471828</v>
      </c>
      <c r="K304" s="48">
        <v>597939.30000000005</v>
      </c>
      <c r="N304" s="1">
        <v>598</v>
      </c>
      <c r="O304" s="40">
        <f t="shared" si="1"/>
        <v>598000</v>
      </c>
    </row>
    <row r="305" spans="1:16">
      <c r="A305" s="35" t="s">
        <v>46</v>
      </c>
      <c r="B305">
        <v>2014</v>
      </c>
      <c r="C305" s="12">
        <v>776770</v>
      </c>
      <c r="E305" s="12">
        <v>695041</v>
      </c>
      <c r="K305" s="48">
        <v>776770.2</v>
      </c>
      <c r="N305" s="1">
        <v>777</v>
      </c>
      <c r="O305" s="40">
        <f t="shared" si="1"/>
        <v>777000</v>
      </c>
    </row>
    <row r="306" spans="1:16">
      <c r="A306" s="35" t="s">
        <v>47</v>
      </c>
      <c r="B306">
        <v>2014</v>
      </c>
      <c r="C306" s="12">
        <v>864375</v>
      </c>
      <c r="D306" s="15"/>
      <c r="E306" s="12">
        <v>493122</v>
      </c>
      <c r="K306" s="48">
        <v>864374.5</v>
      </c>
      <c r="L306" s="15"/>
      <c r="N306" s="1">
        <v>864</v>
      </c>
      <c r="O306" s="40">
        <f t="shared" si="1"/>
        <v>864000</v>
      </c>
      <c r="P306" s="15"/>
    </row>
    <row r="307" spans="1:16">
      <c r="A307" s="35" t="s">
        <v>48</v>
      </c>
      <c r="B307">
        <v>2015</v>
      </c>
      <c r="C307" s="12">
        <v>862083</v>
      </c>
      <c r="E307" s="12">
        <v>832489</v>
      </c>
      <c r="K307" s="48">
        <v>862083</v>
      </c>
      <c r="N307" s="1">
        <v>862</v>
      </c>
      <c r="O307" s="40">
        <f>N307*1000</f>
        <v>862000</v>
      </c>
    </row>
    <row r="308" spans="1:16">
      <c r="A308" s="35" t="s">
        <v>49</v>
      </c>
      <c r="B308">
        <v>2015</v>
      </c>
      <c r="C308" s="12">
        <v>589193</v>
      </c>
      <c r="E308" s="12">
        <v>600170</v>
      </c>
      <c r="G308" s="15">
        <f>SUM(E297:E308)</f>
        <v>9724942</v>
      </c>
      <c r="H308" s="15">
        <f>SUM(C297:C308)</f>
        <v>7992348</v>
      </c>
      <c r="K308" s="48">
        <v>589192.9</v>
      </c>
      <c r="M308" s="15">
        <f>SUM(K297:K308)</f>
        <v>7992348.1000000006</v>
      </c>
      <c r="N308" s="1">
        <v>589</v>
      </c>
      <c r="O308" s="40">
        <f t="shared" si="1"/>
        <v>589000</v>
      </c>
    </row>
    <row r="309" spans="1:16">
      <c r="A309" s="35" t="s">
        <v>50</v>
      </c>
      <c r="B309">
        <v>2015</v>
      </c>
      <c r="C309" s="12">
        <v>649251</v>
      </c>
      <c r="E309" s="12">
        <v>1033989</v>
      </c>
      <c r="K309" s="48">
        <v>649250.69999999995</v>
      </c>
      <c r="N309" s="1">
        <v>649</v>
      </c>
      <c r="O309" s="40">
        <f t="shared" si="1"/>
        <v>649000</v>
      </c>
    </row>
    <row r="310" spans="1:16">
      <c r="A310" s="35" t="s">
        <v>51</v>
      </c>
      <c r="B310">
        <v>2015</v>
      </c>
      <c r="C310" s="12">
        <v>600309</v>
      </c>
      <c r="E310" s="12">
        <v>1087135</v>
      </c>
      <c r="K310" s="48">
        <v>600308.9</v>
      </c>
      <c r="N310" s="1">
        <v>600</v>
      </c>
      <c r="O310" s="40">
        <f t="shared" si="1"/>
        <v>600000</v>
      </c>
    </row>
    <row r="311" spans="1:16">
      <c r="A311" s="35" t="s">
        <v>52</v>
      </c>
      <c r="B311">
        <v>2015</v>
      </c>
      <c r="C311" s="12">
        <v>698703</v>
      </c>
      <c r="E311" s="12">
        <v>870891</v>
      </c>
      <c r="K311" s="48">
        <v>698702.8</v>
      </c>
      <c r="N311" s="1">
        <v>699</v>
      </c>
      <c r="O311" s="40">
        <f t="shared" si="1"/>
        <v>699000</v>
      </c>
    </row>
    <row r="312" spans="1:16">
      <c r="A312" s="35" t="s">
        <v>53</v>
      </c>
      <c r="B312">
        <v>2015</v>
      </c>
      <c r="C312" s="12">
        <v>800000</v>
      </c>
      <c r="E312" s="12">
        <v>868221</v>
      </c>
      <c r="K312" s="48">
        <v>800000.1</v>
      </c>
      <c r="N312" s="1">
        <v>800</v>
      </c>
      <c r="O312" s="40">
        <f t="shared" ref="O312:O366" si="2">N312*1000</f>
        <v>800000</v>
      </c>
    </row>
    <row r="313" spans="1:16">
      <c r="A313" s="35" t="s">
        <v>54</v>
      </c>
      <c r="B313">
        <v>2015</v>
      </c>
      <c r="C313" s="12">
        <v>1048221</v>
      </c>
      <c r="E313" s="12">
        <v>767351</v>
      </c>
      <c r="K313" s="48">
        <v>1048221</v>
      </c>
      <c r="N313" s="1">
        <v>1048</v>
      </c>
      <c r="O313" s="40">
        <f t="shared" si="2"/>
        <v>1048000</v>
      </c>
    </row>
    <row r="314" spans="1:16">
      <c r="A314" s="35" t="s">
        <v>55</v>
      </c>
      <c r="B314">
        <v>2015</v>
      </c>
      <c r="C314" s="12">
        <v>799328</v>
      </c>
      <c r="E314" s="12">
        <v>802766</v>
      </c>
      <c r="K314" s="48">
        <v>799328.2</v>
      </c>
      <c r="N314" s="1">
        <v>799</v>
      </c>
      <c r="O314" s="40">
        <f t="shared" si="2"/>
        <v>799000</v>
      </c>
    </row>
    <row r="315" spans="1:16">
      <c r="A315" s="35" t="s">
        <v>56</v>
      </c>
      <c r="B315">
        <v>2015</v>
      </c>
      <c r="C315" s="12">
        <v>714102</v>
      </c>
      <c r="D315" s="15">
        <f>SUM(C304:C315)</f>
        <v>9000274</v>
      </c>
      <c r="E315" s="12">
        <v>722908</v>
      </c>
      <c r="F315" s="15">
        <f>SUM(E304:E315)</f>
        <v>9245911</v>
      </c>
      <c r="K315" s="48">
        <v>714101.8</v>
      </c>
      <c r="L315" s="15">
        <f>SUM(K304:K315)</f>
        <v>9000273.4000000004</v>
      </c>
      <c r="N315" s="1">
        <v>714</v>
      </c>
      <c r="O315" s="40">
        <f t="shared" si="2"/>
        <v>714000</v>
      </c>
      <c r="P315" s="15">
        <f>SUM(O304:O315)</f>
        <v>8999000</v>
      </c>
    </row>
    <row r="316" spans="1:16">
      <c r="A316" s="35" t="s">
        <v>45</v>
      </c>
      <c r="B316">
        <v>2015</v>
      </c>
      <c r="C316" s="12">
        <v>600242</v>
      </c>
      <c r="E316" s="12">
        <v>578179</v>
      </c>
      <c r="K316" s="48">
        <v>600241.69999999995</v>
      </c>
      <c r="N316" s="1">
        <v>600</v>
      </c>
      <c r="O316" s="40">
        <f t="shared" si="2"/>
        <v>600000</v>
      </c>
    </row>
    <row r="317" spans="1:16">
      <c r="A317" s="35" t="s">
        <v>46</v>
      </c>
      <c r="B317">
        <v>2015</v>
      </c>
      <c r="C317" s="12">
        <v>576911</v>
      </c>
      <c r="E317" s="12">
        <v>630956</v>
      </c>
      <c r="K317" s="48">
        <v>576910.9</v>
      </c>
      <c r="N317" s="1">
        <v>577</v>
      </c>
      <c r="O317" s="40">
        <f t="shared" si="2"/>
        <v>577000</v>
      </c>
    </row>
    <row r="318" spans="1:16">
      <c r="A318" s="35" t="s">
        <v>47</v>
      </c>
      <c r="B318">
        <v>2015</v>
      </c>
      <c r="C318" s="12">
        <v>857318</v>
      </c>
      <c r="E318" s="12">
        <v>618945</v>
      </c>
      <c r="K318" s="48">
        <v>857317.7</v>
      </c>
      <c r="N318" s="1">
        <v>857</v>
      </c>
      <c r="O318" s="40">
        <f t="shared" si="2"/>
        <v>857000</v>
      </c>
    </row>
    <row r="319" spans="1:16">
      <c r="A319" s="35" t="s">
        <v>48</v>
      </c>
      <c r="B319">
        <v>2016</v>
      </c>
      <c r="C319" s="12">
        <v>857357</v>
      </c>
      <c r="E319" s="12">
        <v>661581</v>
      </c>
      <c r="K319" s="48">
        <v>857357</v>
      </c>
      <c r="N319" s="1">
        <v>857</v>
      </c>
      <c r="O319" s="40">
        <f t="shared" si="2"/>
        <v>857000</v>
      </c>
    </row>
    <row r="320" spans="1:16">
      <c r="A320" s="35" t="s">
        <v>49</v>
      </c>
      <c r="B320">
        <v>2016</v>
      </c>
      <c r="C320" s="12">
        <v>700168</v>
      </c>
      <c r="E320" s="12">
        <v>699173</v>
      </c>
      <c r="K320" s="48">
        <v>700167.9</v>
      </c>
      <c r="N320" s="1">
        <v>700</v>
      </c>
      <c r="O320" s="40">
        <f t="shared" si="2"/>
        <v>700000</v>
      </c>
    </row>
    <row r="321" spans="1:16">
      <c r="A321" s="35" t="s">
        <v>50</v>
      </c>
      <c r="B321">
        <v>2016</v>
      </c>
      <c r="C321" s="12">
        <v>693899</v>
      </c>
      <c r="E321" s="12">
        <v>1007590</v>
      </c>
      <c r="K321" s="48">
        <v>693898.7</v>
      </c>
      <c r="N321" s="1">
        <v>694</v>
      </c>
      <c r="O321" s="40">
        <f t="shared" si="2"/>
        <v>694000</v>
      </c>
    </row>
    <row r="322" spans="1:16">
      <c r="A322" s="35" t="s">
        <v>51</v>
      </c>
      <c r="B322">
        <v>2016</v>
      </c>
      <c r="C322" s="12">
        <v>665222</v>
      </c>
      <c r="E322" s="12">
        <v>1055443</v>
      </c>
      <c r="K322" s="48">
        <v>665221.6</v>
      </c>
      <c r="N322" s="1">
        <v>665</v>
      </c>
      <c r="O322" s="40">
        <f t="shared" si="2"/>
        <v>665000</v>
      </c>
    </row>
    <row r="323" spans="1:16">
      <c r="A323" s="35" t="s">
        <v>52</v>
      </c>
      <c r="B323">
        <v>2016</v>
      </c>
      <c r="C323" s="12">
        <v>700244</v>
      </c>
      <c r="E323" s="12">
        <v>886661</v>
      </c>
      <c r="K323" s="48">
        <v>700244</v>
      </c>
      <c r="N323" s="1">
        <v>700</v>
      </c>
      <c r="O323" s="40">
        <f t="shared" si="2"/>
        <v>700000</v>
      </c>
    </row>
    <row r="324" spans="1:16">
      <c r="A324" s="35" t="s">
        <v>53</v>
      </c>
      <c r="B324">
        <v>2016</v>
      </c>
      <c r="C324" s="12">
        <v>799927</v>
      </c>
      <c r="E324" s="12">
        <v>919940</v>
      </c>
      <c r="K324" s="48">
        <v>799926.8</v>
      </c>
      <c r="N324" s="1">
        <v>800</v>
      </c>
      <c r="O324" s="40">
        <f t="shared" si="2"/>
        <v>800000</v>
      </c>
    </row>
    <row r="325" spans="1:16">
      <c r="A325" s="35" t="s">
        <v>54</v>
      </c>
      <c r="B325">
        <v>2016</v>
      </c>
      <c r="C325" s="12">
        <v>950233</v>
      </c>
      <c r="E325" s="12">
        <v>831067</v>
      </c>
      <c r="K325" s="48">
        <v>950233.5</v>
      </c>
      <c r="N325" s="1">
        <v>950</v>
      </c>
      <c r="O325" s="40">
        <f t="shared" si="2"/>
        <v>950000</v>
      </c>
    </row>
    <row r="326" spans="1:16">
      <c r="A326" s="35" t="s">
        <v>55</v>
      </c>
      <c r="B326">
        <v>2016</v>
      </c>
      <c r="C326" s="12">
        <v>899572</v>
      </c>
      <c r="E326" s="12">
        <v>700785</v>
      </c>
      <c r="K326" s="48">
        <v>899571.5</v>
      </c>
      <c r="N326" s="1">
        <v>900</v>
      </c>
      <c r="O326" s="40">
        <f t="shared" si="2"/>
        <v>900000</v>
      </c>
    </row>
    <row r="327" spans="1:16">
      <c r="A327" s="35" t="s">
        <v>56</v>
      </c>
      <c r="B327">
        <v>2016</v>
      </c>
      <c r="C327" s="12">
        <v>698892</v>
      </c>
      <c r="D327" s="15">
        <f>SUM(C316:C327)</f>
        <v>8999985</v>
      </c>
      <c r="E327" s="12">
        <v>702468</v>
      </c>
      <c r="F327" s="15">
        <f>SUM(E316:E327)</f>
        <v>9292788</v>
      </c>
      <c r="K327" s="48">
        <v>698891.6</v>
      </c>
      <c r="L327" s="15">
        <f>SUM(K316:K327)</f>
        <v>8999982.8999999985</v>
      </c>
      <c r="N327" s="1">
        <v>699</v>
      </c>
      <c r="O327" s="40">
        <f t="shared" si="2"/>
        <v>699000</v>
      </c>
      <c r="P327" s="15">
        <f>SUM(O316:O327)</f>
        <v>8999000</v>
      </c>
    </row>
    <row r="328" spans="1:16">
      <c r="A328" s="35" t="s">
        <v>45</v>
      </c>
      <c r="B328">
        <v>2016</v>
      </c>
      <c r="C328" s="12">
        <v>600526</v>
      </c>
      <c r="E328" s="12">
        <v>517573</v>
      </c>
      <c r="K328" s="48">
        <v>600525.80000000005</v>
      </c>
      <c r="N328" s="1">
        <v>601</v>
      </c>
      <c r="O328" s="40">
        <f t="shared" si="2"/>
        <v>601000</v>
      </c>
    </row>
    <row r="329" spans="1:16">
      <c r="A329" s="35" t="s">
        <v>46</v>
      </c>
      <c r="B329">
        <v>2016</v>
      </c>
      <c r="C329" s="12">
        <v>750415</v>
      </c>
      <c r="E329" s="12">
        <v>751467</v>
      </c>
      <c r="K329" s="48">
        <v>750414.7</v>
      </c>
      <c r="N329" s="1">
        <v>750</v>
      </c>
      <c r="O329" s="40">
        <f t="shared" si="2"/>
        <v>750000</v>
      </c>
    </row>
    <row r="330" spans="1:16">
      <c r="A330" s="35" t="s">
        <v>47</v>
      </c>
      <c r="B330">
        <v>2016</v>
      </c>
      <c r="C330" s="12">
        <v>898336</v>
      </c>
      <c r="E330" s="12">
        <v>542250</v>
      </c>
      <c r="K330" s="48">
        <v>898336.3</v>
      </c>
      <c r="N330" s="1">
        <v>898</v>
      </c>
      <c r="O330" s="40">
        <f t="shared" si="2"/>
        <v>898000</v>
      </c>
    </row>
    <row r="331" spans="1:16">
      <c r="A331" s="35" t="s">
        <v>48</v>
      </c>
      <c r="B331">
        <v>2017</v>
      </c>
      <c r="C331" s="12">
        <v>880296</v>
      </c>
      <c r="E331" s="12">
        <v>499756</v>
      </c>
      <c r="K331" s="48">
        <v>880296</v>
      </c>
      <c r="N331" s="1">
        <v>880</v>
      </c>
      <c r="O331" s="40">
        <f t="shared" si="2"/>
        <v>880000</v>
      </c>
    </row>
    <row r="332" spans="1:16">
      <c r="A332" s="35" t="s">
        <v>49</v>
      </c>
      <c r="B332">
        <v>2017</v>
      </c>
      <c r="C332" s="12">
        <v>710688</v>
      </c>
      <c r="E332" s="12">
        <v>487736</v>
      </c>
      <c r="K332" s="48">
        <v>710687.8</v>
      </c>
      <c r="N332" s="1">
        <v>711</v>
      </c>
      <c r="O332" s="40">
        <f t="shared" si="2"/>
        <v>711000</v>
      </c>
    </row>
    <row r="333" spans="1:16">
      <c r="A333" s="35" t="s">
        <v>50</v>
      </c>
      <c r="B333">
        <v>2017</v>
      </c>
      <c r="C333" s="12">
        <v>722416</v>
      </c>
      <c r="E333" s="12">
        <v>911223</v>
      </c>
      <c r="K333" s="48">
        <v>722415.7</v>
      </c>
      <c r="N333" s="1">
        <v>722</v>
      </c>
      <c r="O333" s="40">
        <f t="shared" si="2"/>
        <v>722000</v>
      </c>
    </row>
    <row r="334" spans="1:16">
      <c r="A334" s="35" t="s">
        <v>51</v>
      </c>
      <c r="B334">
        <v>2017</v>
      </c>
      <c r="C334" s="12">
        <v>622545</v>
      </c>
      <c r="E334" s="12">
        <v>960955</v>
      </c>
      <c r="K334" s="48">
        <v>622544.80000000005</v>
      </c>
      <c r="N334" s="1">
        <v>623</v>
      </c>
      <c r="O334" s="40">
        <f t="shared" si="2"/>
        <v>623000</v>
      </c>
    </row>
    <row r="335" spans="1:16">
      <c r="A335" s="35" t="s">
        <v>52</v>
      </c>
      <c r="B335">
        <v>2017</v>
      </c>
      <c r="C335" s="12">
        <v>652405</v>
      </c>
      <c r="E335" s="12">
        <v>916507</v>
      </c>
      <c r="K335" s="48">
        <v>652404.5</v>
      </c>
      <c r="N335" s="1">
        <v>652</v>
      </c>
      <c r="O335" s="40">
        <f t="shared" si="2"/>
        <v>652000</v>
      </c>
    </row>
    <row r="336" spans="1:16">
      <c r="A336" s="35" t="s">
        <v>53</v>
      </c>
      <c r="B336">
        <v>2017</v>
      </c>
      <c r="C336" s="12">
        <v>749032</v>
      </c>
      <c r="E336" s="12">
        <v>864434</v>
      </c>
      <c r="K336" s="48">
        <v>749032.2</v>
      </c>
      <c r="N336" s="1">
        <v>749</v>
      </c>
      <c r="O336" s="40">
        <f t="shared" si="2"/>
        <v>749000</v>
      </c>
    </row>
    <row r="337" spans="1:16">
      <c r="A337" s="35" t="s">
        <v>54</v>
      </c>
      <c r="B337">
        <v>2017</v>
      </c>
      <c r="C337" s="12">
        <v>850141</v>
      </c>
      <c r="E337" s="12">
        <v>884957</v>
      </c>
      <c r="K337" s="48">
        <v>850140.7</v>
      </c>
      <c r="N337" s="1">
        <v>850</v>
      </c>
      <c r="O337" s="40">
        <f t="shared" si="2"/>
        <v>850000</v>
      </c>
    </row>
    <row r="338" spans="1:16">
      <c r="A338" s="35" t="s">
        <v>55</v>
      </c>
      <c r="B338">
        <v>2017</v>
      </c>
      <c r="C338" s="12">
        <v>900116</v>
      </c>
      <c r="E338" s="12">
        <v>683264</v>
      </c>
      <c r="K338" s="48">
        <v>900116.2</v>
      </c>
      <c r="N338" s="1">
        <v>900</v>
      </c>
      <c r="O338" s="40">
        <f t="shared" si="2"/>
        <v>900000</v>
      </c>
    </row>
    <row r="339" spans="1:16">
      <c r="A339" s="35" t="s">
        <v>56</v>
      </c>
      <c r="B339">
        <v>2017</v>
      </c>
      <c r="C339" s="12">
        <v>663071</v>
      </c>
      <c r="D339" s="15">
        <f>SUM(C328:C339)</f>
        <v>8999987</v>
      </c>
      <c r="E339" s="12">
        <v>599545</v>
      </c>
      <c r="F339" s="15">
        <f>SUM(E328:E339)</f>
        <v>8619667</v>
      </c>
      <c r="K339" s="48">
        <v>663071.1</v>
      </c>
      <c r="L339" s="15">
        <f>SUM(K328:K339)</f>
        <v>8999985.8000000007</v>
      </c>
      <c r="N339" s="1">
        <v>663</v>
      </c>
      <c r="O339" s="40">
        <f t="shared" si="2"/>
        <v>663000</v>
      </c>
      <c r="P339" s="15">
        <f>SUM(O328:O339)</f>
        <v>8999000</v>
      </c>
    </row>
    <row r="340" spans="1:16">
      <c r="A340" s="35" t="s">
        <v>45</v>
      </c>
      <c r="B340">
        <v>2017</v>
      </c>
      <c r="C340" s="12">
        <v>640161</v>
      </c>
      <c r="E340" s="12">
        <v>596104</v>
      </c>
      <c r="K340" s="48">
        <v>640161</v>
      </c>
      <c r="N340" s="1">
        <v>640</v>
      </c>
      <c r="O340" s="40">
        <f t="shared" si="2"/>
        <v>640000</v>
      </c>
    </row>
    <row r="341" spans="1:16">
      <c r="A341" s="35" t="s">
        <v>46</v>
      </c>
      <c r="B341">
        <v>2017</v>
      </c>
      <c r="C341" s="12">
        <v>630069</v>
      </c>
      <c r="E341" s="12">
        <v>731345</v>
      </c>
      <c r="K341" s="48">
        <v>630068.9</v>
      </c>
      <c r="N341" s="1">
        <v>630</v>
      </c>
      <c r="O341" s="40">
        <f t="shared" si="2"/>
        <v>630000</v>
      </c>
    </row>
    <row r="342" spans="1:16">
      <c r="A342" s="35" t="s">
        <v>47</v>
      </c>
      <c r="B342">
        <v>2017</v>
      </c>
      <c r="C342" s="12">
        <v>739549</v>
      </c>
      <c r="E342" s="12">
        <v>594269</v>
      </c>
      <c r="K342" s="48">
        <v>739548.8</v>
      </c>
      <c r="N342" s="1">
        <v>740</v>
      </c>
      <c r="O342" s="40">
        <f t="shared" si="2"/>
        <v>740000</v>
      </c>
    </row>
    <row r="343" spans="1:16">
      <c r="A343" s="35" t="s">
        <v>48</v>
      </c>
      <c r="B343">
        <v>2018</v>
      </c>
      <c r="C343" s="12">
        <v>860328</v>
      </c>
      <c r="E343" s="12">
        <v>449337</v>
      </c>
      <c r="K343" s="48">
        <v>860328.5</v>
      </c>
      <c r="N343" s="1">
        <v>860</v>
      </c>
      <c r="O343" s="40">
        <f t="shared" si="2"/>
        <v>860000</v>
      </c>
    </row>
    <row r="344" spans="1:16">
      <c r="A344" s="35" t="s">
        <v>49</v>
      </c>
      <c r="B344">
        <v>2018</v>
      </c>
      <c r="C344" s="12">
        <v>729769</v>
      </c>
      <c r="E344" s="12">
        <v>686851</v>
      </c>
      <c r="K344" s="48">
        <v>729768.6</v>
      </c>
      <c r="N344" s="1">
        <v>730</v>
      </c>
      <c r="O344" s="40">
        <f t="shared" si="2"/>
        <v>730000</v>
      </c>
    </row>
    <row r="345" spans="1:16">
      <c r="A345" s="35" t="s">
        <v>50</v>
      </c>
      <c r="B345">
        <v>2018</v>
      </c>
      <c r="C345" s="12">
        <v>799985</v>
      </c>
      <c r="E345" s="12">
        <v>833062</v>
      </c>
      <c r="K345" s="48">
        <v>799984.8</v>
      </c>
      <c r="N345" s="1">
        <v>800</v>
      </c>
      <c r="O345" s="40">
        <f t="shared" si="2"/>
        <v>800000</v>
      </c>
    </row>
    <row r="346" spans="1:16">
      <c r="A346" s="35" t="s">
        <v>51</v>
      </c>
      <c r="B346">
        <v>2018</v>
      </c>
      <c r="C346" s="12">
        <v>704833</v>
      </c>
      <c r="E346" s="12">
        <v>1015339</v>
      </c>
      <c r="K346" s="48">
        <v>704833.4</v>
      </c>
      <c r="N346" s="1">
        <v>705</v>
      </c>
      <c r="O346" s="40">
        <f t="shared" si="2"/>
        <v>705000</v>
      </c>
    </row>
    <row r="347" spans="1:16">
      <c r="A347" s="35" t="s">
        <v>52</v>
      </c>
      <c r="B347">
        <v>2018</v>
      </c>
      <c r="C347" s="12">
        <v>704682</v>
      </c>
      <c r="E347" s="12">
        <v>1054503</v>
      </c>
      <c r="K347" s="48">
        <v>704681.6</v>
      </c>
      <c r="N347" s="1">
        <v>705</v>
      </c>
      <c r="O347" s="40">
        <f t="shared" si="2"/>
        <v>705000</v>
      </c>
    </row>
    <row r="348" spans="1:16">
      <c r="A348" s="35" t="s">
        <v>53</v>
      </c>
      <c r="B348">
        <v>2018</v>
      </c>
      <c r="C348" s="12">
        <v>759959</v>
      </c>
      <c r="E348" s="12">
        <v>985796</v>
      </c>
      <c r="K348" s="48">
        <v>759959.3</v>
      </c>
      <c r="N348" s="1">
        <v>760</v>
      </c>
      <c r="O348" s="40">
        <f t="shared" si="2"/>
        <v>760000</v>
      </c>
    </row>
    <row r="349" spans="1:16">
      <c r="A349" s="35" t="s">
        <v>54</v>
      </c>
      <c r="B349">
        <v>2018</v>
      </c>
      <c r="C349" s="12">
        <v>860160</v>
      </c>
      <c r="E349" s="12">
        <v>820079</v>
      </c>
      <c r="K349" s="48">
        <v>860160.3</v>
      </c>
      <c r="N349" s="1">
        <v>860</v>
      </c>
      <c r="O349" s="40">
        <f t="shared" si="2"/>
        <v>860000</v>
      </c>
    </row>
    <row r="350" spans="1:16">
      <c r="A350" s="35" t="s">
        <v>55</v>
      </c>
      <c r="B350">
        <v>2018</v>
      </c>
      <c r="C350" s="12">
        <v>899988</v>
      </c>
      <c r="E350" s="12">
        <v>748653</v>
      </c>
      <c r="K350" s="48">
        <v>899987.5</v>
      </c>
      <c r="N350" s="1">
        <v>900</v>
      </c>
      <c r="O350" s="40">
        <f t="shared" si="2"/>
        <v>900000</v>
      </c>
    </row>
    <row r="351" spans="1:16">
      <c r="A351" s="35" t="s">
        <v>56</v>
      </c>
      <c r="B351">
        <v>2018</v>
      </c>
      <c r="C351" s="12">
        <v>670423</v>
      </c>
      <c r="D351" s="15">
        <f>SUM(C340:C351)</f>
        <v>8999906</v>
      </c>
      <c r="E351" s="12">
        <v>724598</v>
      </c>
      <c r="F351" s="15">
        <f>SUM(E340:E351)</f>
        <v>9239936</v>
      </c>
      <c r="K351" s="48">
        <v>670423.30000000005</v>
      </c>
      <c r="L351" s="15">
        <f>SUM(K340:K351)</f>
        <v>8999906</v>
      </c>
      <c r="N351" s="1">
        <v>670</v>
      </c>
      <c r="O351" s="40">
        <f t="shared" si="2"/>
        <v>670000</v>
      </c>
      <c r="P351" s="15">
        <f>SUM(O340:O351)</f>
        <v>9000000</v>
      </c>
    </row>
    <row r="352" spans="1:16">
      <c r="A352" s="35" t="s">
        <v>45</v>
      </c>
      <c r="B352">
        <v>2018</v>
      </c>
      <c r="C352" s="12">
        <v>625308</v>
      </c>
      <c r="E352" s="12">
        <v>640722</v>
      </c>
      <c r="K352" s="48">
        <v>625308</v>
      </c>
      <c r="N352" s="1">
        <v>625</v>
      </c>
      <c r="O352" s="40">
        <f t="shared" si="2"/>
        <v>625000</v>
      </c>
    </row>
    <row r="353" spans="1:16">
      <c r="A353" s="35" t="s">
        <v>46</v>
      </c>
      <c r="B353">
        <v>2018</v>
      </c>
      <c r="C353" s="12">
        <v>662272</v>
      </c>
      <c r="E353" s="12">
        <v>689657</v>
      </c>
      <c r="K353" s="48">
        <v>662271.9</v>
      </c>
      <c r="N353" s="1">
        <v>662</v>
      </c>
      <c r="O353" s="40">
        <f t="shared" si="2"/>
        <v>662000</v>
      </c>
    </row>
    <row r="354" spans="1:16">
      <c r="A354" s="35" t="s">
        <v>47</v>
      </c>
      <c r="B354">
        <v>2018</v>
      </c>
      <c r="C354" s="12">
        <v>740067</v>
      </c>
      <c r="E354" s="12">
        <v>467783</v>
      </c>
      <c r="K354" s="48">
        <v>740066.8</v>
      </c>
      <c r="N354" s="1">
        <v>740</v>
      </c>
      <c r="O354" s="40">
        <f t="shared" si="2"/>
        <v>740000</v>
      </c>
    </row>
    <row r="355" spans="1:16">
      <c r="A355" s="35" t="s">
        <v>48</v>
      </c>
      <c r="B355">
        <v>2019</v>
      </c>
      <c r="C355" s="12">
        <v>803664</v>
      </c>
      <c r="E355" s="12">
        <v>486768</v>
      </c>
      <c r="K355" s="48">
        <v>803663.7</v>
      </c>
      <c r="N355" s="1">
        <v>804</v>
      </c>
      <c r="O355" s="40">
        <f t="shared" si="2"/>
        <v>804000</v>
      </c>
    </row>
    <row r="356" spans="1:16">
      <c r="A356" s="35" t="s">
        <v>49</v>
      </c>
      <c r="B356">
        <v>2019</v>
      </c>
      <c r="C356" s="12">
        <v>730367</v>
      </c>
      <c r="E356" s="12">
        <v>621091</v>
      </c>
      <c r="K356" s="48">
        <v>730366.6</v>
      </c>
      <c r="N356" s="1">
        <v>730</v>
      </c>
      <c r="O356" s="40">
        <f t="shared" si="2"/>
        <v>730000</v>
      </c>
    </row>
    <row r="357" spans="1:16">
      <c r="A357" s="35" t="s">
        <v>50</v>
      </c>
      <c r="B357">
        <v>2019</v>
      </c>
      <c r="C357" s="12">
        <v>791275</v>
      </c>
      <c r="E357" s="12">
        <v>738191</v>
      </c>
      <c r="K357" s="48">
        <v>791275.2</v>
      </c>
      <c r="N357" s="1">
        <v>790</v>
      </c>
      <c r="O357" s="40">
        <f t="shared" si="2"/>
        <v>790000</v>
      </c>
    </row>
    <row r="358" spans="1:16">
      <c r="A358" s="35" t="s">
        <v>51</v>
      </c>
      <c r="B358">
        <v>2019</v>
      </c>
      <c r="C358" s="12">
        <v>719997</v>
      </c>
      <c r="E358" s="12">
        <v>901780</v>
      </c>
      <c r="K358" s="48">
        <v>719996.6</v>
      </c>
      <c r="N358" s="1">
        <v>720</v>
      </c>
      <c r="O358" s="40">
        <f t="shared" si="2"/>
        <v>720000</v>
      </c>
    </row>
    <row r="359" spans="1:16">
      <c r="A359" s="35" t="s">
        <v>52</v>
      </c>
      <c r="B359">
        <v>2019</v>
      </c>
      <c r="C359" s="12">
        <v>719774</v>
      </c>
      <c r="E359" s="12">
        <v>989474</v>
      </c>
      <c r="K359" s="48">
        <v>719773.8</v>
      </c>
      <c r="N359" s="1">
        <v>720</v>
      </c>
      <c r="O359" s="40">
        <f t="shared" si="2"/>
        <v>720000</v>
      </c>
    </row>
    <row r="360" spans="1:16">
      <c r="A360" s="35" t="s">
        <v>53</v>
      </c>
      <c r="B360">
        <v>2019</v>
      </c>
      <c r="C360" s="12">
        <v>764936</v>
      </c>
      <c r="E360" s="12">
        <v>912034</v>
      </c>
      <c r="K360" s="48">
        <v>764936</v>
      </c>
      <c r="N360" s="1">
        <v>765</v>
      </c>
      <c r="O360" s="40">
        <f t="shared" si="2"/>
        <v>765000</v>
      </c>
    </row>
    <row r="361" spans="1:16">
      <c r="A361" s="35" t="s">
        <v>54</v>
      </c>
      <c r="B361">
        <v>2019</v>
      </c>
      <c r="C361" s="12">
        <v>857185</v>
      </c>
      <c r="E361" s="12">
        <v>946499</v>
      </c>
      <c r="K361" s="48">
        <v>857184.8</v>
      </c>
      <c r="N361" s="1">
        <v>857</v>
      </c>
      <c r="O361" s="40">
        <f t="shared" si="2"/>
        <v>857000</v>
      </c>
    </row>
    <row r="362" spans="1:16">
      <c r="A362" s="35" t="s">
        <v>55</v>
      </c>
      <c r="B362">
        <v>2019</v>
      </c>
      <c r="C362" s="12">
        <v>899969</v>
      </c>
      <c r="E362" s="12">
        <v>801856</v>
      </c>
      <c r="K362" s="48">
        <v>899969.4</v>
      </c>
      <c r="N362" s="1">
        <v>900</v>
      </c>
      <c r="O362" s="40">
        <f t="shared" si="2"/>
        <v>900000</v>
      </c>
    </row>
    <row r="363" spans="1:16">
      <c r="A363" s="35" t="s">
        <v>56</v>
      </c>
      <c r="B363">
        <v>2019</v>
      </c>
      <c r="C363" s="12">
        <v>686582</v>
      </c>
      <c r="D363" s="15">
        <f>SUM(C352:C363)</f>
        <v>9001396</v>
      </c>
      <c r="E363" s="12">
        <v>695777</v>
      </c>
      <c r="F363" s="15">
        <f>SUM(E352:E363)</f>
        <v>8891632</v>
      </c>
      <c r="K363" s="48">
        <v>686582.4</v>
      </c>
      <c r="L363" s="15">
        <f>SUM(K352:K363)</f>
        <v>9001395.1999999993</v>
      </c>
      <c r="N363" s="1">
        <v>687</v>
      </c>
      <c r="O363" s="40">
        <f t="shared" si="2"/>
        <v>687000</v>
      </c>
      <c r="P363" s="15">
        <f>SUM(O352:O363)</f>
        <v>9000000</v>
      </c>
    </row>
    <row r="364" spans="1:16">
      <c r="A364" s="35" t="s">
        <v>45</v>
      </c>
      <c r="B364">
        <v>2019</v>
      </c>
      <c r="C364" s="12">
        <v>625140</v>
      </c>
      <c r="E364" s="12">
        <v>626393</v>
      </c>
      <c r="K364" s="48">
        <v>625139.80000000005</v>
      </c>
      <c r="L364" s="50"/>
      <c r="N364" s="1">
        <v>625</v>
      </c>
      <c r="O364" s="40">
        <f t="shared" si="2"/>
        <v>625000</v>
      </c>
      <c r="P364" s="53"/>
    </row>
    <row r="365" spans="1:16">
      <c r="A365" s="35" t="s">
        <v>46</v>
      </c>
      <c r="B365">
        <v>2019</v>
      </c>
      <c r="C365" s="12">
        <v>626055</v>
      </c>
      <c r="E365" s="12">
        <v>574858</v>
      </c>
      <c r="K365" s="48">
        <v>626055.5</v>
      </c>
      <c r="L365" s="50"/>
      <c r="N365" s="1">
        <v>626</v>
      </c>
      <c r="O365" s="40">
        <f t="shared" si="2"/>
        <v>626000</v>
      </c>
      <c r="P365" s="53"/>
    </row>
    <row r="366" spans="1:16">
      <c r="A366" s="35" t="s">
        <v>47</v>
      </c>
      <c r="B366">
        <v>2019</v>
      </c>
      <c r="C366" s="12">
        <v>750148</v>
      </c>
      <c r="E366" s="12">
        <v>219861</v>
      </c>
      <c r="K366" s="48">
        <v>750148.4</v>
      </c>
      <c r="L366" s="50"/>
      <c r="N366" s="1">
        <v>750</v>
      </c>
      <c r="O366" s="40">
        <f t="shared" si="2"/>
        <v>750000</v>
      </c>
      <c r="P366" s="53"/>
    </row>
    <row r="367" spans="1:16">
      <c r="L367" s="50"/>
    </row>
  </sheetData>
  <mergeCells count="3">
    <mergeCell ref="C1:G1"/>
    <mergeCell ref="K1:M1"/>
    <mergeCell ref="N1:P1"/>
  </mergeCells>
  <hyperlinks>
    <hyperlink ref="C1" r:id="rId1" xr:uid="{2FB07D62-C0D0-4122-A2AD-80DD622D1120}"/>
    <hyperlink ref="K1" r:id="rId2" xr:uid="{FD50FF22-2AE8-4311-B185-2D3B1C404489}"/>
    <hyperlink ref="N1" r:id="rId3" display="https://www.usbr.gov/lc/region/g4000/24mo/index.html" xr:uid="{13ADD989-CBBD-4461-88B7-1B5FAA5536A4}"/>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81EA-756E-4ED6-A697-AA9264C42D48}">
  <dimension ref="A1:AH686"/>
  <sheetViews>
    <sheetView zoomScaleNormal="100" workbookViewId="0">
      <pane xSplit="1" ySplit="3" topLeftCell="B4" activePane="bottomRight" state="frozen"/>
      <selection pane="topRight" activeCell="B1" sqref="B1"/>
      <selection pane="bottomLeft" activeCell="A4" sqref="A4"/>
      <selection pane="bottomRight" activeCell="O1" sqref="O1"/>
    </sheetView>
  </sheetViews>
  <sheetFormatPr defaultColWidth="8.81640625" defaultRowHeight="14.5"/>
  <cols>
    <col min="1" max="1" width="12" style="1" bestFit="1" customWidth="1"/>
    <col min="2" max="3" width="12" style="1" customWidth="1"/>
    <col min="4" max="4" width="13.81640625" style="1" customWidth="1"/>
    <col min="5" max="5" width="14.08984375" style="1" customWidth="1"/>
    <col min="6" max="6" width="18.36328125" customWidth="1"/>
    <col min="7" max="9" width="14.453125" customWidth="1"/>
    <col min="10" max="10" width="10.81640625" style="72" bestFit="1" customWidth="1"/>
    <col min="11" max="11" width="18.36328125" customWidth="1"/>
    <col min="12" max="12" width="15.81640625" bestFit="1" customWidth="1"/>
    <col min="13" max="13" width="41.08984375" customWidth="1"/>
    <col min="14" max="14" width="12.453125" bestFit="1" customWidth="1"/>
    <col min="15" max="15" width="13.81640625" bestFit="1" customWidth="1"/>
    <col min="16" max="16" width="12.453125" customWidth="1"/>
    <col min="17" max="17" width="23.453125" bestFit="1" customWidth="1"/>
    <col min="18" max="18" width="32" bestFit="1" customWidth="1"/>
    <col min="19" max="19" width="25.453125" bestFit="1" customWidth="1"/>
    <col min="20" max="20" width="15.08984375" bestFit="1" customWidth="1"/>
    <col min="21" max="21" width="24" bestFit="1" customWidth="1"/>
    <col min="22" max="22" width="15.453125" bestFit="1" customWidth="1"/>
    <col min="23" max="23" width="12" bestFit="1" customWidth="1"/>
    <col min="24" max="24" width="11.36328125" bestFit="1" customWidth="1"/>
    <col min="25" max="25" width="20.81640625" customWidth="1"/>
  </cols>
  <sheetData>
    <row r="1" spans="1:34" ht="43.5">
      <c r="B1" s="2" t="s">
        <v>261</v>
      </c>
      <c r="C1" s="2" t="s">
        <v>122</v>
      </c>
      <c r="D1" s="2" t="s">
        <v>123</v>
      </c>
      <c r="E1" s="2" t="s">
        <v>262</v>
      </c>
      <c r="F1" s="2" t="s">
        <v>173</v>
      </c>
      <c r="G1" s="2" t="s">
        <v>6</v>
      </c>
      <c r="H1" s="2" t="s">
        <v>174</v>
      </c>
      <c r="I1" t="s">
        <v>8</v>
      </c>
      <c r="K1" s="2" t="s">
        <v>175</v>
      </c>
      <c r="L1" s="2" t="s">
        <v>83</v>
      </c>
      <c r="M1" s="183" t="s">
        <v>417</v>
      </c>
      <c r="AD1" t="s">
        <v>176</v>
      </c>
      <c r="AG1" t="s">
        <v>176</v>
      </c>
    </row>
    <row r="2" spans="1:34">
      <c r="A2" s="73" t="s">
        <v>177</v>
      </c>
      <c r="B2" s="73">
        <v>9380000</v>
      </c>
      <c r="C2" s="73">
        <v>9382000</v>
      </c>
      <c r="D2" s="73">
        <v>9402000</v>
      </c>
      <c r="E2" s="73">
        <v>9402500</v>
      </c>
      <c r="F2" s="74" t="s">
        <v>178</v>
      </c>
      <c r="G2" s="74" t="s">
        <v>179</v>
      </c>
      <c r="H2" s="74" t="s">
        <v>180</v>
      </c>
      <c r="I2" s="74" t="s">
        <v>181</v>
      </c>
      <c r="K2" s="74" t="s">
        <v>182</v>
      </c>
      <c r="L2" s="75" t="s">
        <v>183</v>
      </c>
      <c r="M2" s="76" t="s">
        <v>184</v>
      </c>
      <c r="N2" s="74" t="s">
        <v>185</v>
      </c>
      <c r="O2" s="74" t="s">
        <v>186</v>
      </c>
      <c r="P2" s="74" t="s">
        <v>187</v>
      </c>
      <c r="Q2" s="74" t="s">
        <v>188</v>
      </c>
      <c r="R2" s="74" t="s">
        <v>243</v>
      </c>
      <c r="S2" s="74" t="s">
        <v>189</v>
      </c>
      <c r="T2" s="74" t="s">
        <v>190</v>
      </c>
      <c r="U2" s="74" t="s">
        <v>244</v>
      </c>
      <c r="V2" s="47" t="s">
        <v>191</v>
      </c>
      <c r="X2" s="47" t="s">
        <v>192</v>
      </c>
      <c r="Y2" s="47" t="s">
        <v>193</v>
      </c>
      <c r="AD2" t="s">
        <v>194</v>
      </c>
      <c r="AE2" t="s">
        <v>195</v>
      </c>
      <c r="AG2" t="s">
        <v>194</v>
      </c>
      <c r="AH2" t="s">
        <v>196</v>
      </c>
    </row>
    <row r="3" spans="1:34" s="1" customFormat="1">
      <c r="A3" s="73" t="s">
        <v>197</v>
      </c>
      <c r="B3" s="76" t="s">
        <v>198</v>
      </c>
      <c r="C3" s="76" t="s">
        <v>198</v>
      </c>
      <c r="D3" s="76" t="s">
        <v>198</v>
      </c>
      <c r="E3" s="76" t="s">
        <v>198</v>
      </c>
      <c r="F3" s="76" t="s">
        <v>198</v>
      </c>
      <c r="G3" s="76" t="s">
        <v>198</v>
      </c>
      <c r="H3" s="76" t="s">
        <v>198</v>
      </c>
      <c r="I3" s="76" t="s">
        <v>198</v>
      </c>
      <c r="J3" s="77"/>
      <c r="K3" s="76" t="s">
        <v>198</v>
      </c>
      <c r="L3" s="76" t="s">
        <v>198</v>
      </c>
      <c r="M3" s="76" t="s">
        <v>199</v>
      </c>
      <c r="N3" s="76" t="s">
        <v>198</v>
      </c>
      <c r="O3" s="76" t="s">
        <v>198</v>
      </c>
      <c r="P3" s="73" t="s">
        <v>200</v>
      </c>
      <c r="Q3" s="76" t="s">
        <v>199</v>
      </c>
      <c r="R3" s="76" t="s">
        <v>199</v>
      </c>
      <c r="S3" s="76" t="s">
        <v>199</v>
      </c>
      <c r="T3" s="76" t="s">
        <v>198</v>
      </c>
      <c r="U3" s="76" t="s">
        <v>198</v>
      </c>
      <c r="V3" s="76" t="s">
        <v>198</v>
      </c>
      <c r="X3" s="76" t="s">
        <v>198</v>
      </c>
      <c r="Y3" s="76" t="s">
        <v>198</v>
      </c>
      <c r="AD3" s="1" t="s">
        <v>199</v>
      </c>
      <c r="AE3" s="1" t="s">
        <v>98</v>
      </c>
      <c r="AG3" s="1" t="s">
        <v>199</v>
      </c>
      <c r="AH3" s="1" t="s">
        <v>200</v>
      </c>
    </row>
    <row r="4" spans="1:34">
      <c r="A4" s="73"/>
      <c r="B4" s="73"/>
      <c r="C4" s="73"/>
      <c r="D4" s="73"/>
      <c r="E4" s="73"/>
      <c r="F4" s="76"/>
      <c r="G4" s="76"/>
      <c r="H4" s="76"/>
      <c r="I4" s="76"/>
      <c r="K4" s="76"/>
      <c r="L4" s="76"/>
      <c r="M4" s="1">
        <v>1096.3</v>
      </c>
      <c r="N4" s="78">
        <f t="shared" ref="N4:N35" ca="1" si="0">FORECAST(M4,OFFSET($AE$5:$AE$676,MATCH(M4,$AD$5:$AD$676,1)-1,0,2), OFFSET($AD$5:$AD$676,MATCH(M4,$AD$5:$AD$676,1)-1,0,2))</f>
        <v>11407272.589368701</v>
      </c>
      <c r="O4" s="78"/>
      <c r="P4" s="79">
        <f t="shared" ref="P4:P35" ca="1" si="1">FORECAST(M4,OFFSET($AH$5:$AH$686,MATCH(M4,$AG$5:$AG$686,1)-1,0,2), OFFSET($AG$5:$AG$686,MATCH(M4,$AG$5:$AG$686,1)-1,0,2))</f>
        <v>88011.335687756451</v>
      </c>
      <c r="Q4" s="79"/>
      <c r="R4" s="79"/>
      <c r="S4" s="76"/>
      <c r="T4" s="76"/>
      <c r="U4" s="76"/>
      <c r="V4" s="76"/>
      <c r="W4" s="1"/>
      <c r="X4" s="76"/>
      <c r="Y4" s="76"/>
    </row>
    <row r="5" spans="1:34">
      <c r="A5" s="80">
        <v>3684</v>
      </c>
      <c r="B5" s="81">
        <f>'09380000-CR@LF-2010to2015'!E14</f>
        <v>924775.92483839998</v>
      </c>
      <c r="C5" s="81">
        <f>'09382000-PR@LF'!E5</f>
        <v>1647.871993728</v>
      </c>
      <c r="D5" s="81">
        <f>'09402000-LCRnrC'!E5</f>
        <v>14591.045675808</v>
      </c>
      <c r="E5" s="81">
        <f>'09402500-CRnrGC'!E6</f>
        <v>965972.7246816</v>
      </c>
      <c r="F5" s="81">
        <f>'09404200-CRnrPS'!E13</f>
        <v>1022541.4647648</v>
      </c>
      <c r="G5" s="65">
        <f>'90404208-DCnrPS'!E13</f>
        <v>538.01790840000001</v>
      </c>
      <c r="H5" s="65">
        <f>'09415250-VRnrO'!E13</f>
        <v>9641.2809185280003</v>
      </c>
      <c r="I5" s="65">
        <f>'90419800LVWnrBC'!E13</f>
        <v>22990.273822944</v>
      </c>
      <c r="K5" s="65">
        <f>'09421500-CRblwHD '!E13</f>
        <v>633938.81549760001</v>
      </c>
      <c r="L5" s="65">
        <v>6654</v>
      </c>
      <c r="M5" s="1">
        <v>1100.02</v>
      </c>
      <c r="N5" s="78">
        <f t="shared" ca="1" si="0"/>
        <v>11736963.68163529</v>
      </c>
      <c r="O5" s="78">
        <f ca="1">N5-N4</f>
        <v>329691.0922665894</v>
      </c>
      <c r="P5" s="79">
        <f t="shared" ca="1" si="1"/>
        <v>89306.188837483991</v>
      </c>
      <c r="Q5" s="79"/>
      <c r="R5" s="79"/>
      <c r="S5" s="82"/>
      <c r="T5" s="82"/>
      <c r="U5" s="82"/>
      <c r="V5" s="83"/>
      <c r="W5" s="1"/>
      <c r="X5" s="83"/>
      <c r="Y5" s="1"/>
      <c r="AD5">
        <v>894.99999999999898</v>
      </c>
      <c r="AE5">
        <v>0</v>
      </c>
      <c r="AG5">
        <v>889.99999999999898</v>
      </c>
      <c r="AH5">
        <v>29190.999999931199</v>
      </c>
    </row>
    <row r="6" spans="1:34">
      <c r="A6" s="80">
        <v>3712</v>
      </c>
      <c r="B6" s="81">
        <f>'09380000-CR@LF-2010to2015'!E15</f>
        <v>644233.05676800001</v>
      </c>
      <c r="C6" s="81">
        <f>'09382000-PR@LF'!E6</f>
        <v>2426.9814293760005</v>
      </c>
      <c r="D6" s="81">
        <f>'09402000-LCRnrC'!E6</f>
        <v>2710.2218250239998</v>
      </c>
      <c r="E6" s="81">
        <f>'09402500-CRnrGC'!E7</f>
        <v>679221.57623040001</v>
      </c>
      <c r="F6" s="81">
        <f>'09404200-CRnrPS'!E14</f>
        <v>734758.90871039999</v>
      </c>
      <c r="G6" s="65">
        <f>'90404208-DCnrPS'!E14</f>
        <v>371.54475429120004</v>
      </c>
      <c r="H6" s="65">
        <f>'09415250-VRnrO'!E14</f>
        <v>13356.72846144</v>
      </c>
      <c r="I6" s="65">
        <f>'90419800LVWnrBC'!E14</f>
        <v>18488.377982591999</v>
      </c>
      <c r="K6" s="65">
        <f>'09421500-CRblwHD '!E14</f>
        <v>400701.85384320002</v>
      </c>
      <c r="L6" s="65">
        <v>5400</v>
      </c>
      <c r="M6" s="1">
        <v>1103.21</v>
      </c>
      <c r="N6" s="78">
        <f t="shared" ca="1" si="0"/>
        <v>12023596.601752669</v>
      </c>
      <c r="O6" s="78">
        <f t="shared" ref="O6:O69" ca="1" si="2">N6-N5</f>
        <v>286632.92011737823</v>
      </c>
      <c r="P6" s="79">
        <f t="shared" ca="1" si="1"/>
        <v>90431.777047737036</v>
      </c>
      <c r="Q6" s="79"/>
      <c r="R6" s="79"/>
      <c r="S6" s="82"/>
      <c r="T6" s="82"/>
      <c r="U6" s="82"/>
      <c r="V6" s="83"/>
      <c r="W6" s="1"/>
      <c r="X6" s="83"/>
      <c r="Y6" s="1"/>
      <c r="AD6">
        <v>895.49999999999898</v>
      </c>
      <c r="AE6">
        <v>15111.0000000157</v>
      </c>
      <c r="AG6">
        <v>890.49999999999898</v>
      </c>
      <c r="AH6">
        <v>29289.000000080599</v>
      </c>
    </row>
    <row r="7" spans="1:34">
      <c r="A7" s="201">
        <v>3743</v>
      </c>
      <c r="B7" s="192">
        <f>'09380000-CR@LF-2010to2015'!E16</f>
        <v>611618.75826912001</v>
      </c>
      <c r="C7" s="192">
        <f>'09382000-PR@LF'!E7</f>
        <v>4168.8701930879997</v>
      </c>
      <c r="D7" s="192">
        <f>'09402000-LCRnrC'!E7</f>
        <v>36591.366547296006</v>
      </c>
      <c r="E7" s="192">
        <f>'09402500-CRnrGC'!E8</f>
        <v>670831.47207360005</v>
      </c>
      <c r="F7" s="192">
        <f>'09404200-CRnrPS'!E15</f>
        <v>717562.17040319997</v>
      </c>
      <c r="G7" s="192">
        <f>'90404208-DCnrPS'!E15</f>
        <v>433.48871476800002</v>
      </c>
      <c r="H7" s="192">
        <f>'09415250-VRnrO'!E15</f>
        <v>17050.556114208004</v>
      </c>
      <c r="I7" s="192">
        <f>'90419800LVWnrBC'!E15</f>
        <v>19141.139986848004</v>
      </c>
      <c r="J7" s="194"/>
      <c r="K7" s="192">
        <f>'09421500-CRblwHD '!E15</f>
        <v>889113.02348159999</v>
      </c>
      <c r="L7" s="193">
        <v>12305</v>
      </c>
      <c r="M7" s="195">
        <v>1100.6600000000001</v>
      </c>
      <c r="N7" s="196">
        <f t="shared" ca="1" si="0"/>
        <v>11794193.305727929</v>
      </c>
      <c r="O7" s="196">
        <f t="shared" ca="1" si="2"/>
        <v>-229403.29602473974</v>
      </c>
      <c r="P7" s="197">
        <f t="shared" ca="1" si="1"/>
        <v>89518.225359276694</v>
      </c>
      <c r="Q7" s="198">
        <f>'Mead Evap Rate'!C3</f>
        <v>0.31725112915058756</v>
      </c>
      <c r="R7" s="198">
        <f>'Mead Evap Rate'!D3</f>
        <v>0.3359798783361162</v>
      </c>
      <c r="S7" s="198">
        <f>'Mead Evap Rate'!E3</f>
        <v>0.35470862752164478</v>
      </c>
      <c r="T7" s="199">
        <f t="shared" ref="T7:T38" ca="1" si="3">(P6+P7)/2*Q7</f>
        <v>28544.670727138029</v>
      </c>
      <c r="U7" s="199">
        <f ca="1">(P6+P7)/2*R7</f>
        <v>30229.789957646146</v>
      </c>
      <c r="V7" s="199">
        <f t="shared" ref="V7:V38" ca="1" si="4">(P6+P7)/2*S7</f>
        <v>31914.909188154259</v>
      </c>
      <c r="W7" s="193"/>
      <c r="X7" s="199">
        <v>5623.4375752191791</v>
      </c>
      <c r="Y7" s="193">
        <f>'Mead bank storage'!C5</f>
        <v>-15403.550460068067</v>
      </c>
      <c r="AD7">
        <v>895.99999999999898</v>
      </c>
      <c r="AE7">
        <v>30270.000000029599</v>
      </c>
      <c r="AG7">
        <v>890.99999999999898</v>
      </c>
      <c r="AH7">
        <v>29386.999999983</v>
      </c>
    </row>
    <row r="8" spans="1:34">
      <c r="A8" s="80">
        <v>3773</v>
      </c>
      <c r="B8" s="81">
        <f>'09380000-CR@LF-2010to2015'!E17</f>
        <v>614679.26198399998</v>
      </c>
      <c r="C8" s="81">
        <f>'09382000-PR@LF'!E8</f>
        <v>2076.6995395200001</v>
      </c>
      <c r="D8" s="81">
        <f>'09402000-LCRnrC'!E8</f>
        <v>64740.661862400004</v>
      </c>
      <c r="E8" s="81">
        <f>'09402500-CRnrGC'!E9</f>
        <v>703340.64633600006</v>
      </c>
      <c r="F8" s="81">
        <f>'09404200-CRnrPS'!E16</f>
        <v>764630.05968000006</v>
      </c>
      <c r="G8" s="65">
        <f>'90404208-DCnrPS'!E16</f>
        <v>402.84400809599998</v>
      </c>
      <c r="H8" s="65">
        <f>'09415250-VRnrO'!E16</f>
        <v>23129.31550176</v>
      </c>
      <c r="I8" s="65">
        <f>'90419800LVWnrBC'!E16</f>
        <v>16643.348458560002</v>
      </c>
      <c r="J8" s="65"/>
      <c r="K8" s="65">
        <f>'09421500-CRblwHD '!E16</f>
        <v>933622.22851200006</v>
      </c>
      <c r="L8" s="65">
        <v>19249</v>
      </c>
      <c r="M8" s="1">
        <v>1098</v>
      </c>
      <c r="N8" s="78">
        <f t="shared" ca="1" si="0"/>
        <v>11557346.991702899</v>
      </c>
      <c r="O8" s="78">
        <f t="shared" ca="1" si="2"/>
        <v>-236846.31402502954</v>
      </c>
      <c r="P8" s="79">
        <f t="shared" ca="1" si="1"/>
        <v>88574.128721972695</v>
      </c>
      <c r="Q8" s="85">
        <f>'Mead Evap Rate'!C4</f>
        <v>0.4023032469522454</v>
      </c>
      <c r="R8" s="85">
        <f>'Mead Evap Rate'!D4</f>
        <v>0.42605300200864415</v>
      </c>
      <c r="S8" s="85">
        <f>'Mead Evap Rate'!E4</f>
        <v>0.44980275706504291</v>
      </c>
      <c r="T8" s="83">
        <f t="shared" ca="1" si="3"/>
        <v>35823.566152127802</v>
      </c>
      <c r="U8" s="83">
        <f t="shared" ref="U8:U68" ca="1" si="5">(P7+P8)/2*R8</f>
        <v>37938.391045551354</v>
      </c>
      <c r="V8" s="83">
        <f t="shared" ca="1" si="4"/>
        <v>40053.215938974914</v>
      </c>
      <c r="W8" s="65"/>
      <c r="X8" s="83">
        <v>1298.5900818424434</v>
      </c>
      <c r="Y8" s="84">
        <f>'Mead bank storage'!C6</f>
        <v>-16214.263642176911</v>
      </c>
      <c r="AD8">
        <v>896.49999999999898</v>
      </c>
      <c r="AE8">
        <v>45478.999999980799</v>
      </c>
      <c r="AG8">
        <v>891.49999999999898</v>
      </c>
      <c r="AH8">
        <v>29486.000000028002</v>
      </c>
    </row>
    <row r="9" spans="1:34">
      <c r="A9" s="80">
        <v>3804</v>
      </c>
      <c r="B9" s="81">
        <f>'09380000-CR@LF-2010to2015'!E18</f>
        <v>611864.70931296004</v>
      </c>
      <c r="C9" s="81">
        <f>'09382000-PR@LF'!E9</f>
        <v>540.4774188383999</v>
      </c>
      <c r="D9" s="81">
        <f>'09402000-LCRnrC'!E9</f>
        <v>3929.0679253440003</v>
      </c>
      <c r="E9" s="81">
        <f>'09402500-CRnrGC'!E10</f>
        <v>648081.00051839999</v>
      </c>
      <c r="F9" s="81">
        <f>'09404200-CRnrPS'!E17</f>
        <v>713258.02713599999</v>
      </c>
      <c r="G9" s="65">
        <f>'90404208-DCnrPS'!E17</f>
        <v>341.87195093759999</v>
      </c>
      <c r="H9" s="65">
        <f>'09415250-VRnrO'!E17</f>
        <v>29477.232604224002</v>
      </c>
      <c r="I9" s="65">
        <f>'90419800LVWnrBC'!E17</f>
        <v>16054.454386656</v>
      </c>
      <c r="K9" s="65">
        <f>'09421500-CRblwHD '!E17</f>
        <v>961053.70380480005</v>
      </c>
      <c r="L9" s="65">
        <v>28041</v>
      </c>
      <c r="M9" s="1">
        <v>1094.3</v>
      </c>
      <c r="N9" s="78">
        <f t="shared" ca="1" si="0"/>
        <v>11231553.999972284</v>
      </c>
      <c r="O9" s="78">
        <f t="shared" ca="1" si="2"/>
        <v>-325792.9917306155</v>
      </c>
      <c r="P9" s="79">
        <f t="shared" ca="1" si="1"/>
        <v>87393.539999932807</v>
      </c>
      <c r="Q9" s="85">
        <f>'Mead Evap Rate'!C5</f>
        <v>0.5375931832362163</v>
      </c>
      <c r="R9" s="85">
        <f>'Mead Evap Rate'!D5</f>
        <v>0.56932970666369287</v>
      </c>
      <c r="S9" s="85">
        <f>'Mead Evap Rate'!E5</f>
        <v>0.60106623009116944</v>
      </c>
      <c r="T9" s="83">
        <f t="shared" ca="1" si="3"/>
        <v>47299.509587432578</v>
      </c>
      <c r="U9" s="83">
        <f t="shared" ca="1" si="5"/>
        <v>50091.810607868174</v>
      </c>
      <c r="V9" s="83">
        <f t="shared" ca="1" si="4"/>
        <v>52884.111628303763</v>
      </c>
      <c r="W9" s="65"/>
      <c r="X9" s="83">
        <v>0</v>
      </c>
      <c r="Y9" s="84">
        <f>'Mead bank storage'!C7</f>
        <v>-21078.542734829989</v>
      </c>
      <c r="AD9">
        <v>896.99999999999898</v>
      </c>
      <c r="AE9">
        <v>60736.000000011198</v>
      </c>
      <c r="AG9">
        <v>891.99999999999898</v>
      </c>
      <c r="AH9">
        <v>29583.999999930398</v>
      </c>
    </row>
    <row r="10" spans="1:34">
      <c r="A10" s="80">
        <v>3834</v>
      </c>
      <c r="B10" s="81">
        <f>'09380000-CR@LF-2010to2015'!E19</f>
        <v>611704.04774399998</v>
      </c>
      <c r="C10" s="81">
        <f>'09382000-PR@LF'!E10</f>
        <v>268.36432444799993</v>
      </c>
      <c r="D10" s="81">
        <f>'09402000-LCRnrC'!E10</f>
        <v>0</v>
      </c>
      <c r="E10" s="81">
        <f>'09402500-CRnrGC'!E11</f>
        <v>635505.76166399999</v>
      </c>
      <c r="F10" s="81">
        <f>'09404200-CRnrPS'!E18</f>
        <v>665852.94691199996</v>
      </c>
      <c r="G10" s="65">
        <f>'90404208-DCnrPS'!E18</f>
        <v>254.67833894400002</v>
      </c>
      <c r="H10" s="65">
        <f>'09415250-VRnrO'!E18</f>
        <v>7170.2663184000003</v>
      </c>
      <c r="I10" s="65">
        <f>'90419800LVWnrBC'!E18</f>
        <v>14983.17891264</v>
      </c>
      <c r="K10" s="65">
        <f>'09421500-CRblwHD '!E18</f>
        <v>1006812.4988160001</v>
      </c>
      <c r="L10" s="65">
        <v>28120</v>
      </c>
      <c r="M10" s="1">
        <v>1089.3</v>
      </c>
      <c r="N10" s="78">
        <f t="shared" ca="1" si="0"/>
        <v>10796658.000006378</v>
      </c>
      <c r="O10" s="78">
        <f t="shared" ca="1" si="2"/>
        <v>-434895.99996590614</v>
      </c>
      <c r="P10" s="79">
        <f t="shared" ca="1" si="1"/>
        <v>85804.539999980654</v>
      </c>
      <c r="Q10" s="85">
        <f>'Mead Evap Rate'!C6</f>
        <v>0.57012582322951877</v>
      </c>
      <c r="R10" s="85">
        <f>'Mead Evap Rate'!D6</f>
        <v>0.60378289350078118</v>
      </c>
      <c r="S10" s="85">
        <f>'Mead Evap Rate'!E6</f>
        <v>0.63743996377204371</v>
      </c>
      <c r="T10" s="83">
        <f t="shared" ca="1" si="3"/>
        <v>49372.348970861356</v>
      </c>
      <c r="U10" s="83">
        <f t="shared" ca="1" si="5"/>
        <v>52287.018945563766</v>
      </c>
      <c r="V10" s="83">
        <f t="shared" ca="1" si="4"/>
        <v>55201.688920266184</v>
      </c>
      <c r="W10" s="65"/>
      <c r="X10" s="83">
        <v>0</v>
      </c>
      <c r="Y10" s="84">
        <f>'Mead bank storage'!C8</f>
        <v>-28374.961373809598</v>
      </c>
      <c r="AD10">
        <v>897.49999999999898</v>
      </c>
      <c r="AE10">
        <v>76042.999999978798</v>
      </c>
      <c r="AG10">
        <v>892.49999999999898</v>
      </c>
      <c r="AH10">
        <v>29682.000000079799</v>
      </c>
    </row>
    <row r="11" spans="1:34">
      <c r="A11" s="80">
        <v>3865</v>
      </c>
      <c r="B11" s="81">
        <f>'09380000-CR@LF-2010to2015'!E20</f>
        <v>823321.11925440002</v>
      </c>
      <c r="C11" s="81">
        <f>'09382000-PR@LF'!E11</f>
        <v>1180.5650104319998</v>
      </c>
      <c r="D11" s="81">
        <f>'09402000-LCRnrC'!E11</f>
        <v>9813.4466492159991</v>
      </c>
      <c r="E11" s="81">
        <f>'09402500-CRnrGC'!E12</f>
        <v>852835.24451520003</v>
      </c>
      <c r="F11" s="81">
        <f>'09404200-CRnrPS'!E19</f>
        <v>874355.96085120004</v>
      </c>
      <c r="G11" s="65">
        <f>'90404208-DCnrPS'!E19</f>
        <v>1893.823037568</v>
      </c>
      <c r="H11" s="65">
        <f>'09415250-VRnrO'!E19</f>
        <v>627.17516179200004</v>
      </c>
      <c r="I11" s="65">
        <f>'90419800LVWnrBC'!E19</f>
        <v>15587.147403360001</v>
      </c>
      <c r="K11" s="65">
        <f>'09421500-CRblwHD '!E19</f>
        <v>941377.62029760005</v>
      </c>
      <c r="L11" s="65">
        <v>34322</v>
      </c>
      <c r="M11" s="1">
        <v>1086.97</v>
      </c>
      <c r="N11" s="78">
        <f t="shared" ca="1" si="0"/>
        <v>10596961.400033906</v>
      </c>
      <c r="O11" s="78">
        <f t="shared" ca="1" si="2"/>
        <v>-199696.59997247159</v>
      </c>
      <c r="P11" s="79">
        <f t="shared" ca="1" si="1"/>
        <v>85064.066000069695</v>
      </c>
      <c r="Q11" s="85">
        <f>'Mead Evap Rate'!C7</f>
        <v>0.76810550667431388</v>
      </c>
      <c r="R11" s="85">
        <f>'Mead Evap Rate'!D7</f>
        <v>0.81345020070595675</v>
      </c>
      <c r="S11" s="85">
        <f>'Mead Evap Rate'!E7</f>
        <v>0.85879489473759962</v>
      </c>
      <c r="T11" s="83">
        <f t="shared" ca="1" si="3"/>
        <v>65622.558593201189</v>
      </c>
      <c r="U11" s="83">
        <f t="shared" ca="1" si="5"/>
        <v>69496.550922544004</v>
      </c>
      <c r="V11" s="83">
        <f t="shared" ca="1" si="4"/>
        <v>73370.543251886818</v>
      </c>
      <c r="W11" s="65"/>
      <c r="X11" s="83">
        <v>3559.7626250010489</v>
      </c>
      <c r="Y11" s="84">
        <f>'Mead bank storage'!C9</f>
        <v>-12971.410913741531</v>
      </c>
      <c r="AD11">
        <v>897.99999999999898</v>
      </c>
      <c r="AE11">
        <v>91397.999999863503</v>
      </c>
      <c r="AG11">
        <v>892.99999999999898</v>
      </c>
      <c r="AH11">
        <v>29779.999999982199</v>
      </c>
    </row>
    <row r="12" spans="1:34">
      <c r="A12" s="80">
        <v>3896</v>
      </c>
      <c r="B12" s="81">
        <f>'09380000-CR@LF-2010to2015'!E21</f>
        <v>825780.62969279999</v>
      </c>
      <c r="C12" s="81">
        <f>'09382000-PR@LF'!E12</f>
        <v>3185.0660177280001</v>
      </c>
      <c r="D12" s="81">
        <f>'09402000-LCRnrC'!E12</f>
        <v>59237.308908864004</v>
      </c>
      <c r="E12" s="81">
        <f>'09402500-CRnrGC'!E13</f>
        <v>916782.51591359999</v>
      </c>
      <c r="F12" s="81">
        <f>'09404200-CRnrPS'!E20</f>
        <v>960438.82619519997</v>
      </c>
      <c r="G12" s="65">
        <f>'90404208-DCnrPS'!E20</f>
        <v>805.48966857599999</v>
      </c>
      <c r="H12" s="65">
        <f>'09415250-VRnrO'!E20</f>
        <v>3929.0679253440003</v>
      </c>
      <c r="I12" s="65">
        <f>'90419800LVWnrBC'!E20</f>
        <v>15882.288655968001</v>
      </c>
      <c r="K12" s="65">
        <f>'09421500-CRblwHD '!E20</f>
        <v>828855.01774080005</v>
      </c>
      <c r="L12" s="65">
        <v>33449</v>
      </c>
      <c r="M12" s="1">
        <v>1086.9100000000001</v>
      </c>
      <c r="N12" s="78">
        <f t="shared" ca="1" si="0"/>
        <v>10591848.200033695</v>
      </c>
      <c r="O12" s="78">
        <f t="shared" ca="1" si="2"/>
        <v>-5113.2000002115965</v>
      </c>
      <c r="P12" s="79">
        <f t="shared" ca="1" si="1"/>
        <v>85044.998000055464</v>
      </c>
      <c r="Q12" s="85">
        <f>'Mead Evap Rate'!C8</f>
        <v>0.86399007939982564</v>
      </c>
      <c r="R12" s="85">
        <f>'Mead Evap Rate'!D8</f>
        <v>0.91499526743237491</v>
      </c>
      <c r="S12" s="85">
        <f>'Mead Evap Rate'!E8</f>
        <v>0.96600045546492419</v>
      </c>
      <c r="T12" s="83">
        <f t="shared" ca="1" si="3"/>
        <v>73486.271856049076</v>
      </c>
      <c r="U12" s="83">
        <f t="shared" ca="1" si="5"/>
        <v>77824.494253732744</v>
      </c>
      <c r="V12" s="83">
        <f t="shared" ca="1" si="4"/>
        <v>82162.716651416427</v>
      </c>
      <c r="W12" s="65"/>
      <c r="X12" s="83">
        <v>1771.9694166679703</v>
      </c>
      <c r="Y12" s="84">
        <f>'Mead bank storage'!C10</f>
        <v>0</v>
      </c>
      <c r="AD12">
        <v>898.49999999999898</v>
      </c>
      <c r="AE12">
        <v>106803.000000334</v>
      </c>
      <c r="AG12">
        <v>893.49999999999898</v>
      </c>
      <c r="AH12">
        <v>29877.999999884501</v>
      </c>
    </row>
    <row r="13" spans="1:34">
      <c r="A13" s="80">
        <v>3926</v>
      </c>
      <c r="B13" s="81">
        <f>'09380000-CR@LF-2010to2015'!E22</f>
        <v>489541.75104960002</v>
      </c>
      <c r="C13" s="81">
        <f>'09382000-PR@LF'!E13</f>
        <v>286.81065273600007</v>
      </c>
      <c r="D13" s="81">
        <f>'09402000-LCRnrC'!E13</f>
        <v>15619.874760000001</v>
      </c>
      <c r="E13" s="81">
        <f>'09402500-CRnrGC'!E14</f>
        <v>533812.93894080003</v>
      </c>
      <c r="F13" s="81">
        <f>'09404200-CRnrPS'!E21</f>
        <v>584034.55531199998</v>
      </c>
      <c r="G13" s="65">
        <f>'90404208-DCnrPS'!E21</f>
        <v>302.87680963199995</v>
      </c>
      <c r="H13" s="65">
        <f>'09415250-VRnrO'!E21</f>
        <v>2136.20382432</v>
      </c>
      <c r="I13" s="65">
        <f>'90419800LVWnrBC'!E21</f>
        <v>15369.95676384</v>
      </c>
      <c r="K13" s="65">
        <f>'09421500-CRblwHD '!E21</f>
        <v>758084.58835199999</v>
      </c>
      <c r="L13" s="65">
        <v>23184</v>
      </c>
      <c r="M13" s="1">
        <v>1083.81</v>
      </c>
      <c r="N13" s="78">
        <f t="shared" ca="1" si="0"/>
        <v>10329187.60001047</v>
      </c>
      <c r="O13" s="78">
        <f t="shared" ca="1" si="2"/>
        <v>-262660.60002322495</v>
      </c>
      <c r="P13" s="79">
        <f t="shared" ca="1" si="1"/>
        <v>84059.81800006039</v>
      </c>
      <c r="Q13" s="85">
        <f>'Mead Evap Rate'!C9</f>
        <v>0.71536448357362026</v>
      </c>
      <c r="R13" s="85">
        <f>'Mead Evap Rate'!D9</f>
        <v>0.75759563977141609</v>
      </c>
      <c r="S13" s="85">
        <f>'Mead Evap Rate'!E9</f>
        <v>0.7998267959692118</v>
      </c>
      <c r="T13" s="83">
        <f t="shared" ca="1" si="3"/>
        <v>60485.789683867479</v>
      </c>
      <c r="U13" s="83">
        <f t="shared" ca="1" si="5"/>
        <v>64056.535633017687</v>
      </c>
      <c r="V13" s="83">
        <f t="shared" ca="1" si="4"/>
        <v>67627.281582167881</v>
      </c>
      <c r="W13" s="65"/>
      <c r="X13" s="83">
        <v>352.30170000024134</v>
      </c>
      <c r="Y13" s="84">
        <f>'Mead bank storage'!C11</f>
        <v>-17024.976824285757</v>
      </c>
      <c r="AD13">
        <v>898.99999999999898</v>
      </c>
      <c r="AE13">
        <v>122256.999999962</v>
      </c>
      <c r="AG13">
        <v>893.99999999999898</v>
      </c>
      <c r="AH13">
        <v>29976.000000034001</v>
      </c>
    </row>
    <row r="14" spans="1:34">
      <c r="A14" s="80">
        <v>3957</v>
      </c>
      <c r="B14" s="81">
        <f>'09380000-CR@LF-2010to2015'!E23</f>
        <v>502416.49480416003</v>
      </c>
      <c r="C14" s="81">
        <f>'09382000-PR@LF'!E14</f>
        <v>6179.51997648</v>
      </c>
      <c r="D14" s="81">
        <f>'09402000-LCRnrC'!E14</f>
        <v>10342.241393472001</v>
      </c>
      <c r="E14" s="81">
        <f>'09402500-CRnrGC'!E15</f>
        <v>543121.39255968004</v>
      </c>
      <c r="F14" s="81">
        <f>'09404200-CRnrPS'!E22</f>
        <v>575156.51601984003</v>
      </c>
      <c r="G14" s="65">
        <f>'90404208-DCnrPS'!E22</f>
        <v>376.30509707520002</v>
      </c>
      <c r="H14" s="65">
        <f>'09415250-VRnrO'!E22</f>
        <v>13582.646396063999</v>
      </c>
      <c r="I14" s="65">
        <f>'90419800LVWnrBC'!E22</f>
        <v>18870.593838624001</v>
      </c>
      <c r="K14" s="65">
        <f>'09421500-CRblwHD '!E22</f>
        <v>637628.08115520002</v>
      </c>
      <c r="L14" s="65">
        <v>23914</v>
      </c>
      <c r="M14" s="1">
        <v>1082.3599999999999</v>
      </c>
      <c r="N14" s="78">
        <f t="shared" ca="1" si="0"/>
        <v>10207488.400008902</v>
      </c>
      <c r="O14" s="78">
        <f t="shared" ca="1" si="2"/>
        <v>-121699.2000015676</v>
      </c>
      <c r="P14" s="79">
        <f t="shared" ca="1" si="1"/>
        <v>83599.007999963069</v>
      </c>
      <c r="Q14" s="85">
        <f>'Mead Evap Rate'!C10</f>
        <v>0.62734191874181067</v>
      </c>
      <c r="R14" s="85">
        <f>'Mead Evap Rate'!D10</f>
        <v>0.6643767103314937</v>
      </c>
      <c r="S14" s="85">
        <f>'Mead Evap Rate'!E10</f>
        <v>0.70141150192117685</v>
      </c>
      <c r="T14" s="83">
        <f t="shared" ca="1" si="3"/>
        <v>52589.704798427047</v>
      </c>
      <c r="U14" s="83">
        <f t="shared" ca="1" si="5"/>
        <v>55694.309637967948</v>
      </c>
      <c r="V14" s="83">
        <f t="shared" ca="1" si="4"/>
        <v>58798.914477508857</v>
      </c>
      <c r="W14" s="65"/>
      <c r="X14" s="83">
        <v>5239.3383125007331</v>
      </c>
      <c r="Y14" s="84">
        <f>'Mead bank storage'!C12</f>
        <v>-8107.1318210884556</v>
      </c>
      <c r="AD14">
        <v>899.49999999999898</v>
      </c>
      <c r="AE14">
        <v>137759.000000236</v>
      </c>
      <c r="AG14">
        <v>894.49999999999898</v>
      </c>
      <c r="AH14">
        <v>30073.999999936299</v>
      </c>
    </row>
    <row r="15" spans="1:34">
      <c r="A15" s="80">
        <v>3987</v>
      </c>
      <c r="B15" s="81">
        <f>'09380000-CR@LF-2010to2015'!E24</f>
        <v>826514.51587200002</v>
      </c>
      <c r="C15" s="81">
        <f>'09382000-PR@LF'!E15</f>
        <v>1082.9779833600001</v>
      </c>
      <c r="D15" s="81">
        <f>'09402000-LCRnrC'!E15</f>
        <v>0</v>
      </c>
      <c r="E15" s="81">
        <f>'09402500-CRnrGC'!E16</f>
        <v>840795.54422400007</v>
      </c>
      <c r="F15" s="81">
        <f>'09404200-CRnrPS'!E23</f>
        <v>850316.22979200003</v>
      </c>
      <c r="G15" s="65">
        <f>'90404208-DCnrPS'!E23</f>
        <v>347.50502323199999</v>
      </c>
      <c r="H15" s="65">
        <f>'09415250-VRnrO'!E23</f>
        <v>12579.20580672</v>
      </c>
      <c r="I15" s="65">
        <f>'90419800LVWnrBC'!E23</f>
        <v>17875.087153920002</v>
      </c>
      <c r="K15" s="65">
        <f>'09421500-CRblwHD '!E23</f>
        <v>800332.63055999996</v>
      </c>
      <c r="L15" s="65">
        <v>17359</v>
      </c>
      <c r="M15" s="1">
        <v>1081.94</v>
      </c>
      <c r="N15" s="78">
        <f t="shared" ca="1" si="0"/>
        <v>10172370.40003404</v>
      </c>
      <c r="O15" s="78">
        <f t="shared" ca="1" si="2"/>
        <v>-35117.999974861741</v>
      </c>
      <c r="P15" s="79">
        <f t="shared" ca="1" si="1"/>
        <v>83465.531999893021</v>
      </c>
      <c r="Q15" s="85">
        <f>'Mead Evap Rate'!C11</f>
        <v>0.66473362062671748</v>
      </c>
      <c r="R15" s="85">
        <f>'Mead Evap Rate'!D11</f>
        <v>0.7039758111564689</v>
      </c>
      <c r="S15" s="85">
        <f>'Mead Evap Rate'!E11</f>
        <v>0.74321800168622032</v>
      </c>
      <c r="T15" s="83">
        <f t="shared" ca="1" si="3"/>
        <v>55526.708276220699</v>
      </c>
      <c r="U15" s="83">
        <f t="shared" ca="1" si="5"/>
        <v>58804.697530940517</v>
      </c>
      <c r="V15" s="83">
        <f t="shared" ca="1" si="4"/>
        <v>62082.686785660335</v>
      </c>
      <c r="W15" s="65"/>
      <c r="X15" s="83">
        <v>348.05112499970016</v>
      </c>
      <c r="Y15" s="84">
        <f>'Mead bank storage'!C13</f>
        <v>-1621.4263642176913</v>
      </c>
      <c r="AD15">
        <v>899.99999999999898</v>
      </c>
      <c r="AE15">
        <v>153310.99999979901</v>
      </c>
      <c r="AG15">
        <v>894.99999999999898</v>
      </c>
      <c r="AH15">
        <v>30172.000000085802</v>
      </c>
    </row>
    <row r="16" spans="1:34">
      <c r="A16" s="80">
        <v>4018</v>
      </c>
      <c r="B16" s="81">
        <f>'09380000-CR@LF-2010to2015'!E25</f>
        <v>865132.7967072</v>
      </c>
      <c r="C16" s="81">
        <f>'09382000-PR@LF'!E16</f>
        <v>4574.6894154239999</v>
      </c>
      <c r="D16" s="81">
        <f>'09402000-LCRnrC'!E16</f>
        <v>395.98118058239999</v>
      </c>
      <c r="E16" s="81">
        <f>'09402500-CRnrGC'!E17</f>
        <v>898951.06523519999</v>
      </c>
      <c r="F16" s="81">
        <f>'09404200-CRnrPS'!E24</f>
        <v>930309.8233248</v>
      </c>
      <c r="G16" s="65">
        <f>'90404208-DCnrPS'!E24</f>
        <v>353.55462552</v>
      </c>
      <c r="H16" s="65">
        <f>'09415250-VRnrO'!E24</f>
        <v>64316.197964160005</v>
      </c>
      <c r="I16" s="65">
        <f>'90419800LVWnrBC'!E24</f>
        <v>23611.300208640001</v>
      </c>
      <c r="K16" s="65">
        <f>'09421500-CRblwHD '!E24</f>
        <v>660378.55271039996</v>
      </c>
      <c r="L16" s="65">
        <v>9440</v>
      </c>
      <c r="M16" s="1">
        <v>1086.3</v>
      </c>
      <c r="N16" s="78">
        <f t="shared" ca="1" si="0"/>
        <v>10539900.000010416</v>
      </c>
      <c r="O16" s="78">
        <f t="shared" ca="1" si="2"/>
        <v>367529.5999763757</v>
      </c>
      <c r="P16" s="79">
        <f t="shared" ca="1" si="1"/>
        <v>84851.140000009385</v>
      </c>
      <c r="Q16" s="85">
        <f>'Mead Evap Rate'!C12</f>
        <v>0.35190170066844234</v>
      </c>
      <c r="R16" s="85">
        <f>'Mead Evap Rate'!D12</f>
        <v>0.37267602764223817</v>
      </c>
      <c r="S16" s="85">
        <f>'Mead Evap Rate'!E12</f>
        <v>0.39345035461603395</v>
      </c>
      <c r="T16" s="83">
        <f t="shared" ca="1" si="3"/>
        <v>29615.461563809022</v>
      </c>
      <c r="U16" s="83">
        <f t="shared" ca="1" si="5"/>
        <v>31363.794353442583</v>
      </c>
      <c r="V16" s="83">
        <f t="shared" ca="1" si="4"/>
        <v>33112.127143076134</v>
      </c>
      <c r="W16" s="65"/>
      <c r="X16" s="83">
        <v>8766.4933333282515</v>
      </c>
      <c r="Y16" s="84">
        <f>'Mead bank storage'!C14</f>
        <v>24321.395463265369</v>
      </c>
      <c r="AD16">
        <v>900.49999999999898</v>
      </c>
      <c r="AE16">
        <v>168916.99999998801</v>
      </c>
      <c r="AG16">
        <v>895.49999999999898</v>
      </c>
      <c r="AH16">
        <v>30269.9999999881</v>
      </c>
    </row>
    <row r="17" spans="1:34">
      <c r="A17" s="87">
        <v>4049</v>
      </c>
      <c r="B17" s="81">
        <f>'09380000-CR@LF-2010to2015'!E26</f>
        <v>1011473.667792</v>
      </c>
      <c r="C17" s="81">
        <f>'09382000-PR@LF'!E17</f>
        <v>996.10172755200006</v>
      </c>
      <c r="D17" s="81">
        <f>'09402000-LCRnrC'!E17</f>
        <v>64.562149008000006</v>
      </c>
      <c r="E17" s="81">
        <f>'09402500-CRnrGC'!E18</f>
        <v>1036068.7721760001</v>
      </c>
      <c r="F17" s="81">
        <f>'09404200-CRnrPS'!E25</f>
        <v>1056359.7332927999</v>
      </c>
      <c r="G17" s="65">
        <f>'90404208-DCnrPS'!E25</f>
        <v>355.3992583488</v>
      </c>
      <c r="H17" s="65">
        <f>'09415250-VRnrO'!E25</f>
        <v>16171.28113248</v>
      </c>
      <c r="I17" s="65">
        <f>'90419800LVWnrBC'!E25</f>
        <v>19055.057121504</v>
      </c>
      <c r="K17" s="65">
        <f>'09421500-CRblwHD '!E25</f>
        <v>539678.07794592006</v>
      </c>
      <c r="L17" s="65">
        <v>9479</v>
      </c>
      <c r="M17" s="1">
        <v>1091.73</v>
      </c>
      <c r="N17" s="78">
        <f t="shared" ca="1" si="0"/>
        <v>11006938.800033197</v>
      </c>
      <c r="O17" s="78">
        <f t="shared" ca="1" si="2"/>
        <v>467038.8000227809</v>
      </c>
      <c r="P17" s="79">
        <f t="shared" ca="1" si="1"/>
        <v>86576.793999964837</v>
      </c>
      <c r="Q17" s="85">
        <f>'Mead Evap Rate'!C13</f>
        <v>0.25194037091804072</v>
      </c>
      <c r="R17" s="85">
        <f>'Mead Evap Rate'!D13</f>
        <v>0.26681353474023572</v>
      </c>
      <c r="S17" s="85">
        <f>'Mead Evap Rate'!E13</f>
        <v>0.28168669856243073</v>
      </c>
      <c r="T17" s="83">
        <f t="shared" ca="1" si="3"/>
        <v>21594.808638833456</v>
      </c>
      <c r="U17" s="83">
        <f t="shared" ca="1" si="5"/>
        <v>22869.646511874478</v>
      </c>
      <c r="V17" s="83">
        <f t="shared" ca="1" si="4"/>
        <v>24144.484384915504</v>
      </c>
      <c r="W17" s="65"/>
      <c r="X17" s="83">
        <v>0</v>
      </c>
      <c r="Y17" s="84">
        <f>'Mead bank storage'!C15</f>
        <v>29996.38773802729</v>
      </c>
      <c r="AD17">
        <v>900.99999999999898</v>
      </c>
      <c r="AE17">
        <v>184584.00000010399</v>
      </c>
      <c r="AG17">
        <v>895.99999999999898</v>
      </c>
      <c r="AH17">
        <v>30367.999999890399</v>
      </c>
    </row>
    <row r="18" spans="1:34">
      <c r="A18" s="87">
        <v>4077</v>
      </c>
      <c r="B18" s="81">
        <f>'09380000-CR@LF-2010to2015'!E27</f>
        <v>975790.93167359999</v>
      </c>
      <c r="C18" s="81">
        <f>'09382000-PR@LF'!E18</f>
        <v>1105.1929163519999</v>
      </c>
      <c r="D18" s="81">
        <f>'09402000-LCRnrC'!E18</f>
        <v>494.28225907199999</v>
      </c>
      <c r="E18" s="81">
        <f>'09402500-CRnrGC'!E19</f>
        <v>1009113.3311616001</v>
      </c>
      <c r="F18" s="81">
        <f>'09404200-CRnrPS'!E26</f>
        <v>1040214.2373504001</v>
      </c>
      <c r="G18" s="65">
        <f>'90404208-DCnrPS'!E26</f>
        <v>314.34130183680003</v>
      </c>
      <c r="H18" s="65">
        <f>'09415250-VRnrO'!E26</f>
        <v>9663.4958515199996</v>
      </c>
      <c r="I18" s="65">
        <f>'90419800LVWnrBC'!E26</f>
        <v>17999.649456768002</v>
      </c>
      <c r="K18" s="65">
        <f>'09421500-CRblwHD '!E26</f>
        <v>634236.33692160004</v>
      </c>
      <c r="L18" s="65">
        <v>8943</v>
      </c>
      <c r="M18" s="1">
        <v>1095.78</v>
      </c>
      <c r="N18" s="78">
        <f t="shared" ca="1" si="0"/>
        <v>11361549.024857908</v>
      </c>
      <c r="O18" s="78">
        <f t="shared" ca="1" si="2"/>
        <v>354610.22482471168</v>
      </c>
      <c r="P18" s="79">
        <f t="shared" ca="1" si="1"/>
        <v>87852.151685469027</v>
      </c>
      <c r="Q18" s="85">
        <f>'Mead Evap Rate'!C14</f>
        <v>0.35234255855229851</v>
      </c>
      <c r="R18" s="85">
        <f>'Mead Evap Rate'!D14</f>
        <v>0.37314291133333199</v>
      </c>
      <c r="S18" s="85">
        <f>'Mead Evap Rate'!E14</f>
        <v>0.39394326411436542</v>
      </c>
      <c r="T18" s="83">
        <f t="shared" ca="1" si="3"/>
        <v>30729.370504192841</v>
      </c>
      <c r="U18" s="83">
        <f t="shared" ca="1" si="5"/>
        <v>32543.462306933216</v>
      </c>
      <c r="V18" s="83">
        <f t="shared" ca="1" si="4"/>
        <v>34357.554109673583</v>
      </c>
      <c r="W18" s="65"/>
      <c r="X18" s="83">
        <v>7267.8727368930777</v>
      </c>
      <c r="Y18" s="84">
        <f>'Mead bank storage'!C16</f>
        <v>22699.969099047681</v>
      </c>
      <c r="AD18">
        <v>901.49999999999898</v>
      </c>
      <c r="AE18">
        <v>200311.00000001499</v>
      </c>
      <c r="AG18">
        <v>896.49999999999898</v>
      </c>
      <c r="AH18">
        <v>30466.000000039901</v>
      </c>
    </row>
    <row r="19" spans="1:34">
      <c r="A19" s="87">
        <v>4108</v>
      </c>
      <c r="B19" s="81">
        <f>'09380000-CR@LF-2010to2015'!E28</f>
        <v>1045906.8139296001</v>
      </c>
      <c r="C19" s="81">
        <f>'09382000-PR@LF'!E19</f>
        <v>2447.2128862079999</v>
      </c>
      <c r="D19" s="81">
        <f>'09402000-LCRnrC'!E19</f>
        <v>12291.403415904002</v>
      </c>
      <c r="E19" s="81">
        <f>'09402500-CRnrGC'!E20</f>
        <v>1088333.3689920001</v>
      </c>
      <c r="F19" s="81">
        <f>'09404200-CRnrPS'!E27</f>
        <v>1108009.4524992001</v>
      </c>
      <c r="G19" s="65">
        <f>'90404208-DCnrPS'!E27</f>
        <v>370.77119858880002</v>
      </c>
      <c r="H19" s="65">
        <f>'09415250-VRnrO'!E27</f>
        <v>23027.166479520001</v>
      </c>
      <c r="I19" s="65">
        <f>'90419800LVWnrBC'!E27</f>
        <v>18692.27933184</v>
      </c>
      <c r="K19" s="65">
        <f>'09421500-CRblwHD '!E27</f>
        <v>1006554.6469152</v>
      </c>
      <c r="L19" s="65">
        <v>14910</v>
      </c>
      <c r="M19" s="1">
        <v>1096.3900000000001</v>
      </c>
      <c r="N19" s="78">
        <f t="shared" ca="1" si="0"/>
        <v>11415192.523926839</v>
      </c>
      <c r="O19" s="78">
        <f t="shared" ca="1" si="2"/>
        <v>53643.499068930745</v>
      </c>
      <c r="P19" s="79">
        <f t="shared" ca="1" si="1"/>
        <v>88037.617691192863</v>
      </c>
      <c r="Q19" s="88">
        <f>'Mead Evap Rate'!C15</f>
        <v>0.28541343800620983</v>
      </c>
      <c r="R19" s="88">
        <f>'Mead Evap Rate'!D15</f>
        <v>0.30041398571142386</v>
      </c>
      <c r="S19" s="88">
        <f>'Mead Evap Rate'!E15</f>
        <v>0.31541453341663783</v>
      </c>
      <c r="T19" s="83">
        <f t="shared" ca="1" si="3"/>
        <v>25100.651893956216</v>
      </c>
      <c r="U19" s="83">
        <f t="shared" ca="1" si="5"/>
        <v>26419.873332153071</v>
      </c>
      <c r="V19" s="83">
        <f t="shared" ca="1" si="4"/>
        <v>27739.094770349922</v>
      </c>
      <c r="W19" s="65"/>
      <c r="X19" s="83">
        <v>1282.5295683714928</v>
      </c>
      <c r="Y19" s="84">
        <f>'Mead bank storage'!C17</f>
        <v>3242.8527284353827</v>
      </c>
      <c r="AD19">
        <v>901.99999999999898</v>
      </c>
      <c r="AE19">
        <v>216097.99999972101</v>
      </c>
      <c r="AG19">
        <v>896.99999999999898</v>
      </c>
      <c r="AH19">
        <v>30563.9999999422</v>
      </c>
    </row>
    <row r="20" spans="1:34">
      <c r="A20" s="87">
        <v>4138</v>
      </c>
      <c r="B20" s="81">
        <f>'09380000-CR@LF-2010to2015'!E29</f>
        <v>962779.328064</v>
      </c>
      <c r="C20" s="81">
        <f>'09382000-PR@LF'!E20</f>
        <v>1678.0208313600001</v>
      </c>
      <c r="D20" s="81">
        <f>'09402000-LCRnrC'!E20</f>
        <v>4272.4076486399999</v>
      </c>
      <c r="E20" s="81">
        <f>'09402500-CRnrGC'!E21</f>
        <v>1006217.455968</v>
      </c>
      <c r="F20" s="81">
        <f>'09404200-CRnrPS'!E28</f>
        <v>1046680.369632</v>
      </c>
      <c r="G20" s="65">
        <f>'90404208-DCnrPS'!E28</f>
        <v>316.56279513600003</v>
      </c>
      <c r="H20" s="65">
        <f>'09415250-VRnrO'!E28</f>
        <v>48490.041683520001</v>
      </c>
      <c r="I20" s="65">
        <f>'90419800LVWnrBC'!E28</f>
        <v>15929.29704096</v>
      </c>
      <c r="K20" s="65">
        <f>'09421500-CRblwHD '!E28</f>
        <v>1078217.6405760001</v>
      </c>
      <c r="L20" s="65">
        <v>20577</v>
      </c>
      <c r="M20" s="1">
        <v>1095.76</v>
      </c>
      <c r="N20" s="78">
        <f t="shared" ca="1" si="0"/>
        <v>11359792.317344233</v>
      </c>
      <c r="O20" s="78">
        <f t="shared" ca="1" si="2"/>
        <v>-55400.206582605839</v>
      </c>
      <c r="P20" s="79">
        <f t="shared" ca="1" si="1"/>
        <v>87845.644655999378</v>
      </c>
      <c r="Q20" s="88">
        <f>'Mead Evap Rate'!C16</f>
        <v>0.3898187076949779</v>
      </c>
      <c r="R20" s="88">
        <f>'Mead Evap Rate'!D16</f>
        <v>0.41030651009843788</v>
      </c>
      <c r="S20" s="88">
        <f>'Mead Evap Rate'!E16</f>
        <v>0.43079431250189781</v>
      </c>
      <c r="T20" s="83">
        <f t="shared" ca="1" si="3"/>
        <v>34281.293016679621</v>
      </c>
      <c r="U20" s="83">
        <f t="shared" ca="1" si="5"/>
        <v>36083.023779202216</v>
      </c>
      <c r="V20" s="83">
        <f t="shared" ca="1" si="4"/>
        <v>37884.754541724804</v>
      </c>
      <c r="W20" s="65"/>
      <c r="X20" s="83">
        <v>366.42346322331719</v>
      </c>
      <c r="Y20" s="84">
        <f>'Mead bank storage'!C18</f>
        <v>-4053.5659105442278</v>
      </c>
      <c r="AD20">
        <v>902.49999999999898</v>
      </c>
      <c r="AE20">
        <v>231946.000000164</v>
      </c>
      <c r="AG20">
        <v>897.49999999999898</v>
      </c>
      <c r="AH20">
        <v>30662.000000091699</v>
      </c>
    </row>
    <row r="21" spans="1:34">
      <c r="A21" s="87">
        <v>4169</v>
      </c>
      <c r="B21" s="81">
        <f>'09380000-CR@LF-2010to2015'!E30</f>
        <v>1190403.0521855999</v>
      </c>
      <c r="C21" s="81">
        <f>'09382000-PR@LF'!E21</f>
        <v>971.50662316800003</v>
      </c>
      <c r="D21" s="81">
        <f>'09402000-LCRnrC'!E21</f>
        <v>0</v>
      </c>
      <c r="E21" s="81">
        <f>'09402500-CRnrGC'!E22</f>
        <v>1211923.7685215999</v>
      </c>
      <c r="F21" s="81">
        <f>'09404200-CRnrPS'!E29</f>
        <v>1237133.7505152</v>
      </c>
      <c r="G21" s="65">
        <f>'90404208-DCnrPS'!E29</f>
        <v>330.18927635519998</v>
      </c>
      <c r="H21" s="65">
        <f>'09415250-VRnrO'!E29</f>
        <v>55548.043251264004</v>
      </c>
      <c r="I21" s="65">
        <f>'90419800LVWnrBC'!E29</f>
        <v>16601.6954592</v>
      </c>
      <c r="K21" s="65">
        <f>'09421500-CRblwHD '!E29</f>
        <v>1002250.5036480001</v>
      </c>
      <c r="L21" s="65">
        <v>26055</v>
      </c>
      <c r="M21" s="1">
        <v>1097.9000000000001</v>
      </c>
      <c r="N21" s="78">
        <f t="shared" ca="1" si="0"/>
        <v>11548499.009699628</v>
      </c>
      <c r="O21" s="78">
        <f t="shared" ca="1" si="2"/>
        <v>188706.69235539436</v>
      </c>
      <c r="P21" s="79">
        <f t="shared" ca="1" si="1"/>
        <v>88539.258229306201</v>
      </c>
      <c r="Q21" s="88">
        <f>'Mead Evap Rate'!C17</f>
        <v>0.51270241462857702</v>
      </c>
      <c r="R21" s="88">
        <f>'Mead Evap Rate'!D17</f>
        <v>0.53964864772446597</v>
      </c>
      <c r="S21" s="88">
        <f>'Mead Evap Rate'!E17</f>
        <v>0.56659488082035492</v>
      </c>
      <c r="T21" s="83">
        <f t="shared" ca="1" si="3"/>
        <v>45216.482806661617</v>
      </c>
      <c r="U21" s="83">
        <f t="shared" ca="1" si="5"/>
        <v>47592.937160533205</v>
      </c>
      <c r="V21" s="83">
        <f t="shared" ca="1" si="4"/>
        <v>49969.391514404793</v>
      </c>
      <c r="W21" s="65"/>
      <c r="X21" s="83">
        <v>734.93709535543985</v>
      </c>
      <c r="Y21" s="84">
        <f>'Mead bank storage'!C19</f>
        <v>12971.410913741531</v>
      </c>
      <c r="AD21">
        <v>902.99999999999898</v>
      </c>
      <c r="AE21">
        <v>247854.000000403</v>
      </c>
      <c r="AG21">
        <v>897.99999999999898</v>
      </c>
      <c r="AH21">
        <v>30759.999999994001</v>
      </c>
    </row>
    <row r="22" spans="1:34">
      <c r="A22" s="87">
        <v>4199</v>
      </c>
      <c r="B22" s="81">
        <f>'09380000-CR@LF-2010to2015'!E31</f>
        <v>1390615.1357760001</v>
      </c>
      <c r="C22" s="81">
        <f>'09382000-PR@LF'!E22</f>
        <v>455.20777872000002</v>
      </c>
      <c r="D22" s="81">
        <f>'09402000-LCRnrC'!E22</f>
        <v>0</v>
      </c>
      <c r="E22" s="81">
        <f>'09402500-CRnrGC'!E23</f>
        <v>1415011.8925439999</v>
      </c>
      <c r="F22" s="81">
        <f>'09404200-CRnrPS'!E30</f>
        <v>1444764.034944</v>
      </c>
      <c r="G22" s="65">
        <f>'90404208-DCnrPS'!E30</f>
        <v>264.19902451200005</v>
      </c>
      <c r="H22" s="65">
        <f>'09415250-VRnrO'!E30</f>
        <v>20755.094538239999</v>
      </c>
      <c r="I22" s="65">
        <f>'90419800LVWnrBC'!E30</f>
        <v>15441.361905600001</v>
      </c>
      <c r="K22" s="65">
        <f>'09421500-CRblwHD '!E30</f>
        <v>939572.65699200006</v>
      </c>
      <c r="L22" s="65">
        <v>25759</v>
      </c>
      <c r="M22" s="1">
        <v>1102.3800000000001</v>
      </c>
      <c r="N22" s="78">
        <f t="shared" ca="1" si="0"/>
        <v>11948669.07686606</v>
      </c>
      <c r="O22" s="78">
        <f t="shared" ca="1" si="2"/>
        <v>400170.06716643274</v>
      </c>
      <c r="P22" s="79">
        <f t="shared" ca="1" si="1"/>
        <v>90112.16027692199</v>
      </c>
      <c r="Q22" s="88">
        <f>'Mead Evap Rate'!C18</f>
        <v>0.57491203477365049</v>
      </c>
      <c r="R22" s="88">
        <f>'Mead Evap Rate'!D18</f>
        <v>0.60512783492716737</v>
      </c>
      <c r="S22" s="88">
        <f>'Mead Evap Rate'!E18</f>
        <v>0.63534363508068414</v>
      </c>
      <c r="T22" s="83">
        <f t="shared" ca="1" si="3"/>
        <v>51354.425264307327</v>
      </c>
      <c r="U22" s="83">
        <f t="shared" ca="1" si="5"/>
        <v>54053.473043670572</v>
      </c>
      <c r="V22" s="83">
        <f t="shared" ca="1" si="4"/>
        <v>56752.52082303381</v>
      </c>
      <c r="W22" s="65"/>
      <c r="X22" s="83">
        <v>0</v>
      </c>
      <c r="Y22" s="84">
        <f>'Mead bank storage'!C20</f>
        <v>25942.821827483061</v>
      </c>
      <c r="AD22">
        <v>903.49999999999898</v>
      </c>
      <c r="AE22">
        <v>263821.99999962503</v>
      </c>
      <c r="AG22">
        <v>898.49999999999898</v>
      </c>
      <c r="AH22">
        <v>30857.999999896401</v>
      </c>
    </row>
    <row r="23" spans="1:34">
      <c r="A23" s="87">
        <v>4230</v>
      </c>
      <c r="B23" s="81">
        <f>'09380000-CR@LF-2010to2015'!E32</f>
        <v>1502146.0002528001</v>
      </c>
      <c r="C23" s="81">
        <f>'09382000-PR@LF'!E23</f>
        <v>384.91338360960003</v>
      </c>
      <c r="D23" s="81">
        <f>'09402000-LCRnrC'!E23</f>
        <v>1863.0791570880001</v>
      </c>
      <c r="E23" s="81">
        <f>'09402500-CRnrGC'!E24</f>
        <v>1533504.7583424</v>
      </c>
      <c r="F23" s="81">
        <f>'09404200-CRnrPS'!E31</f>
        <v>1570397.4149184001</v>
      </c>
      <c r="G23" s="65">
        <f>'90404208-DCnrPS'!E31</f>
        <v>270.54614822399998</v>
      </c>
      <c r="H23" s="65">
        <f>'09415250-VRnrO'!E31</f>
        <v>4753.0039222079995</v>
      </c>
      <c r="I23" s="65">
        <f>'90419800LVWnrBC'!E31</f>
        <v>18046.657841759999</v>
      </c>
      <c r="K23" s="65">
        <f>'09421500-CRblwHD '!E31</f>
        <v>1001635.6260384</v>
      </c>
      <c r="L23" s="65">
        <v>27213</v>
      </c>
      <c r="M23" s="1">
        <v>1107.07</v>
      </c>
      <c r="N23" s="78">
        <f t="shared" ca="1" si="0"/>
        <v>12375639.74912104</v>
      </c>
      <c r="O23" s="78">
        <f t="shared" ca="1" si="2"/>
        <v>426970.67225497961</v>
      </c>
      <c r="P23" s="79">
        <f t="shared" ca="1" si="1"/>
        <v>92033.561445587198</v>
      </c>
      <c r="Q23" s="88">
        <f>'Mead Evap Rate'!C19</f>
        <v>0.58896880959389641</v>
      </c>
      <c r="R23" s="88">
        <f>'Mead Evap Rate'!D19</f>
        <v>0.61992339528864604</v>
      </c>
      <c r="S23" s="88">
        <f>'Mead Evap Rate'!E19</f>
        <v>0.65087798098339578</v>
      </c>
      <c r="T23" s="83">
        <f t="shared" ca="1" si="3"/>
        <v>53639.074447763676</v>
      </c>
      <c r="U23" s="83">
        <f t="shared" ca="1" si="5"/>
        <v>56458.19712375939</v>
      </c>
      <c r="V23" s="83">
        <f t="shared" ca="1" si="4"/>
        <v>59277.319799755118</v>
      </c>
      <c r="W23" s="65"/>
      <c r="X23" s="83">
        <v>2846.0269019142061</v>
      </c>
      <c r="Y23" s="84">
        <f>'Mead bank storage'!C21</f>
        <v>28374.961373809598</v>
      </c>
      <c r="AD23">
        <v>903.99999999999898</v>
      </c>
      <c r="AE23">
        <v>279851.00000039599</v>
      </c>
      <c r="AG23">
        <v>898.99999999999898</v>
      </c>
      <c r="AH23">
        <v>30956.000000045799</v>
      </c>
    </row>
    <row r="24" spans="1:34">
      <c r="A24" s="87">
        <v>4261</v>
      </c>
      <c r="B24" s="81">
        <f>'09380000-CR@LF-2010to2015'!E33</f>
        <v>1500916.2450336001</v>
      </c>
      <c r="C24" s="81">
        <f>'09382000-PR@LF'!E24</f>
        <v>627.17516179200004</v>
      </c>
      <c r="D24" s="81">
        <f>'09402000-LCRnrC'!E24</f>
        <v>4642.3259524800005</v>
      </c>
      <c r="E24" s="81">
        <f>'09402500-CRnrGC'!E25</f>
        <v>1537808.9016096001</v>
      </c>
      <c r="F24" s="81">
        <f>'09404200-CRnrPS'!E32</f>
        <v>1583309.8447199999</v>
      </c>
      <c r="G24" s="65">
        <f>'90404208-DCnrPS'!E32</f>
        <v>199.22034551040005</v>
      </c>
      <c r="H24" s="65">
        <f>'09415250-VRnrO'!E32</f>
        <v>2238.1544989439999</v>
      </c>
      <c r="I24" s="65">
        <f>'90419800LVWnrBC'!E32</f>
        <v>16915.283040096001</v>
      </c>
      <c r="K24" s="65">
        <f>'09421500-CRblwHD '!E32</f>
        <v>831314.52817920002</v>
      </c>
      <c r="L24" s="65">
        <v>28699</v>
      </c>
      <c r="M24" s="1">
        <v>1113.45</v>
      </c>
      <c r="N24" s="78">
        <f t="shared" ca="1" si="0"/>
        <v>12972047.990162328</v>
      </c>
      <c r="O24" s="78">
        <f t="shared" ca="1" si="2"/>
        <v>596408.24104128778</v>
      </c>
      <c r="P24" s="79">
        <f t="shared" ca="1" si="1"/>
        <v>94834.426325087377</v>
      </c>
      <c r="Q24" s="88">
        <f>'Mead Evap Rate'!C20</f>
        <v>0.6464675169755375</v>
      </c>
      <c r="R24" s="88">
        <f>'Mead Evap Rate'!D20</f>
        <v>0.6804440770702721</v>
      </c>
      <c r="S24" s="88">
        <f>'Mead Evap Rate'!E20</f>
        <v>0.7144206371650067</v>
      </c>
      <c r="T24" s="83">
        <f t="shared" ca="1" si="3"/>
        <v>60402.042028161552</v>
      </c>
      <c r="U24" s="83">
        <f t="shared" ca="1" si="5"/>
        <v>63576.607736297781</v>
      </c>
      <c r="V24" s="83">
        <f t="shared" ca="1" si="4"/>
        <v>66751.173444434011</v>
      </c>
      <c r="W24" s="65"/>
      <c r="X24" s="83">
        <v>3893.08307855572</v>
      </c>
      <c r="Y24" s="84">
        <f>'Mead bank storage'!C22</f>
        <v>38103.519559115746</v>
      </c>
      <c r="AD24">
        <v>904.49999999999898</v>
      </c>
      <c r="AE24">
        <v>295939.00000002002</v>
      </c>
      <c r="AG24">
        <v>899.49999999999898</v>
      </c>
      <c r="AH24">
        <v>31053.999999948199</v>
      </c>
    </row>
    <row r="25" spans="1:34">
      <c r="A25" s="87">
        <v>4291</v>
      </c>
      <c r="B25" s="81">
        <f>'09380000-CR@LF-2010to2015'!E34</f>
        <v>956828.899584</v>
      </c>
      <c r="C25" s="81">
        <f>'09382000-PR@LF'!E25</f>
        <v>2076.6995395200001</v>
      </c>
      <c r="D25" s="81">
        <f>'09402000-LCRnrC'!E25</f>
        <v>14358.38392224</v>
      </c>
      <c r="E25" s="81">
        <f>'09402500-CRnrGC'!E26</f>
        <v>998481.89894400002</v>
      </c>
      <c r="F25" s="81">
        <f>'09404200-CRnrPS'!E33</f>
        <v>1025258.827104</v>
      </c>
      <c r="G25" s="65">
        <f>'90404208-DCnrPS'!E33</f>
        <v>522.44762054399996</v>
      </c>
      <c r="H25" s="65">
        <f>'09415250-VRnrO'!E33</f>
        <v>4230.7546492800002</v>
      </c>
      <c r="I25" s="65">
        <f>'90419800LVWnrBC'!E33</f>
        <v>19826.82769536</v>
      </c>
      <c r="K25" s="65">
        <f>'09421500-CRblwHD '!E33</f>
        <v>670018.24684799998</v>
      </c>
      <c r="L25" s="65">
        <v>18540</v>
      </c>
      <c r="M25" s="1">
        <v>1116.04</v>
      </c>
      <c r="N25" s="78">
        <f t="shared" ca="1" si="0"/>
        <v>13218973.668654338</v>
      </c>
      <c r="O25" s="78">
        <f t="shared" ca="1" si="2"/>
        <v>246925.67849200964</v>
      </c>
      <c r="P25" s="79">
        <f t="shared" ca="1" si="1"/>
        <v>95874.658073127386</v>
      </c>
      <c r="Q25" s="88">
        <f>'Mead Evap Rate'!C21</f>
        <v>0.57284951959332908</v>
      </c>
      <c r="R25" s="88">
        <f>'Mead Evap Rate'!D21</f>
        <v>0.6029569196043324</v>
      </c>
      <c r="S25" s="88">
        <f>'Mead Evap Rate'!E21</f>
        <v>0.63306431961533571</v>
      </c>
      <c r="T25" s="83">
        <f t="shared" ca="1" si="3"/>
        <v>54623.803689800487</v>
      </c>
      <c r="U25" s="83">
        <f t="shared" ca="1" si="5"/>
        <v>57494.681034655114</v>
      </c>
      <c r="V25" s="83">
        <f t="shared" ca="1" si="4"/>
        <v>60365.558379509734</v>
      </c>
      <c r="W25" s="65"/>
      <c r="X25" s="83">
        <v>2979.8294437221057</v>
      </c>
      <c r="Y25" s="84">
        <f>'Mead bank storage'!C23</f>
        <v>17024.976824285757</v>
      </c>
      <c r="AD25">
        <v>904.99999999999898</v>
      </c>
      <c r="AE25">
        <v>312088.00000038103</v>
      </c>
      <c r="AG25">
        <v>899.99999999999898</v>
      </c>
      <c r="AH25">
        <v>31152.0000000976</v>
      </c>
    </row>
    <row r="26" spans="1:34">
      <c r="A26" s="87">
        <v>4322</v>
      </c>
      <c r="B26" s="81">
        <f>'09380000-CR@LF-2010to2015'!E35</f>
        <v>979500.03209280001</v>
      </c>
      <c r="C26" s="81">
        <f>'09382000-PR@LF'!E26</f>
        <v>1266.6478757760001</v>
      </c>
      <c r="D26" s="81">
        <f>'09402000-LCRnrC'!E26</f>
        <v>1143.672353856</v>
      </c>
      <c r="E26" s="81">
        <f>'09402500-CRnrGC'!E27</f>
        <v>1013933.1782304</v>
      </c>
      <c r="F26" s="81">
        <f>'09404200-CRnrPS'!E34</f>
        <v>1042217.548272</v>
      </c>
      <c r="G26" s="65">
        <f>'90404208-DCnrPS'!E34</f>
        <v>272.39078105279998</v>
      </c>
      <c r="H26" s="65">
        <f>'09415250-VRnrO'!E34</f>
        <v>12242.213207135999</v>
      </c>
      <c r="I26" s="65">
        <f>'90419800LVWnrBC'!E34</f>
        <v>19288.710613151998</v>
      </c>
      <c r="K26" s="65">
        <f>'09421500-CRblwHD '!E34</f>
        <v>443326.75652160001</v>
      </c>
      <c r="L26" s="65">
        <v>20511</v>
      </c>
      <c r="M26" s="1">
        <v>1121</v>
      </c>
      <c r="N26" s="78">
        <f t="shared" ca="1" si="0"/>
        <v>13698851.756095707</v>
      </c>
      <c r="O26" s="78">
        <f t="shared" ca="1" si="2"/>
        <v>479878.08744136989</v>
      </c>
      <c r="P26" s="79">
        <f t="shared" ca="1" si="1"/>
        <v>97588.793089127343</v>
      </c>
      <c r="Q26" s="88">
        <f>'Mead Evap Rate'!C22</f>
        <v>0.59479924198814038</v>
      </c>
      <c r="R26" s="88">
        <f>'Mead Evap Rate'!D22</f>
        <v>0.62606025922263409</v>
      </c>
      <c r="S26" s="88">
        <f>'Mead Evap Rate'!E22</f>
        <v>0.6573212764571279</v>
      </c>
      <c r="T26" s="83">
        <f t="shared" ca="1" si="3"/>
        <v>57535.957051859361</v>
      </c>
      <c r="U26" s="83">
        <f t="shared" ca="1" si="5"/>
        <v>60559.889192373303</v>
      </c>
      <c r="V26" s="83">
        <f t="shared" ca="1" si="4"/>
        <v>63583.821332887252</v>
      </c>
      <c r="W26" s="65"/>
      <c r="X26" s="83">
        <v>6045.7328488204603</v>
      </c>
      <c r="Y26" s="84">
        <f>'Mead bank storage'!C24</f>
        <v>30807.100920136134</v>
      </c>
      <c r="AD26">
        <v>905.49999999999898</v>
      </c>
      <c r="AE26">
        <v>328297.99999985698</v>
      </c>
      <c r="AG26">
        <v>900.49999999999898</v>
      </c>
      <c r="AH26">
        <v>31273.0000000703</v>
      </c>
    </row>
    <row r="27" spans="1:34">
      <c r="A27" s="87">
        <v>4352</v>
      </c>
      <c r="B27" s="81">
        <f>'09380000-CR@LF-2010to2015'!E36</f>
        <v>1103804.4830400001</v>
      </c>
      <c r="C27" s="81">
        <f>'09382000-PR@LF'!E27</f>
        <v>690.24970368000004</v>
      </c>
      <c r="D27" s="81">
        <f>'09402000-LCRnrC'!E27</f>
        <v>1005.6224131199998</v>
      </c>
      <c r="E27" s="81">
        <f>'09402500-CRnrGC'!E28</f>
        <v>1127606.1969600001</v>
      </c>
      <c r="F27" s="81">
        <f>'09404200-CRnrPS'!E35</f>
        <v>1144267.396704</v>
      </c>
      <c r="G27" s="65">
        <f>'90404208-DCnrPS'!E35</f>
        <v>337.98433766399995</v>
      </c>
      <c r="H27" s="65">
        <f>'09415250-VRnrO'!E35</f>
        <v>10288.290841919999</v>
      </c>
      <c r="I27" s="65">
        <f>'90419800LVWnrBC'!E35</f>
        <v>17535.912730560001</v>
      </c>
      <c r="K27" s="65">
        <f>'09421500-CRblwHD '!E35</f>
        <v>564160.12418879999</v>
      </c>
      <c r="L27" s="65">
        <v>13287</v>
      </c>
      <c r="M27" s="1">
        <v>1125.82</v>
      </c>
      <c r="N27" s="78">
        <f t="shared" ca="1" si="0"/>
        <v>14173993.05883047</v>
      </c>
      <c r="O27" s="78">
        <f t="shared" ca="1" si="2"/>
        <v>475141.30273476243</v>
      </c>
      <c r="P27" s="79">
        <f t="shared" ca="1" si="1"/>
        <v>99637.136122667289</v>
      </c>
      <c r="Q27" s="88">
        <f>'Mead Evap Rate'!C23</f>
        <v>0.56321296221515593</v>
      </c>
      <c r="R27" s="88">
        <f>'Mead Evap Rate'!D23</f>
        <v>0.59281389119355787</v>
      </c>
      <c r="S27" s="88">
        <f>'Mead Evap Rate'!E23</f>
        <v>0.62241482017195982</v>
      </c>
      <c r="T27" s="83">
        <f t="shared" ca="1" si="3"/>
        <v>55540.099908505756</v>
      </c>
      <c r="U27" s="83">
        <f t="shared" ca="1" si="5"/>
        <v>58459.135270154584</v>
      </c>
      <c r="V27" s="83">
        <f t="shared" ca="1" si="4"/>
        <v>61378.170631803419</v>
      </c>
      <c r="W27" s="65"/>
      <c r="X27" s="83">
        <v>3081.6551439342911</v>
      </c>
      <c r="Y27" s="84">
        <f>'Mead bank storage'!C25</f>
        <v>30807.100920136134</v>
      </c>
      <c r="AD27">
        <v>905.99999999999898</v>
      </c>
      <c r="AE27">
        <v>344567.99999993999</v>
      </c>
      <c r="AG27">
        <v>900.99999999999898</v>
      </c>
      <c r="AH27">
        <v>31394.000000043099</v>
      </c>
    </row>
    <row r="28" spans="1:34">
      <c r="A28" s="87">
        <v>4383</v>
      </c>
      <c r="B28" s="81">
        <f>'09380000-CR@LF-2010to2015'!E37</f>
        <v>1226065.9535423999</v>
      </c>
      <c r="C28" s="81">
        <f>'09382000-PR@LF'!E28</f>
        <v>866.97742953600005</v>
      </c>
      <c r="D28" s="81">
        <f>'09402000-LCRnrC'!E28</f>
        <v>3344.9341962240001</v>
      </c>
      <c r="E28" s="81">
        <f>'09402500-CRnrGC'!E29</f>
        <v>1257424.711632</v>
      </c>
      <c r="F28" s="81">
        <f>'09404200-CRnrPS'!E36</f>
        <v>1291857.8577696001</v>
      </c>
      <c r="G28" s="65">
        <f>'90404208-DCnrPS'!E36</f>
        <v>352.9397479104</v>
      </c>
      <c r="H28" s="65">
        <f>'09415250-VRnrO'!E36</f>
        <v>9555.1980531840018</v>
      </c>
      <c r="I28" s="65">
        <f>'90419800LVWnrBC'!E36</f>
        <v>18434.030735808003</v>
      </c>
      <c r="K28" s="65">
        <f>'09421500-CRblwHD '!E36</f>
        <v>496636.64527392003</v>
      </c>
      <c r="L28" s="65">
        <v>8874</v>
      </c>
      <c r="M28" s="1">
        <v>1132.83</v>
      </c>
      <c r="N28" s="78">
        <f t="shared" ca="1" si="0"/>
        <v>14883261.367135257</v>
      </c>
      <c r="O28" s="78">
        <f t="shared" ca="1" si="2"/>
        <v>709268.30830478668</v>
      </c>
      <c r="P28" s="79">
        <f t="shared" ca="1" si="1"/>
        <v>102702.65258623438</v>
      </c>
      <c r="Q28" s="88">
        <f>'Mead Evap Rate'!C24</f>
        <v>0.53162668244217148</v>
      </c>
      <c r="R28" s="88">
        <f>'Mead Evap Rate'!D24</f>
        <v>0.55956752316448166</v>
      </c>
      <c r="S28" s="88">
        <f>'Mead Evap Rate'!E24</f>
        <v>0.58750836388679184</v>
      </c>
      <c r="T28" s="83">
        <f t="shared" ca="1" si="3"/>
        <v>53784.615298681674</v>
      </c>
      <c r="U28" s="83">
        <f t="shared" ca="1" si="5"/>
        <v>56611.38720273233</v>
      </c>
      <c r="V28" s="83">
        <f t="shared" ca="1" si="4"/>
        <v>59438.159106782987</v>
      </c>
      <c r="W28" s="65"/>
      <c r="X28" s="83">
        <v>1475.3942926690745</v>
      </c>
      <c r="Y28" s="84">
        <f>'Mead bank storage'!C26</f>
        <v>46210.651380204203</v>
      </c>
      <c r="AD28">
        <v>906.49999999999898</v>
      </c>
      <c r="AE28">
        <v>360897.999999817</v>
      </c>
      <c r="AG28">
        <v>901.49999999999898</v>
      </c>
      <c r="AH28">
        <v>31514.000000120101</v>
      </c>
    </row>
    <row r="29" spans="1:34">
      <c r="A29" s="80">
        <v>4414</v>
      </c>
      <c r="B29" s="81">
        <f>'09380000-CR@LF-2010to2015'!E38</f>
        <v>846071.59080959996</v>
      </c>
      <c r="C29" s="81">
        <f>'09382000-PR@LF'!E29</f>
        <v>1377.325845504</v>
      </c>
      <c r="D29" s="81">
        <f>'09402000-LCRnrC'!E29</f>
        <v>70.710925103999998</v>
      </c>
      <c r="E29" s="81">
        <f>'09402500-CRnrGC'!E30</f>
        <v>886653.51304320002</v>
      </c>
      <c r="F29" s="81">
        <f>'09404200-CRnrPS'!E37</f>
        <v>916167.63830400002</v>
      </c>
      <c r="G29" s="65">
        <f>'90404208-DCnrPS'!E37</f>
        <v>379.99436273279997</v>
      </c>
      <c r="H29" s="65">
        <f>'09415250-VRnrO'!E37</f>
        <v>8546.7987734399994</v>
      </c>
      <c r="I29" s="65">
        <f>'90419800LVWnrBC'!E37</f>
        <v>18360.245422656</v>
      </c>
      <c r="K29" s="65">
        <f>'09421500-CRblwHD '!E37</f>
        <v>713258.02713599999</v>
      </c>
      <c r="L29" s="65">
        <v>8924</v>
      </c>
      <c r="M29" s="1">
        <v>1134.18</v>
      </c>
      <c r="N29" s="78">
        <f t="shared" ca="1" si="0"/>
        <v>15022287.30567272</v>
      </c>
      <c r="O29" s="78">
        <f t="shared" ca="1" si="2"/>
        <v>139025.93853746355</v>
      </c>
      <c r="P29" s="79">
        <f t="shared" ca="1" si="1"/>
        <v>103274.28902439331</v>
      </c>
      <c r="Q29" s="88">
        <f>'Mead Evap Rate'!C25</f>
        <v>0.33456643151640247</v>
      </c>
      <c r="R29" s="88">
        <f>'Mead Evap Rate'!D25</f>
        <v>0.35215032578425337</v>
      </c>
      <c r="S29" s="88">
        <f>'Mead Evap Rate'!E25</f>
        <v>0.36973422005210427</v>
      </c>
      <c r="T29" s="83">
        <f t="shared" ca="1" si="3"/>
        <v>34456.48516466505</v>
      </c>
      <c r="U29" s="83">
        <f t="shared" ca="1" si="5"/>
        <v>36267.423546113336</v>
      </c>
      <c r="V29" s="83">
        <f t="shared" ca="1" si="4"/>
        <v>38078.361927561622</v>
      </c>
      <c r="W29" s="65"/>
      <c r="X29" s="83">
        <v>85.823725671094877</v>
      </c>
      <c r="Y29" s="84">
        <f>'Mead bank storage'!C27</f>
        <v>8917.8450031973025</v>
      </c>
      <c r="AD29">
        <v>906.99999999999898</v>
      </c>
      <c r="AE29">
        <v>377288.00000030099</v>
      </c>
      <c r="AG29">
        <v>901.99999999999898</v>
      </c>
      <c r="AH29">
        <v>31635.000000092899</v>
      </c>
    </row>
    <row r="30" spans="1:34">
      <c r="A30" s="80">
        <v>4443</v>
      </c>
      <c r="B30" s="81">
        <f>'09380000-CR@LF-2010to2015'!E39</f>
        <v>654011.59423679998</v>
      </c>
      <c r="C30" s="81">
        <f>'09382000-PR@LF'!E30</f>
        <v>1018.1183129279998</v>
      </c>
      <c r="D30" s="81">
        <f>'09402000-LCRnrC'!E30</f>
        <v>0</v>
      </c>
      <c r="E30" s="81">
        <f>'09402500-CRnrGC'!E31</f>
        <v>672993.46108799998</v>
      </c>
      <c r="F30" s="81">
        <f>'09404200-CRnrPS'!E38</f>
        <v>709806.77861759998</v>
      </c>
      <c r="G30" s="65">
        <f>'90404208-DCnrPS'!E38</f>
        <v>368.70838338240003</v>
      </c>
      <c r="H30" s="65">
        <f>'09415250-VRnrO'!E38</f>
        <v>8605.1129725439987</v>
      </c>
      <c r="I30" s="65">
        <f>'90419800LVWnrBC'!E38</f>
        <v>15823.974456864</v>
      </c>
      <c r="K30" s="65">
        <f>'09421500-CRblwHD '!E38</f>
        <v>775380.50046720007</v>
      </c>
      <c r="L30" s="65">
        <v>10735</v>
      </c>
      <c r="M30" s="1">
        <v>1133.06</v>
      </c>
      <c r="N30" s="78">
        <f t="shared" ca="1" si="0"/>
        <v>14906884.251648843</v>
      </c>
      <c r="O30" s="78">
        <f t="shared" ca="1" si="2"/>
        <v>-115403.05402387679</v>
      </c>
      <c r="P30" s="79">
        <f t="shared" ca="1" si="1"/>
        <v>102808.13412324112</v>
      </c>
      <c r="Q30" s="88">
        <f>'Mead Evap Rate'!C26</f>
        <v>0.26878628627089907</v>
      </c>
      <c r="R30" s="88">
        <f>'Mead Evap Rate'!D26</f>
        <v>0.28291295647213255</v>
      </c>
      <c r="S30" s="88">
        <f>'Mead Evap Rate'!E26</f>
        <v>0.29703962667336609</v>
      </c>
      <c r="T30" s="83">
        <f t="shared" ca="1" si="3"/>
        <v>27696.064591780312</v>
      </c>
      <c r="U30" s="83">
        <f t="shared" ca="1" si="5"/>
        <v>29151.693804819151</v>
      </c>
      <c r="V30" s="83">
        <f t="shared" ca="1" si="4"/>
        <v>30607.323017857994</v>
      </c>
      <c r="W30" s="65"/>
      <c r="X30" s="83">
        <v>858.67676311514344</v>
      </c>
      <c r="Y30" s="84">
        <f>'Mead bank storage'!C28</f>
        <v>-7296.4186389796114</v>
      </c>
      <c r="AD30">
        <v>907.49999999999898</v>
      </c>
      <c r="AE30">
        <v>393738.9999999</v>
      </c>
      <c r="AG30">
        <v>902.49999999999898</v>
      </c>
      <c r="AH30">
        <v>31754.9999999229</v>
      </c>
    </row>
    <row r="31" spans="1:34">
      <c r="A31" s="80">
        <v>4474</v>
      </c>
      <c r="B31" s="81">
        <f>'09380000-CR@LF-2010to2015'!E40</f>
        <v>606945.68843615998</v>
      </c>
      <c r="C31" s="81">
        <f>'09382000-PR@LF'!E31</f>
        <v>1285.094204064</v>
      </c>
      <c r="D31" s="81">
        <f>'09402000-LCRnrC'!E31</f>
        <v>3062.090495808</v>
      </c>
      <c r="E31" s="81">
        <f>'09402500-CRnrGC'!E32</f>
        <v>629019.79462080006</v>
      </c>
      <c r="F31" s="81">
        <f>'09404200-CRnrPS'!E39</f>
        <v>660993.43032000004</v>
      </c>
      <c r="G31" s="65">
        <f>'90404208-DCnrPS'!E39</f>
        <v>348.0207270336</v>
      </c>
      <c r="H31" s="65">
        <f>'09415250-VRnrO'!E39</f>
        <v>11455.169866848</v>
      </c>
      <c r="I31" s="65">
        <f>'90419800LVWnrBC'!E39</f>
        <v>17136.638979551997</v>
      </c>
      <c r="K31" s="65">
        <f>'09421500-CRblwHD '!E39</f>
        <v>986263.68579839997</v>
      </c>
      <c r="L31" s="65">
        <v>16487</v>
      </c>
      <c r="M31" s="1">
        <v>1129.4100000000001</v>
      </c>
      <c r="N31" s="78">
        <f t="shared" ca="1" si="0"/>
        <v>14534571.526129484</v>
      </c>
      <c r="O31" s="78">
        <f t="shared" ca="1" si="2"/>
        <v>-372312.72551935911</v>
      </c>
      <c r="P31" s="79">
        <f t="shared" ca="1" si="1"/>
        <v>101220.1921591353</v>
      </c>
      <c r="Q31" s="85">
        <f>'Mead Evap Rate'!C27</f>
        <v>0.335175</v>
      </c>
      <c r="R31" s="85">
        <f>'Mead Evap Rate'!D27</f>
        <v>0.34477108851635851</v>
      </c>
      <c r="S31" s="85">
        <f>'Mead Evap Rate'!E27</f>
        <v>0.35436717703271703</v>
      </c>
      <c r="T31" s="83">
        <f t="shared" ca="1" si="3"/>
        <v>34192.59713084776</v>
      </c>
      <c r="U31" s="83">
        <f t="shared" ca="1" si="5"/>
        <v>35171.534070272843</v>
      </c>
      <c r="V31" s="83">
        <f t="shared" ca="1" si="4"/>
        <v>36150.471009697918</v>
      </c>
      <c r="W31" s="86"/>
      <c r="X31" s="83">
        <v>3187.9425981621316</v>
      </c>
      <c r="Y31" s="190">
        <f t="shared" ref="Y31:Y68" ca="1" si="6">O31*0.065</f>
        <v>-24200.327158758344</v>
      </c>
      <c r="AD31">
        <v>907.99999999999898</v>
      </c>
      <c r="AE31">
        <v>410250.00000010501</v>
      </c>
      <c r="AG31">
        <v>902.99999999999898</v>
      </c>
      <c r="AH31">
        <v>31875.999999895601</v>
      </c>
    </row>
    <row r="32" spans="1:34">
      <c r="A32" s="80">
        <v>4504</v>
      </c>
      <c r="B32" s="81">
        <f>'09380000-CR@LF-2010to2015'!E41</f>
        <v>611704.04774399998</v>
      </c>
      <c r="C32" s="81">
        <f>'09382000-PR@LF'!E32</f>
        <v>579.57173395200005</v>
      </c>
      <c r="D32" s="81">
        <f>'09402000-LCRnrC'!E32</f>
        <v>1737.5251161599999</v>
      </c>
      <c r="E32" s="81">
        <f>'09402500-CRnrGC'!E33</f>
        <v>628960.29033600003</v>
      </c>
      <c r="F32" s="81">
        <f>'09404200-CRnrPS'!E40</f>
        <v>664067.81836799998</v>
      </c>
      <c r="G32" s="65">
        <f>'90404208-DCnrPS'!E40</f>
        <v>297.52142400000002</v>
      </c>
      <c r="H32" s="65">
        <f>'09415250-VRnrO'!E40</f>
        <v>6604.9756127999999</v>
      </c>
      <c r="I32" s="65">
        <f>'90419800LVWnrBC'!E40</f>
        <v>15429.46104864</v>
      </c>
      <c r="K32" s="65">
        <f>'09421500-CRblwHD '!E40</f>
        <v>1169854.2391679999</v>
      </c>
      <c r="L32" s="65">
        <v>20784</v>
      </c>
      <c r="M32" s="1">
        <v>1123.93</v>
      </c>
      <c r="N32" s="78">
        <f t="shared" ca="1" si="0"/>
        <v>13986496.219687834</v>
      </c>
      <c r="O32" s="78">
        <f t="shared" ca="1" si="2"/>
        <v>-548075.30644164979</v>
      </c>
      <c r="P32" s="79">
        <f t="shared" ca="1" si="1"/>
        <v>98774.27773650072</v>
      </c>
      <c r="Q32" s="85">
        <f>'Mead Evap Rate'!C28</f>
        <v>0.39068333333333344</v>
      </c>
      <c r="R32" s="85">
        <f>'Mead Evap Rate'!D28</f>
        <v>0.40186863011421703</v>
      </c>
      <c r="S32" s="85">
        <f>'Mead Evap Rate'!E28</f>
        <v>0.41305392689510068</v>
      </c>
      <c r="T32" s="83">
        <f t="shared" ca="1" si="3"/>
        <v>39067.253073530046</v>
      </c>
      <c r="U32" s="83">
        <f t="shared" ca="1" si="5"/>
        <v>40185.751823689134</v>
      </c>
      <c r="V32" s="83">
        <f t="shared" ca="1" si="4"/>
        <v>41304.250573848229</v>
      </c>
      <c r="W32" s="86"/>
      <c r="X32" s="83">
        <v>1458.2930096556793</v>
      </c>
      <c r="Y32" s="190">
        <f t="shared" ca="1" si="6"/>
        <v>-35624.894918707236</v>
      </c>
      <c r="AD32">
        <v>908.49999999999898</v>
      </c>
      <c r="AE32">
        <v>426821.00000010501</v>
      </c>
      <c r="AG32">
        <v>903.49999999999898</v>
      </c>
      <c r="AH32">
        <v>31997.0000001154</v>
      </c>
    </row>
    <row r="33" spans="1:34">
      <c r="A33" s="80">
        <v>4535</v>
      </c>
      <c r="B33" s="81">
        <f>'09380000-CR@LF-2010to2015'!E42</f>
        <v>605900.39649983996</v>
      </c>
      <c r="C33" s="81">
        <f>'09382000-PR@LF'!E33</f>
        <v>194.91620224319999</v>
      </c>
      <c r="D33" s="81">
        <f>'09402000-LCRnrC'!E33</f>
        <v>0</v>
      </c>
      <c r="E33" s="81">
        <f>'09402500-CRnrGC'!E34</f>
        <v>624715.65135359997</v>
      </c>
      <c r="F33" s="81">
        <f>'09404200-CRnrPS'!E41</f>
        <v>651155.38856640004</v>
      </c>
      <c r="G33" s="65">
        <f>'90404208-DCnrPS'!E41</f>
        <v>213.97740814080001</v>
      </c>
      <c r="H33" s="65">
        <f>'09415250-VRnrO'!E41</f>
        <v>2170.5179618880002</v>
      </c>
      <c r="I33" s="65">
        <f>'90419800LVWnrBC'!E41</f>
        <v>15335.047583424001</v>
      </c>
      <c r="K33" s="65">
        <f>'09421500-CRblwHD '!E41</f>
        <v>1005939.7693056</v>
      </c>
      <c r="L33" s="65">
        <v>31053</v>
      </c>
      <c r="M33" s="1">
        <v>1119.3800000000001</v>
      </c>
      <c r="N33" s="78">
        <f t="shared" ca="1" si="0"/>
        <v>13541210.895260155</v>
      </c>
      <c r="O33" s="78">
        <f t="shared" ca="1" si="2"/>
        <v>-445285.32442767918</v>
      </c>
      <c r="P33" s="79">
        <f t="shared" ca="1" si="1"/>
        <v>97047.24890762649</v>
      </c>
      <c r="Q33" s="85">
        <f>'Mead Evap Rate'!C29</f>
        <v>0.62782500000000008</v>
      </c>
      <c r="R33" s="85">
        <f>'Mead Evap Rate'!D29</f>
        <v>0.64579968269645049</v>
      </c>
      <c r="S33" s="85">
        <f>'Mead Evap Rate'!E29</f>
        <v>0.66377436539290102</v>
      </c>
      <c r="T33" s="83">
        <f t="shared" ca="1" si="3"/>
        <v>61470.824982674589</v>
      </c>
      <c r="U33" s="83">
        <f t="shared" ca="1" si="5"/>
        <v>63230.73988595594</v>
      </c>
      <c r="V33" s="83">
        <f t="shared" ca="1" si="4"/>
        <v>64990.654789237298</v>
      </c>
      <c r="W33" s="86"/>
      <c r="X33" s="83">
        <v>0</v>
      </c>
      <c r="Y33" s="190">
        <f t="shared" ca="1" si="6"/>
        <v>-28943.546087799146</v>
      </c>
      <c r="AD33">
        <v>908.99999999999898</v>
      </c>
      <c r="AE33">
        <v>443451.9999999</v>
      </c>
      <c r="AG33">
        <v>903.99999999999898</v>
      </c>
      <c r="AH33">
        <v>32116.999999945401</v>
      </c>
    </row>
    <row r="34" spans="1:34">
      <c r="A34" s="80">
        <v>4565</v>
      </c>
      <c r="B34" s="81">
        <f>'09380000-CR@LF-2010to2015'!E43</f>
        <v>712266.28905600007</v>
      </c>
      <c r="C34" s="81">
        <f>'09382000-PR@LF'!E34</f>
        <v>139.24002643199998</v>
      </c>
      <c r="D34" s="81">
        <f>'09402000-LCRnrC'!E34</f>
        <v>0</v>
      </c>
      <c r="E34" s="81">
        <f>'09402500-CRnrGC'!E35</f>
        <v>734877.91728000005</v>
      </c>
      <c r="F34" s="81">
        <f>'09404200-CRnrPS'!E42</f>
        <v>750349.03132800001</v>
      </c>
      <c r="G34" s="65">
        <f>'90404208-DCnrPS'!E42</f>
        <v>144.00036921599997</v>
      </c>
      <c r="H34" s="65">
        <f>'09415250-VRnrO'!E42</f>
        <v>696.20013216000007</v>
      </c>
      <c r="I34" s="65">
        <f>'90419800LVWnrBC'!E42</f>
        <v>14453.590777920001</v>
      </c>
      <c r="K34" s="65">
        <f>'09421500-CRblwHD '!E42</f>
        <v>989556.25622400001</v>
      </c>
      <c r="L34" s="65">
        <v>29004</v>
      </c>
      <c r="M34" s="1">
        <v>1115.8399999999999</v>
      </c>
      <c r="N34" s="78">
        <f t="shared" ca="1" si="0"/>
        <v>13199817.022833765</v>
      </c>
      <c r="O34" s="78">
        <f t="shared" ca="1" si="2"/>
        <v>-341393.87242639065</v>
      </c>
      <c r="P34" s="79">
        <f t="shared" ca="1" si="1"/>
        <v>95790.047798360814</v>
      </c>
      <c r="Q34" s="85">
        <f>'Mead Evap Rate'!C30</f>
        <v>0.75280000000000014</v>
      </c>
      <c r="R34" s="85">
        <f>'Mead Evap Rate'!D30</f>
        <v>0.77435272748598416</v>
      </c>
      <c r="S34" s="85">
        <f>'Mead Evap Rate'!E30</f>
        <v>0.79590545497196818</v>
      </c>
      <c r="T34" s="83">
        <f t="shared" ca="1" si="3"/>
        <v>72583.958480133631</v>
      </c>
      <c r="U34" s="83">
        <f t="shared" ca="1" si="5"/>
        <v>74662.043332652625</v>
      </c>
      <c r="V34" s="83">
        <f t="shared" ca="1" si="4"/>
        <v>76740.128185171619</v>
      </c>
      <c r="W34" s="86"/>
      <c r="X34" s="83">
        <v>0</v>
      </c>
      <c r="Y34" s="190">
        <f t="shared" ca="1" si="6"/>
        <v>-22190.601707715392</v>
      </c>
      <c r="AD34">
        <v>909.49999999999898</v>
      </c>
      <c r="AE34">
        <v>460143.999999622</v>
      </c>
      <c r="AG34">
        <v>904.49999999999898</v>
      </c>
      <c r="AH34">
        <v>32237.999999918098</v>
      </c>
    </row>
    <row r="35" spans="1:34">
      <c r="A35" s="80">
        <v>4596</v>
      </c>
      <c r="B35" s="81">
        <f>'09380000-CR@LF-2010to2015'!E44</f>
        <v>892187.41152960004</v>
      </c>
      <c r="C35" s="81">
        <f>'09382000-PR@LF'!E35</f>
        <v>1155.9699060480002</v>
      </c>
      <c r="D35" s="81">
        <f>'09402000-LCRnrC'!E35</f>
        <v>7452.3166283520004</v>
      </c>
      <c r="E35" s="81">
        <f>'09402500-CRnrGC'!E36</f>
        <v>918627.14874239999</v>
      </c>
      <c r="F35" s="81">
        <f>'09404200-CRnrPS'!E43</f>
        <v>954290.05009919999</v>
      </c>
      <c r="G35" s="65">
        <f>'90404208-DCnrPS'!E43</f>
        <v>316.04709133440002</v>
      </c>
      <c r="H35" s="65">
        <f>'09415250-VRnrO'!E43</f>
        <v>3646.2242249280002</v>
      </c>
      <c r="I35" s="65">
        <f>'90419800LVWnrBC'!E43</f>
        <v>16989.068353248003</v>
      </c>
      <c r="K35" s="65">
        <f>'09421500-CRblwHD '!E43</f>
        <v>841152.56993280002</v>
      </c>
      <c r="L35" s="65">
        <v>29362</v>
      </c>
      <c r="M35" s="1">
        <v>1115.92</v>
      </c>
      <c r="N35" s="78">
        <f t="shared" ca="1" si="0"/>
        <v>13207476.20767495</v>
      </c>
      <c r="O35" s="78">
        <f t="shared" ca="1" si="2"/>
        <v>7659.1848411858082</v>
      </c>
      <c r="P35" s="79">
        <f t="shared" ca="1" si="1"/>
        <v>95824.413224529766</v>
      </c>
      <c r="Q35" s="85">
        <f>'Mead Evap Rate'!C31</f>
        <v>0.53137500000000004</v>
      </c>
      <c r="R35" s="85">
        <f>'Mead Evap Rate'!D31</f>
        <v>0.54658831106251959</v>
      </c>
      <c r="S35" s="85">
        <f>'Mead Evap Rate'!E31</f>
        <v>0.56180162212503926</v>
      </c>
      <c r="T35" s="83">
        <f t="shared" ca="1" si="3"/>
        <v>50909.567113019242</v>
      </c>
      <c r="U35" s="83">
        <f t="shared" ca="1" si="5"/>
        <v>52367.11231282838</v>
      </c>
      <c r="V35" s="83">
        <f t="shared" ca="1" si="4"/>
        <v>53824.657512637517</v>
      </c>
      <c r="W35" s="86"/>
      <c r="X35" s="83">
        <v>5987.9519069653306</v>
      </c>
      <c r="Y35" s="190">
        <f t="shared" ca="1" si="6"/>
        <v>497.84701467707754</v>
      </c>
      <c r="AD35">
        <v>909.99999999999898</v>
      </c>
      <c r="AE35">
        <v>476895.99999994901</v>
      </c>
      <c r="AG35">
        <v>904.99999999999898</v>
      </c>
      <c r="AH35">
        <v>32358.999999890799</v>
      </c>
    </row>
    <row r="36" spans="1:34">
      <c r="A36" s="80">
        <v>4627</v>
      </c>
      <c r="B36" s="81">
        <f>'09380000-CR@LF-2010to2015'!E45</f>
        <v>810408.68945279997</v>
      </c>
      <c r="C36" s="81">
        <f>'09382000-PR@LF'!E36</f>
        <v>5238.757233792001</v>
      </c>
      <c r="D36" s="81">
        <f>'09402000-LCRnrC'!E36</f>
        <v>27417.392612063999</v>
      </c>
      <c r="E36" s="81">
        <f>'09402500-CRnrGC'!E37</f>
        <v>878660.10411840002</v>
      </c>
      <c r="F36" s="81">
        <f>'09404200-CRnrPS'!E44</f>
        <v>938918.10985919996</v>
      </c>
      <c r="G36" s="65">
        <f>'90404208-DCnrPS'!E44</f>
        <v>391.06215970559998</v>
      </c>
      <c r="H36" s="65">
        <f>'09415250-VRnrO'!E44</f>
        <v>5681.4691127040005</v>
      </c>
      <c r="I36" s="65">
        <f>'90419800LVWnrBC'!E44</f>
        <v>21735.92349936</v>
      </c>
      <c r="K36" s="65">
        <f>'09421500-CRblwHD '!E44</f>
        <v>798726.01487039996</v>
      </c>
      <c r="L36" s="65">
        <v>24230</v>
      </c>
      <c r="M36" s="1">
        <v>1116.56</v>
      </c>
      <c r="N36" s="78">
        <f t="shared" ref="N36:N67" ca="1" si="7">FORECAST(M36,OFFSET($AE$5:$AE$676,MATCH(M36,$AD$5:$AD$676,1)-1,0,2), OFFSET($AD$5:$AD$676,MATCH(M36,$AD$5:$AD$676,1)-1,0,2))</f>
        <v>13268882.583553642</v>
      </c>
      <c r="O36" s="78">
        <f t="shared" ca="1" si="2"/>
        <v>61406.375878691673</v>
      </c>
      <c r="P36" s="79">
        <f t="shared" ref="P36:P67" ca="1" si="8">FORECAST(M36,OFFSET($AH$5:$AH$686,MATCH(M36,$AG$5:$AG$686,1)-1,0,2), OFFSET($AG$5:$AG$686,MATCH(M36,$AG$5:$AG$686,1)-1,0,2))</f>
        <v>96080.76197044953</v>
      </c>
      <c r="Q36" s="85">
        <f>'Mead Evap Rate'!C32</f>
        <v>0.49004166666666676</v>
      </c>
      <c r="R36" s="85">
        <f>'Mead Evap Rate'!D32</f>
        <v>0.50407160091008341</v>
      </c>
      <c r="S36" s="85">
        <f>'Mead Evap Rate'!E32</f>
        <v>0.5181015351535001</v>
      </c>
      <c r="T36" s="83">
        <f t="shared" ca="1" si="3"/>
        <v>47020.765947253167</v>
      </c>
      <c r="U36" s="83">
        <f t="shared" ca="1" si="5"/>
        <v>48366.974441731618</v>
      </c>
      <c r="V36" s="83">
        <f t="shared" ca="1" si="4"/>
        <v>49713.182936210083</v>
      </c>
      <c r="W36" s="86"/>
      <c r="X36" s="83">
        <v>5997.036724843103</v>
      </c>
      <c r="Y36" s="190">
        <f t="shared" ca="1" si="6"/>
        <v>3991.4144321149588</v>
      </c>
      <c r="AD36">
        <v>910.49999999999898</v>
      </c>
      <c r="AE36">
        <v>493708.000000072</v>
      </c>
      <c r="AG36">
        <v>905.49999999999898</v>
      </c>
      <c r="AH36">
        <v>32478.999999967898</v>
      </c>
    </row>
    <row r="37" spans="1:34">
      <c r="A37" s="80">
        <v>4657</v>
      </c>
      <c r="B37" s="81">
        <f>'09380000-CR@LF-2010to2015'!E46</f>
        <v>477997.91979840002</v>
      </c>
      <c r="C37" s="81">
        <f>'09382000-PR@LF'!E37</f>
        <v>1517.3592624</v>
      </c>
      <c r="D37" s="81">
        <f>'09402000-LCRnrC'!E37</f>
        <v>13174.248654720001</v>
      </c>
      <c r="E37" s="81">
        <f>'09402500-CRnrGC'!E38</f>
        <v>525958.37334719999</v>
      </c>
      <c r="F37" s="81">
        <f>'09404200-CRnrPS'!E45</f>
        <v>571955.1854976</v>
      </c>
      <c r="G37" s="65">
        <f>'90404208-DCnrPS'!E45</f>
        <v>313.58758089600002</v>
      </c>
      <c r="H37" s="65">
        <f>'09415250-VRnrO'!E45</f>
        <v>3629.7613728000001</v>
      </c>
      <c r="I37" s="65">
        <f>'90419800LVWnrBC'!E45</f>
        <v>18969.965994239999</v>
      </c>
      <c r="K37" s="65">
        <f>'09421500-CRblwHD '!E45</f>
        <v>635505.76166399999</v>
      </c>
      <c r="L37" s="65">
        <v>19065</v>
      </c>
      <c r="M37" s="1">
        <v>1115.1600000000001</v>
      </c>
      <c r="N37" s="78">
        <f t="shared" ca="1" si="7"/>
        <v>13134776.937811077</v>
      </c>
      <c r="O37" s="78">
        <f t="shared" ca="1" si="2"/>
        <v>-134105.64574256539</v>
      </c>
      <c r="P37" s="79">
        <f t="shared" ca="1" si="8"/>
        <v>95518.836164756853</v>
      </c>
      <c r="Q37" s="85">
        <f>'Mead Evap Rate'!C33</f>
        <v>0.56324166666666653</v>
      </c>
      <c r="R37" s="85">
        <f>'Mead Evap Rate'!D33</f>
        <v>0.57936732308326866</v>
      </c>
      <c r="S37" s="85">
        <f>'Mead Evap Rate'!E33</f>
        <v>0.59549297949987079</v>
      </c>
      <c r="T37" s="83">
        <f t="shared" ca="1" si="3"/>
        <v>53958.438493168585</v>
      </c>
      <c r="U37" s="83">
        <f t="shared" ca="1" si="5"/>
        <v>55503.273137712276</v>
      </c>
      <c r="V37" s="83">
        <f t="shared" ca="1" si="4"/>
        <v>57048.107782255967</v>
      </c>
      <c r="W37" s="86"/>
      <c r="X37" s="83">
        <v>2993.7437208625997</v>
      </c>
      <c r="Y37" s="190">
        <f t="shared" ca="1" si="6"/>
        <v>-8716.8669732667513</v>
      </c>
      <c r="AD37">
        <v>910.99999999999898</v>
      </c>
      <c r="AE37">
        <v>510578.99999985797</v>
      </c>
      <c r="AG37">
        <v>905.99999999999898</v>
      </c>
      <c r="AH37">
        <v>32599.999999940701</v>
      </c>
    </row>
    <row r="38" spans="1:34">
      <c r="A38" s="80">
        <v>4688</v>
      </c>
      <c r="B38" s="81">
        <f>'09380000-CR@LF-2010to2015'!E47</f>
        <v>495222.42677184002</v>
      </c>
      <c r="C38" s="81">
        <f>'09382000-PR@LF'!E38</f>
        <v>848.53110124800003</v>
      </c>
      <c r="D38" s="81">
        <f>'09402000-LCRnrC'!E38</f>
        <v>6.2717516179199997</v>
      </c>
      <c r="E38" s="81">
        <f>'09402500-CRnrGC'!E39</f>
        <v>524736.55203263997</v>
      </c>
      <c r="F38" s="81">
        <f>'09404200-CRnrPS'!E46</f>
        <v>555972.33460031997</v>
      </c>
      <c r="G38" s="65">
        <f>'90404208-DCnrPS'!E46</f>
        <v>297.6007630464</v>
      </c>
      <c r="H38" s="65">
        <f>'09415250-VRnrO'!E46</f>
        <v>6056.5444545600003</v>
      </c>
      <c r="I38" s="65">
        <f>'90419800LVWnrBC'!E46</f>
        <v>25326.808739423999</v>
      </c>
      <c r="K38" s="65">
        <f>'09421500-CRblwHD '!E46</f>
        <v>345499.72883424</v>
      </c>
      <c r="L38" s="65">
        <v>20872</v>
      </c>
      <c r="M38" s="1">
        <v>1116.5</v>
      </c>
      <c r="N38" s="78">
        <f t="shared" ca="1" si="7"/>
        <v>13263113.844243988</v>
      </c>
      <c r="O38" s="78">
        <f t="shared" ca="1" si="2"/>
        <v>128336.90643291175</v>
      </c>
      <c r="P38" s="79">
        <f t="shared" ca="1" si="8"/>
        <v>96057.271431058587</v>
      </c>
      <c r="Q38" s="85">
        <f>'Mead Evap Rate'!C34</f>
        <v>0.65712500000000018</v>
      </c>
      <c r="R38" s="85">
        <f>'Mead Evap Rate'!D34</f>
        <v>0.6759385441674115</v>
      </c>
      <c r="S38" s="85">
        <f>'Mead Evap Rate'!E34</f>
        <v>0.69475208833482283</v>
      </c>
      <c r="T38" s="83">
        <f t="shared" ca="1" si="3"/>
        <v>62944.72485195013</v>
      </c>
      <c r="U38" s="83">
        <f t="shared" ca="1" si="5"/>
        <v>64746.837632787436</v>
      </c>
      <c r="V38" s="83">
        <f t="shared" ca="1" si="4"/>
        <v>66548.950413624741</v>
      </c>
      <c r="W38" s="86"/>
      <c r="X38" s="83">
        <v>3991.1689082461548</v>
      </c>
      <c r="Y38" s="190">
        <f t="shared" ca="1" si="6"/>
        <v>8341.8989181392644</v>
      </c>
      <c r="AD38">
        <v>911.49999999999898</v>
      </c>
      <c r="AE38">
        <v>527509.000000117</v>
      </c>
      <c r="AG38">
        <v>906.49999999999898</v>
      </c>
      <c r="AH38">
        <v>32720.000000017699</v>
      </c>
    </row>
    <row r="39" spans="1:34">
      <c r="A39" s="80">
        <v>4718</v>
      </c>
      <c r="B39" s="81">
        <f>'09380000-CR@LF-2010to2015'!E48</f>
        <v>736068.00297599996</v>
      </c>
      <c r="C39" s="81">
        <f>'09382000-PR@LF'!E39</f>
        <v>1035.3745555200001</v>
      </c>
      <c r="D39" s="81">
        <f>'09402000-LCRnrC'!E39</f>
        <v>0</v>
      </c>
      <c r="E39" s="81">
        <f>'09402500-CRnrGC'!E40</f>
        <v>764630.05968000006</v>
      </c>
      <c r="F39" s="81">
        <f>'09404200-CRnrPS'!E47</f>
        <v>797952.45916800003</v>
      </c>
      <c r="G39" s="65">
        <f>'90404208-DCnrPS'!E47</f>
        <v>327.27356639999999</v>
      </c>
      <c r="H39" s="65">
        <f>'09415250-VRnrO'!E47</f>
        <v>10764.32512032</v>
      </c>
      <c r="I39" s="65">
        <f>'90419800LVWnrBC'!E47</f>
        <v>16262.52103584</v>
      </c>
      <c r="K39" s="65">
        <f>'09421500-CRblwHD '!E47</f>
        <v>650381.832864</v>
      </c>
      <c r="L39" s="65">
        <v>15406</v>
      </c>
      <c r="M39" s="1">
        <v>1117.24</v>
      </c>
      <c r="N39" s="78">
        <f t="shared" ca="1" si="7"/>
        <v>13334307.771809697</v>
      </c>
      <c r="O39" s="78">
        <f t="shared" ca="1" si="2"/>
        <v>71193.927565708756</v>
      </c>
      <c r="P39" s="79">
        <f t="shared" ca="1" si="8"/>
        <v>96330.892011238087</v>
      </c>
      <c r="Q39" s="85">
        <f>'Mead Evap Rate'!C35</f>
        <v>0.45815</v>
      </c>
      <c r="R39" s="85">
        <f>'Mead Evap Rate'!D35</f>
        <v>0.47126687313722582</v>
      </c>
      <c r="S39" s="85">
        <f>'Mead Evap Rate'!E35</f>
        <v>0.48438374627445158</v>
      </c>
      <c r="T39" s="83">
        <f t="shared" ref="T39:T68" ca="1" si="9">(P38+P39)/2*Q39</f>
        <v>44071.318540544111</v>
      </c>
      <c r="U39" s="83">
        <f t="shared" ca="1" si="5"/>
        <v>45333.084107032344</v>
      </c>
      <c r="V39" s="83">
        <f t="shared" ref="V39:V68" ca="1" si="10">(P38+P39)/2*S39</f>
        <v>46594.849673520577</v>
      </c>
      <c r="W39" s="86"/>
      <c r="X39" s="83">
        <v>0</v>
      </c>
      <c r="Y39" s="190">
        <f t="shared" ca="1" si="6"/>
        <v>4627.6052917710695</v>
      </c>
      <c r="AD39">
        <v>911.99999999999898</v>
      </c>
      <c r="AE39">
        <v>544496.99999990896</v>
      </c>
      <c r="AG39">
        <v>906.99999999999898</v>
      </c>
      <c r="AH39">
        <v>32840.999999990498</v>
      </c>
    </row>
    <row r="40" spans="1:34">
      <c r="A40" s="80">
        <v>4749</v>
      </c>
      <c r="B40" s="81">
        <f>'09380000-CR@LF-2010to2015'!E49</f>
        <v>799340.89248000004</v>
      </c>
      <c r="C40" s="81">
        <f>'09382000-PR@LF'!E40</f>
        <v>1205.160114816</v>
      </c>
      <c r="D40" s="81">
        <f>'09402000-LCRnrC'!E40</f>
        <v>2.0290961116800004</v>
      </c>
      <c r="E40" s="81">
        <f>'09402500-CRnrGC'!E41</f>
        <v>822091.36403519998</v>
      </c>
      <c r="F40" s="81">
        <f>'09404200-CRnrPS'!E48</f>
        <v>849760.85646719998</v>
      </c>
      <c r="G40" s="65">
        <f>'90404208-DCnrPS'!E48</f>
        <v>296.9858854368</v>
      </c>
      <c r="H40" s="65">
        <f>'09415250-VRnrO'!E48</f>
        <v>11860.989089184002</v>
      </c>
      <c r="I40" s="65">
        <f>'90419800LVWnrBC'!E48</f>
        <v>16650.885667968003</v>
      </c>
      <c r="K40" s="65">
        <f>'09421500-CRblwHD '!E48</f>
        <v>475607.83102560003</v>
      </c>
      <c r="L40" s="65">
        <v>11239</v>
      </c>
      <c r="M40" s="1">
        <v>1120.3599999999999</v>
      </c>
      <c r="N40" s="78">
        <f t="shared" ca="1" si="7"/>
        <v>13636479.337481916</v>
      </c>
      <c r="O40" s="78">
        <f t="shared" ca="1" si="2"/>
        <v>302171.5656722188</v>
      </c>
      <c r="P40" s="79">
        <f t="shared" ca="1" si="8"/>
        <v>97377.080251039471</v>
      </c>
      <c r="Q40" s="85">
        <f>'Mead Evap Rate'!C36</f>
        <v>0.48826666666666679</v>
      </c>
      <c r="R40" s="85">
        <f>'Mead Evap Rate'!D36</f>
        <v>0.5022457825103922</v>
      </c>
      <c r="S40" s="85">
        <f>'Mead Evap Rate'!E36</f>
        <v>0.51622489835411756</v>
      </c>
      <c r="T40" s="83">
        <f t="shared" ca="1" si="9"/>
        <v>47290.572961630707</v>
      </c>
      <c r="U40" s="83">
        <f t="shared" ca="1" si="5"/>
        <v>48644.506053684468</v>
      </c>
      <c r="V40" s="83">
        <f t="shared" ca="1" si="10"/>
        <v>49998.43914573823</v>
      </c>
      <c r="W40" s="86"/>
      <c r="X40" s="83">
        <v>6053.3741331961737</v>
      </c>
      <c r="Y40" s="190">
        <f t="shared" ca="1" si="6"/>
        <v>19641.151768694224</v>
      </c>
      <c r="AD40">
        <v>912.49999999999898</v>
      </c>
      <c r="AE40">
        <v>561545.00000030606</v>
      </c>
      <c r="AG40">
        <v>907.49999999999898</v>
      </c>
      <c r="AH40">
        <v>32961.999999963198</v>
      </c>
    </row>
    <row r="41" spans="1:34">
      <c r="A41" s="87">
        <v>4780</v>
      </c>
      <c r="B41" s="81">
        <f>'09380000-CR@LF-2010to2015'!E50</f>
        <v>801185.52530880005</v>
      </c>
      <c r="C41" s="81">
        <f>'09382000-PR@LF'!E41</f>
        <v>1776.996291744</v>
      </c>
      <c r="D41" s="81">
        <f>'09402000-LCRnrC'!E41</f>
        <v>4765.3014744000002</v>
      </c>
      <c r="E41" s="81">
        <f>'09402500-CRnrGC'!E42</f>
        <v>838693.05949440005</v>
      </c>
      <c r="F41" s="81">
        <f>'09404200-CRnrPS'!E49</f>
        <v>876815.47128960001</v>
      </c>
      <c r="G41" s="65">
        <f>'90404208-DCnrPS'!E49</f>
        <v>308.05368240960001</v>
      </c>
      <c r="H41" s="65">
        <f>'09415250-VRnrO'!E49</f>
        <v>10360.687721759999</v>
      </c>
      <c r="I41" s="65">
        <f>'90419800LVWnrBC'!E49</f>
        <v>18169.633363680001</v>
      </c>
      <c r="K41" s="65">
        <f>'09421500-CRblwHD '!E49</f>
        <v>608667.34574303997</v>
      </c>
      <c r="L41" s="65">
        <v>8965</v>
      </c>
      <c r="M41" s="1">
        <v>1122.32</v>
      </c>
      <c r="N41" s="78">
        <f t="shared" ca="1" si="7"/>
        <v>13828021.521173671</v>
      </c>
      <c r="O41" s="78">
        <f t="shared" ca="1" si="2"/>
        <v>191542.18369175494</v>
      </c>
      <c r="P41" s="79">
        <f t="shared" ca="1" si="8"/>
        <v>98104.306660889473</v>
      </c>
      <c r="Q41" s="85">
        <f>'Mead Evap Rate'!C37</f>
        <v>0.36764999999999998</v>
      </c>
      <c r="R41" s="85">
        <f>'Mead Evap Rate'!D37</f>
        <v>0.37817585050507707</v>
      </c>
      <c r="S41" s="85">
        <f>'Mead Evap Rate'!E37</f>
        <v>0.38870170101015411</v>
      </c>
      <c r="T41" s="83">
        <f t="shared" ca="1" si="9"/>
        <v>35934.365949085339</v>
      </c>
      <c r="U41" s="83">
        <f t="shared" ca="1" si="5"/>
        <v>36963.169876665386</v>
      </c>
      <c r="V41" s="83">
        <f t="shared" ca="1" si="10"/>
        <v>37991.973804245426</v>
      </c>
      <c r="W41" s="86"/>
      <c r="X41" s="83">
        <v>3054.3966704988898</v>
      </c>
      <c r="Y41" s="190">
        <f t="shared" ca="1" si="6"/>
        <v>12450.241939964071</v>
      </c>
      <c r="AD41">
        <v>912.99999999999898</v>
      </c>
      <c r="AE41">
        <v>578651.00000023504</v>
      </c>
      <c r="AG41">
        <v>907.99999999999898</v>
      </c>
      <c r="AH41">
        <v>33082.000000040302</v>
      </c>
    </row>
    <row r="42" spans="1:34">
      <c r="A42" s="87">
        <v>4808</v>
      </c>
      <c r="B42" s="81">
        <f>'09380000-CR@LF-2010to2015'!E51</f>
        <v>595360.20418560004</v>
      </c>
      <c r="C42" s="81">
        <f>'09382000-PR@LF'!E42</f>
        <v>1188.4989150719998</v>
      </c>
      <c r="D42" s="81">
        <f>'09402000-LCRnrC'!E42</f>
        <v>7286.4980213759991</v>
      </c>
      <c r="E42" s="81">
        <f>'09402500-CRnrGC'!E43</f>
        <v>634236.33692160004</v>
      </c>
      <c r="F42" s="81">
        <f>'09404200-CRnrPS'!E50</f>
        <v>668669.48305919999</v>
      </c>
      <c r="G42" s="65">
        <f>'90404208-DCnrPS'!E50</f>
        <v>328.78100828160001</v>
      </c>
      <c r="H42" s="65">
        <f>'09415250-VRnrO'!E50</f>
        <v>8091.7893423359992</v>
      </c>
      <c r="I42" s="65">
        <f>'90419800LVWnrBC'!E50</f>
        <v>16838.919207936</v>
      </c>
      <c r="K42" s="65">
        <f>'09421500-CRblwHD '!E50</f>
        <v>645899.17674240004</v>
      </c>
      <c r="L42" s="65">
        <v>8470</v>
      </c>
      <c r="M42" s="1">
        <v>1122.1400000000001</v>
      </c>
      <c r="N42" s="78">
        <f t="shared" ca="1" si="7"/>
        <v>13810367.035430074</v>
      </c>
      <c r="O42" s="78">
        <f t="shared" ca="1" si="2"/>
        <v>-17654.48574359715</v>
      </c>
      <c r="P42" s="79">
        <f t="shared" ca="1" si="8"/>
        <v>98036.204436220869</v>
      </c>
      <c r="Q42" s="85">
        <f>'Mead Evap Rate'!C38</f>
        <v>0.28184166666666666</v>
      </c>
      <c r="R42" s="85">
        <f>'Mead Evap Rate'!D38</f>
        <v>0.28991081735192464</v>
      </c>
      <c r="S42" s="85">
        <f>'Mead Evap Rate'!E38</f>
        <v>0.29797996803718263</v>
      </c>
      <c r="T42" s="83">
        <f t="shared" ca="1" si="9"/>
        <v>27640.284274230704</v>
      </c>
      <c r="U42" s="83">
        <f t="shared" ca="1" si="5"/>
        <v>28431.627943993753</v>
      </c>
      <c r="V42" s="83">
        <f t="shared" ca="1" si="10"/>
        <v>29222.971613756803</v>
      </c>
      <c r="W42" s="86"/>
      <c r="X42" s="83">
        <v>1430.1912267497628</v>
      </c>
      <c r="Y42" s="190">
        <f t="shared" ca="1" si="6"/>
        <v>-1147.5415733338148</v>
      </c>
      <c r="AD42">
        <v>913.49999999999898</v>
      </c>
      <c r="AE42">
        <v>595816.99999995797</v>
      </c>
      <c r="AG42">
        <v>908.49999999999898</v>
      </c>
      <c r="AH42">
        <v>33203.000000013002</v>
      </c>
    </row>
    <row r="43" spans="1:34">
      <c r="A43" s="87">
        <v>4839</v>
      </c>
      <c r="B43" s="81">
        <f>'09380000-CR@LF-2010to2015'!E52</f>
        <v>593971.77087360003</v>
      </c>
      <c r="C43" s="81">
        <f>'09382000-PR@LF'!E43</f>
        <v>1303.5405323519999</v>
      </c>
      <c r="D43" s="81">
        <f>'09402000-LCRnrC'!E43</f>
        <v>25997.025333887999</v>
      </c>
      <c r="E43" s="81">
        <f>'09402500-CRnrGC'!E44</f>
        <v>653000.02139520005</v>
      </c>
      <c r="F43" s="81">
        <f>'09404200-CRnrPS'!E51</f>
        <v>685588.53470399999</v>
      </c>
      <c r="G43" s="65">
        <f>'90404208-DCnrPS'!E51</f>
        <v>324.04050025919997</v>
      </c>
      <c r="H43" s="65">
        <f>'09415250-VRnrO'!E51</f>
        <v>7261.7045693760001</v>
      </c>
      <c r="I43" s="65">
        <f>'90419800LVWnrBC'!E51</f>
        <v>18071.252946143999</v>
      </c>
      <c r="K43" s="65">
        <f>'09421500-CRblwHD '!E51</f>
        <v>986878.56340800005</v>
      </c>
      <c r="L43" s="65">
        <v>15300</v>
      </c>
      <c r="M43" s="1">
        <v>1118.5899999999999</v>
      </c>
      <c r="N43" s="78">
        <f t="shared" ca="1" si="7"/>
        <v>13464646.539710462</v>
      </c>
      <c r="O43" s="78">
        <f t="shared" ca="1" si="2"/>
        <v>-345720.49571961164</v>
      </c>
      <c r="P43" s="79">
        <f t="shared" ca="1" si="8"/>
        <v>96781.531605523021</v>
      </c>
      <c r="Q43" s="88">
        <f>'Mead Evap Rate'!C39</f>
        <v>0.19319999999999996</v>
      </c>
      <c r="R43" s="88">
        <f>'Mead Evap Rate'!D39</f>
        <v>0.2000939477431507</v>
      </c>
      <c r="S43" s="88">
        <f>'Mead Evap Rate'!E39</f>
        <v>0.20698789548630145</v>
      </c>
      <c r="T43" s="83">
        <f t="shared" ca="1" si="9"/>
        <v>18819.393301632455</v>
      </c>
      <c r="U43" s="83">
        <f t="shared" ca="1" si="5"/>
        <v>19490.924947487816</v>
      </c>
      <c r="V43" s="83">
        <f t="shared" ca="1" si="10"/>
        <v>20162.456593343173</v>
      </c>
      <c r="W43" s="86"/>
      <c r="X43" s="83">
        <v>1420.545991971049</v>
      </c>
      <c r="Y43" s="190">
        <f t="shared" ca="1" si="6"/>
        <v>-22471.832221774759</v>
      </c>
      <c r="AD43">
        <v>913.99999999999898</v>
      </c>
      <c r="AE43">
        <v>613041.00000002503</v>
      </c>
      <c r="AG43">
        <v>908.99999999999898</v>
      </c>
      <c r="AH43">
        <v>33323.000000090098</v>
      </c>
    </row>
    <row r="44" spans="1:34">
      <c r="A44" s="87">
        <v>4869</v>
      </c>
      <c r="B44" s="81">
        <f>'09380000-CR@LF-2010to2015'!E53</f>
        <v>549462.56584319996</v>
      </c>
      <c r="C44" s="81">
        <f>'09382000-PR@LF'!E44</f>
        <v>684.29927520000001</v>
      </c>
      <c r="D44" s="81">
        <f>'09402000-LCRnrC'!E44</f>
        <v>5676.7087699200001</v>
      </c>
      <c r="E44" s="81">
        <f>'09402500-CRnrGC'!E45</f>
        <v>576001.47686399997</v>
      </c>
      <c r="F44" s="81">
        <f>'09404200-CRnrPS'!E52</f>
        <v>609918.9192</v>
      </c>
      <c r="G44" s="65">
        <f>'90404208-DCnrPS'!E52</f>
        <v>249.91799616</v>
      </c>
      <c r="H44" s="65">
        <f>'09415250-VRnrO'!E52</f>
        <v>3129.9253804800001</v>
      </c>
      <c r="I44" s="65">
        <f>'90419800LVWnrBC'!E52</f>
        <v>16018.55346816</v>
      </c>
      <c r="K44" s="65">
        <f>'09421500-CRblwHD '!E52</f>
        <v>1103209.440192</v>
      </c>
      <c r="L44" s="65">
        <v>20750</v>
      </c>
      <c r="M44" s="1">
        <v>1112.9100000000001</v>
      </c>
      <c r="N44" s="78">
        <f t="shared" ca="1" si="7"/>
        <v>12920890.523032159</v>
      </c>
      <c r="O44" s="78">
        <f t="shared" ca="1" si="2"/>
        <v>-543756.01667830348</v>
      </c>
      <c r="P44" s="79">
        <f t="shared" ca="1" si="8"/>
        <v>94647.815498767945</v>
      </c>
      <c r="Q44" s="88">
        <f>'Mead Evap Rate'!C40</f>
        <v>0.37130833333333341</v>
      </c>
      <c r="R44" s="88">
        <f>'Mead Evap Rate'!D40</f>
        <v>0.38455771349169987</v>
      </c>
      <c r="S44" s="88">
        <f>'Mead Evap Rate'!E40</f>
        <v>0.39780709365006633</v>
      </c>
      <c r="T44" s="83">
        <f t="shared" ca="1" si="9"/>
        <v>35539.655912191229</v>
      </c>
      <c r="U44" s="83">
        <f t="shared" ca="1" si="5"/>
        <v>36807.816008817543</v>
      </c>
      <c r="V44" s="83">
        <f t="shared" ca="1" si="10"/>
        <v>38075.976105443864</v>
      </c>
      <c r="W44" s="86"/>
      <c r="X44" s="83">
        <v>3988.1113980060618</v>
      </c>
      <c r="Y44" s="190">
        <f t="shared" ca="1" si="6"/>
        <v>-35344.14108408973</v>
      </c>
      <c r="AD44">
        <v>914.49999999999898</v>
      </c>
      <c r="AE44">
        <v>630323.99999975401</v>
      </c>
      <c r="AG44">
        <v>909.49999999999898</v>
      </c>
      <c r="AH44">
        <v>33444.000000062799</v>
      </c>
    </row>
    <row r="45" spans="1:34">
      <c r="A45" s="87">
        <v>4900</v>
      </c>
      <c r="B45" s="81">
        <f>'09380000-CR@LF-2010to2015'!E54</f>
        <v>602764.52069088002</v>
      </c>
      <c r="C45" s="81">
        <f>'09382000-PR@LF'!E45</f>
        <v>506.04427270080009</v>
      </c>
      <c r="D45" s="81">
        <f>'09402000-LCRnrC'!E45</f>
        <v>152.48964718080001</v>
      </c>
      <c r="E45" s="81">
        <f>'09402500-CRnrGC'!E46</f>
        <v>630249.54983999999</v>
      </c>
      <c r="F45" s="81">
        <f>'09404200-CRnrPS'!E53</f>
        <v>662223.18553919997</v>
      </c>
      <c r="G45" s="65">
        <f>'90404208-DCnrPS'!E53</f>
        <v>247.79567666880001</v>
      </c>
      <c r="H45" s="65">
        <f>'09415250-VRnrO'!E53</f>
        <v>1850.7816048960001</v>
      </c>
      <c r="I45" s="65">
        <f>'90419800LVWnrBC'!E53</f>
        <v>16454.124832895999</v>
      </c>
      <c r="K45" s="65">
        <f>'09421500-CRblwHD '!E53</f>
        <v>1006554.6469152</v>
      </c>
      <c r="L45" s="65">
        <v>28076</v>
      </c>
      <c r="M45" s="1">
        <v>1108.3599999999999</v>
      </c>
      <c r="N45" s="78">
        <f t="shared" ca="1" si="7"/>
        <v>12494717.463413194</v>
      </c>
      <c r="O45" s="78">
        <f t="shared" ca="1" si="2"/>
        <v>-426173.05961896479</v>
      </c>
      <c r="P45" s="79">
        <f t="shared" ca="1" si="8"/>
        <v>92613.529618312197</v>
      </c>
      <c r="Q45" s="88">
        <f>'Mead Evap Rate'!C41</f>
        <v>0.48923333333333324</v>
      </c>
      <c r="R45" s="88">
        <f>'Mead Evap Rate'!D41</f>
        <v>0.50669062647105301</v>
      </c>
      <c r="S45" s="88">
        <f>'Mead Evap Rate'!E41</f>
        <v>0.52414791960877272</v>
      </c>
      <c r="T45" s="83">
        <f t="shared" ca="1" si="9"/>
        <v>45807.246038056415</v>
      </c>
      <c r="U45" s="83">
        <f t="shared" ca="1" si="5"/>
        <v>47441.784135592701</v>
      </c>
      <c r="V45" s="83">
        <f t="shared" ca="1" si="10"/>
        <v>49076.32223312898</v>
      </c>
      <c r="W45" s="86"/>
      <c r="X45" s="83">
        <v>0</v>
      </c>
      <c r="Y45" s="190">
        <f t="shared" ca="1" si="6"/>
        <v>-27701.248875232712</v>
      </c>
      <c r="AD45">
        <v>914.99999999999898</v>
      </c>
      <c r="AE45">
        <v>647667.00000008906</v>
      </c>
      <c r="AG45">
        <v>909.99999999999898</v>
      </c>
      <c r="AH45">
        <v>33565.000000035499</v>
      </c>
    </row>
    <row r="46" spans="1:34">
      <c r="A46" s="87">
        <v>4930</v>
      </c>
      <c r="B46" s="81">
        <f>'09380000-CR@LF-2010to2015'!E55</f>
        <v>806283.05903999996</v>
      </c>
      <c r="C46" s="81">
        <f>'09382000-PR@LF'!E46</f>
        <v>379.63733702400003</v>
      </c>
      <c r="D46" s="81">
        <f>'09402000-LCRnrC'!E46</f>
        <v>0</v>
      </c>
      <c r="E46" s="81">
        <f>'09402500-CRnrGC'!E47</f>
        <v>831274.858656</v>
      </c>
      <c r="F46" s="81">
        <f>'09404200-CRnrPS'!E54</f>
        <v>852696.40118399996</v>
      </c>
      <c r="G46" s="65">
        <f>'90404208-DCnrPS'!E54</f>
        <v>221.35593945600002</v>
      </c>
      <c r="H46" s="65">
        <f>'09415250-VRnrO'!E54</f>
        <v>517.09223491199998</v>
      </c>
      <c r="I46" s="65">
        <f>'90419800LVWnrBC'!E54</f>
        <v>15459.21319104</v>
      </c>
      <c r="K46" s="65">
        <f>'09421500-CRblwHD '!E54</f>
        <v>947903.256864</v>
      </c>
      <c r="L46" s="65">
        <v>28679</v>
      </c>
      <c r="M46" s="1">
        <v>1105.98</v>
      </c>
      <c r="N46" s="78">
        <f t="shared" ca="1" si="7"/>
        <v>12275581.302435413</v>
      </c>
      <c r="O46" s="78">
        <f t="shared" ca="1" si="2"/>
        <v>-219136.16097778082</v>
      </c>
      <c r="P46" s="79">
        <f t="shared" ca="1" si="8"/>
        <v>91550.788202769414</v>
      </c>
      <c r="Q46" s="88">
        <f>'Mead Evap Rate'!C42</f>
        <v>0.57169166666666671</v>
      </c>
      <c r="R46" s="88">
        <f>'Mead Evap Rate'!D42</f>
        <v>0.59209131715939312</v>
      </c>
      <c r="S46" s="88">
        <f>'Mead Evap Rate'!E42</f>
        <v>0.61249096765211963</v>
      </c>
      <c r="T46" s="83">
        <f t="shared" ca="1" si="9"/>
        <v>52642.60289783193</v>
      </c>
      <c r="U46" s="83">
        <f t="shared" ca="1" si="5"/>
        <v>54521.046756222655</v>
      </c>
      <c r="V46" s="83">
        <f t="shared" ca="1" si="10"/>
        <v>56399.490614613387</v>
      </c>
      <c r="W46" s="86"/>
      <c r="X46" s="83">
        <v>0</v>
      </c>
      <c r="Y46" s="190">
        <f t="shared" ca="1" si="6"/>
        <v>-14243.850463555753</v>
      </c>
      <c r="AD46">
        <v>915.49999999999898</v>
      </c>
      <c r="AE46">
        <v>665067.999999956</v>
      </c>
      <c r="AG46">
        <v>910.49999999999898</v>
      </c>
      <c r="AH46">
        <v>33683.000000074302</v>
      </c>
    </row>
    <row r="47" spans="1:34">
      <c r="A47" s="87">
        <v>4961</v>
      </c>
      <c r="B47" s="81">
        <f>'09380000-CR@LF-2010to2015'!E56</f>
        <v>862673.28626880003</v>
      </c>
      <c r="C47" s="81">
        <f>'09382000-PR@LF'!E47</f>
        <v>1690.9134263999999</v>
      </c>
      <c r="D47" s="81">
        <f>'09402000-LCRnrC'!E47</f>
        <v>28339.709026463999</v>
      </c>
      <c r="E47" s="81">
        <f>'09402500-CRnrGC'!E48</f>
        <v>924161.04722880002</v>
      </c>
      <c r="F47" s="81">
        <f>'09404200-CRnrPS'!E55</f>
        <v>962898.33663360006</v>
      </c>
      <c r="G47" s="65">
        <f>'90404208-DCnrPS'!E55</f>
        <v>176.4698739552</v>
      </c>
      <c r="H47" s="65">
        <f>'09415250-VRnrO'!E55</f>
        <v>3947.514253632</v>
      </c>
      <c r="I47" s="65">
        <f>'90419800LVWnrBC'!E55</f>
        <v>19221.074076096</v>
      </c>
      <c r="K47" s="65">
        <f>'09421500-CRblwHD '!E55</f>
        <v>865132.7967072</v>
      </c>
      <c r="L47" s="65">
        <v>29150</v>
      </c>
      <c r="M47" s="1">
        <v>1105.92</v>
      </c>
      <c r="N47" s="78">
        <f t="shared" ca="1" si="7"/>
        <v>12270095.021553114</v>
      </c>
      <c r="O47" s="78">
        <f t="shared" ca="1" si="2"/>
        <v>-5486.2808822989464</v>
      </c>
      <c r="P47" s="79">
        <f t="shared" ca="1" si="8"/>
        <v>91524.010053458216</v>
      </c>
      <c r="Q47" s="88">
        <f>'Mead Evap Rate'!C43</f>
        <v>0.54304166666666664</v>
      </c>
      <c r="R47" s="88">
        <f>'Mead Evap Rate'!D43</f>
        <v>0.56241900037450043</v>
      </c>
      <c r="S47" s="88">
        <f>'Mead Evap Rate'!E43</f>
        <v>0.58179633408233422</v>
      </c>
      <c r="T47" s="83">
        <f t="shared" ca="1" si="9"/>
        <v>49708.621784862808</v>
      </c>
      <c r="U47" s="83">
        <f t="shared" ca="1" si="5"/>
        <v>51482.372514515439</v>
      </c>
      <c r="V47" s="83">
        <f t="shared" ca="1" si="10"/>
        <v>53256.123244168077</v>
      </c>
      <c r="W47" s="86"/>
      <c r="X47" s="83">
        <v>381.40582970047421</v>
      </c>
      <c r="Y47" s="190">
        <f t="shared" ca="1" si="6"/>
        <v>-356.60825734943154</v>
      </c>
      <c r="AD47">
        <v>915.99999999999898</v>
      </c>
      <c r="AE47">
        <v>682528.00000029698</v>
      </c>
      <c r="AG47">
        <v>910.99999999999898</v>
      </c>
      <c r="AH47">
        <v>33799.9999999703</v>
      </c>
    </row>
    <row r="48" spans="1:34">
      <c r="A48" s="87">
        <v>4992</v>
      </c>
      <c r="B48" s="81">
        <f>'09380000-CR@LF-2010to2015'!E57</f>
        <v>814712.83272000006</v>
      </c>
      <c r="C48" s="81">
        <f>'09382000-PR@LF'!E48</f>
        <v>2896.0735412160002</v>
      </c>
      <c r="D48" s="81">
        <f>'09402000-LCRnrC'!E48</f>
        <v>20395.490310431996</v>
      </c>
      <c r="E48" s="81">
        <f>'09402500-CRnrGC'!E49</f>
        <v>881734.49216640007</v>
      </c>
      <c r="F48" s="81">
        <f>'09404200-CRnrPS'!E56</f>
        <v>923546.16961920005</v>
      </c>
      <c r="G48" s="65">
        <f>'90404208-DCnrPS'!E56</f>
        <v>633.32393788800005</v>
      </c>
      <c r="H48" s="65">
        <f>'09415250-VRnrO'!E56</f>
        <v>3892.175268768</v>
      </c>
      <c r="I48" s="65">
        <f>'90419800LVWnrBC'!E56</f>
        <v>20666.036458655999</v>
      </c>
      <c r="K48" s="65">
        <f>'09421500-CRblwHD '!E56</f>
        <v>807949.1790144</v>
      </c>
      <c r="L48" s="65">
        <v>27538</v>
      </c>
      <c r="M48" s="1">
        <v>1106.1300000000001</v>
      </c>
      <c r="N48" s="78">
        <f t="shared" ca="1" si="7"/>
        <v>12289327.874631166</v>
      </c>
      <c r="O48" s="78">
        <f t="shared" ca="1" si="2"/>
        <v>19232.853078052402</v>
      </c>
      <c r="P48" s="79">
        <f t="shared" ca="1" si="8"/>
        <v>91619.088635290333</v>
      </c>
      <c r="Q48" s="88">
        <f>'Mead Evap Rate'!C44</f>
        <v>0.59995000000000021</v>
      </c>
      <c r="R48" s="88">
        <f>'Mead Evap Rate'!D44</f>
        <v>0.62135799145188053</v>
      </c>
      <c r="S48" s="88">
        <f>'Mead Evap Rate'!E44</f>
        <v>0.64276598290376097</v>
      </c>
      <c r="T48" s="83">
        <f t="shared" ca="1" si="9"/>
        <v>54938.351029157362</v>
      </c>
      <c r="U48" s="83">
        <f t="shared" ca="1" si="5"/>
        <v>56898.713974757164</v>
      </c>
      <c r="V48" s="83">
        <f t="shared" ca="1" si="10"/>
        <v>58859.07692035698</v>
      </c>
      <c r="W48" s="86"/>
      <c r="X48" s="83">
        <v>2861.6109170116961</v>
      </c>
      <c r="Y48" s="190">
        <f t="shared" ca="1" si="6"/>
        <v>1250.1354500734062</v>
      </c>
      <c r="AD48">
        <v>916.49999999999898</v>
      </c>
      <c r="AE48">
        <v>700047.0000003</v>
      </c>
      <c r="AG48">
        <v>911.49999999999898</v>
      </c>
      <c r="AH48">
        <v>33918.000000009</v>
      </c>
    </row>
    <row r="49" spans="1:34">
      <c r="A49" s="87">
        <v>5022</v>
      </c>
      <c r="B49" s="81">
        <f>'09380000-CR@LF-2010to2015'!E58</f>
        <v>607538.74780799996</v>
      </c>
      <c r="C49" s="81">
        <f>'09382000-PR@LF'!E49</f>
        <v>11210.60725632</v>
      </c>
      <c r="D49" s="81">
        <f>'09402000-LCRnrC'!E49</f>
        <v>27693.294145920001</v>
      </c>
      <c r="E49" s="81">
        <f>'09402500-CRnrGC'!E50</f>
        <v>686084.40374400001</v>
      </c>
      <c r="F49" s="81">
        <f>'09404200-CRnrPS'!E57</f>
        <v>750349.03132800001</v>
      </c>
      <c r="G49" s="65">
        <f>'90404208-DCnrPS'!E57</f>
        <v>1344.7968364799999</v>
      </c>
      <c r="H49" s="65">
        <f>'09415250-VRnrO'!E57</f>
        <v>10972.59011712</v>
      </c>
      <c r="I49" s="65">
        <f>'90419800LVWnrBC'!E57</f>
        <v>19005.668565119999</v>
      </c>
      <c r="K49" s="65">
        <f>'09421500-CRblwHD '!E57</f>
        <v>598613.10508799995</v>
      </c>
      <c r="L49" s="65">
        <v>16179</v>
      </c>
      <c r="M49" s="1">
        <v>1106.92</v>
      </c>
      <c r="N49" s="78">
        <f t="shared" ca="1" si="7"/>
        <v>12361841.132540017</v>
      </c>
      <c r="O49" s="78">
        <f t="shared" ca="1" si="2"/>
        <v>72513.257908850908</v>
      </c>
      <c r="P49" s="79">
        <f t="shared" ca="1" si="8"/>
        <v>91970.792961345054</v>
      </c>
      <c r="Q49" s="88">
        <f>'Mead Evap Rate'!C45</f>
        <v>0.64735833333333337</v>
      </c>
      <c r="R49" s="88">
        <f>'Mead Evap Rate'!D45</f>
        <v>0.67045799441559617</v>
      </c>
      <c r="S49" s="88">
        <f>'Mead Evap Rate'!E45</f>
        <v>0.69355765549785886</v>
      </c>
      <c r="T49" s="83">
        <f t="shared" ca="1" si="9"/>
        <v>59424.219883630947</v>
      </c>
      <c r="U49" s="83">
        <f t="shared" ca="1" si="5"/>
        <v>61544.651905138468</v>
      </c>
      <c r="V49" s="83">
        <f t="shared" ca="1" si="10"/>
        <v>63665.083926645973</v>
      </c>
      <c r="W49" s="86"/>
      <c r="X49" s="83">
        <v>1338.6762199754662</v>
      </c>
      <c r="Y49" s="190">
        <f t="shared" ca="1" si="6"/>
        <v>4713.3617640753091</v>
      </c>
      <c r="AD49">
        <v>916.99999999999898</v>
      </c>
      <c r="AE49">
        <v>717624.99999996799</v>
      </c>
      <c r="AG49">
        <v>911.99999999999898</v>
      </c>
      <c r="AH49">
        <v>34036.000000047803</v>
      </c>
    </row>
    <row r="50" spans="1:34">
      <c r="A50" s="87">
        <v>5053</v>
      </c>
      <c r="B50" s="81">
        <f>'09380000-CR@LF-2010to2015'!E59</f>
        <v>483416.77666752</v>
      </c>
      <c r="C50" s="81">
        <f>'09382000-PR@LF'!E50</f>
        <v>1149.8211299519999</v>
      </c>
      <c r="D50" s="81">
        <f>'09402000-LCRnrC'!E50</f>
        <v>1.1682674582399999</v>
      </c>
      <c r="E50" s="81">
        <f>'09402500-CRnrGC'!E51</f>
        <v>502477.98256512004</v>
      </c>
      <c r="F50" s="81">
        <f>'09404200-CRnrPS'!E58</f>
        <v>543736.27016928</v>
      </c>
      <c r="G50" s="65">
        <f>'90404208-DCnrPS'!E58</f>
        <v>307.43880480000001</v>
      </c>
      <c r="H50" s="65">
        <f>'09415250-VRnrO'!E58</f>
        <v>5484.7082776320012</v>
      </c>
      <c r="I50" s="65">
        <f>'90419800LVWnrBC'!E58</f>
        <v>18009.765185184002</v>
      </c>
      <c r="K50" s="65">
        <f>'09421500-CRblwHD '!E58</f>
        <v>732934.11064319999</v>
      </c>
      <c r="L50" s="65">
        <v>19884</v>
      </c>
      <c r="M50" s="1">
        <v>1104.04</v>
      </c>
      <c r="N50" s="78">
        <f t="shared" ca="1" si="7"/>
        <v>12098773.863874629</v>
      </c>
      <c r="O50" s="78">
        <f t="shared" ca="1" si="2"/>
        <v>-263067.26866538823</v>
      </c>
      <c r="P50" s="79">
        <f t="shared" ca="1" si="8"/>
        <v>90758.624133528967</v>
      </c>
      <c r="Q50" s="88">
        <f>'Mead Evap Rate'!C46</f>
        <v>0.65963333333333329</v>
      </c>
      <c r="R50" s="88">
        <f>'Mead Evap Rate'!D46</f>
        <v>0.68317100274140952</v>
      </c>
      <c r="S50" s="88">
        <f>'Mead Evap Rate'!E46</f>
        <v>0.70670867214948585</v>
      </c>
      <c r="T50" s="83">
        <f t="shared" ca="1" si="9"/>
        <v>60267.20724817436</v>
      </c>
      <c r="U50" s="83">
        <f t="shared" ca="1" si="5"/>
        <v>62417.719553529168</v>
      </c>
      <c r="V50" s="83">
        <f t="shared" ca="1" si="10"/>
        <v>64568.231858883992</v>
      </c>
      <c r="W50" s="86"/>
      <c r="X50" s="83">
        <v>380.68628561432087</v>
      </c>
      <c r="Y50" s="190">
        <f t="shared" ca="1" si="6"/>
        <v>-17099.372463250234</v>
      </c>
      <c r="AD50">
        <v>917.49999999999898</v>
      </c>
      <c r="AE50">
        <v>735262.00000010896</v>
      </c>
      <c r="AG50">
        <v>912.49999999999898</v>
      </c>
      <c r="AH50">
        <v>34154.000000086497</v>
      </c>
    </row>
    <row r="51" spans="1:34">
      <c r="A51" s="87">
        <v>5083</v>
      </c>
      <c r="B51" s="81">
        <f>'09380000-CR@LF-2010to2015'!E60</f>
        <v>695010.04646400001</v>
      </c>
      <c r="C51" s="81">
        <f>'09382000-PR@LF'!E51</f>
        <v>2040.99696864</v>
      </c>
      <c r="D51" s="81">
        <f>'09402000-LCRnrC'!E51</f>
        <v>14108.46592608</v>
      </c>
      <c r="E51" s="81">
        <f>'09402500-CRnrGC'!E52</f>
        <v>722977.06032000005</v>
      </c>
      <c r="F51" s="81">
        <f>'09404200-CRnrPS'!E59</f>
        <v>780696.21657599998</v>
      </c>
      <c r="G51" s="65">
        <f>'90404208-DCnrPS'!E59</f>
        <v>203.50465401599999</v>
      </c>
      <c r="H51" s="65">
        <f>'09415250-VRnrO'!E59</f>
        <v>7277.3740310399999</v>
      </c>
      <c r="I51" s="65">
        <f>'90419800LVWnrBC'!E59</f>
        <v>18535.584715199999</v>
      </c>
      <c r="K51" s="65">
        <f>'09421500-CRblwHD '!E59</f>
        <v>513462.47353920003</v>
      </c>
      <c r="L51" s="65">
        <v>11754</v>
      </c>
      <c r="M51" s="1">
        <v>1106.3599999999999</v>
      </c>
      <c r="N51" s="78">
        <f t="shared" ca="1" si="7"/>
        <v>12310413.234149456</v>
      </c>
      <c r="O51" s="78">
        <f t="shared" ca="1" si="2"/>
        <v>211639.37027482688</v>
      </c>
      <c r="P51" s="79">
        <f t="shared" ca="1" si="8"/>
        <v>91724.135620156536</v>
      </c>
      <c r="Q51" s="88">
        <f>'Mead Evap Rate'!C47</f>
        <v>0.42942499999999989</v>
      </c>
      <c r="R51" s="88">
        <f>'Mead Evap Rate'!D47</f>
        <v>0.44474815481160712</v>
      </c>
      <c r="S51" s="88">
        <f>'Mead Evap Rate'!E47</f>
        <v>0.4600713096232143</v>
      </c>
      <c r="T51" s="83">
        <f t="shared" ca="1" si="9"/>
        <v>39181.329553613192</v>
      </c>
      <c r="U51" s="83">
        <f t="shared" ca="1" si="5"/>
        <v>40579.435342690718</v>
      </c>
      <c r="V51" s="83">
        <f t="shared" ca="1" si="10"/>
        <v>41977.541131768237</v>
      </c>
      <c r="W51" s="86"/>
      <c r="X51" s="83">
        <v>7603.448323070229</v>
      </c>
      <c r="Y51" s="190">
        <f t="shared" ca="1" si="6"/>
        <v>13756.559067863747</v>
      </c>
      <c r="AD51">
        <v>917.99999999999898</v>
      </c>
      <c r="AE51">
        <v>752957.99999991397</v>
      </c>
      <c r="AG51">
        <v>912.99999999999898</v>
      </c>
      <c r="AH51">
        <v>34271.9999998782</v>
      </c>
    </row>
    <row r="52" spans="1:34">
      <c r="A52" s="87">
        <v>5114</v>
      </c>
      <c r="B52" s="81">
        <f>'09380000-CR@LF-2010to2015'!E61</f>
        <v>594648.13624416001</v>
      </c>
      <c r="C52" s="81">
        <f>'09382000-PR@LF'!E52</f>
        <v>1555.640352288</v>
      </c>
      <c r="D52" s="81">
        <f>'09402000-LCRnrC'!E52</f>
        <v>229.96422599040005</v>
      </c>
      <c r="E52" s="81">
        <f>'09402500-CRnrGC'!E53</f>
        <v>619796.63047680003</v>
      </c>
      <c r="F52" s="81">
        <f>'09404200-CRnrPS'!E60</f>
        <v>661608.30792960001</v>
      </c>
      <c r="G52" s="65">
        <f>'90404208-DCnrPS'!E60</f>
        <v>222.58569467520002</v>
      </c>
      <c r="H52" s="65">
        <f>'09415250-VRnrO'!E60</f>
        <v>12229.915654944001</v>
      </c>
      <c r="I52" s="65">
        <f>'90419800LVWnrBC'!E60</f>
        <v>18550.857481631996</v>
      </c>
      <c r="K52" s="65">
        <f>'09421500-CRblwHD '!E60</f>
        <v>557816.96742911998</v>
      </c>
      <c r="L52" s="65">
        <v>8818</v>
      </c>
      <c r="M52" s="1">
        <v>1106.73</v>
      </c>
      <c r="N52" s="78">
        <f t="shared" ca="1" si="7"/>
        <v>12344382.244377702</v>
      </c>
      <c r="O52" s="78">
        <f t="shared" ca="1" si="2"/>
        <v>33969.01022824645</v>
      </c>
      <c r="P52" s="79">
        <f t="shared" ca="1" si="8"/>
        <v>91888.135859766451</v>
      </c>
      <c r="Q52" s="88">
        <f>'Mead Evap Rate'!C48</f>
        <v>0.48019166666666663</v>
      </c>
      <c r="R52" s="88">
        <f>'Mead Evap Rate'!D48</f>
        <v>0.49732632638041641</v>
      </c>
      <c r="S52" s="88">
        <f>'Mead Evap Rate'!E48</f>
        <v>0.51446098609416624</v>
      </c>
      <c r="T52" s="83">
        <f t="shared" ca="1" si="9"/>
        <v>44084.541331198336</v>
      </c>
      <c r="U52" s="83">
        <f t="shared" ca="1" si="5"/>
        <v>45657.608226736898</v>
      </c>
      <c r="V52" s="83">
        <f t="shared" ca="1" si="10"/>
        <v>47230.675122275468</v>
      </c>
      <c r="W52" s="86"/>
      <c r="X52" s="83">
        <v>382.52556558317286</v>
      </c>
      <c r="Y52" s="190">
        <f t="shared" ca="1" si="6"/>
        <v>2207.9856648360192</v>
      </c>
      <c r="AD52">
        <v>918.49999999999898</v>
      </c>
      <c r="AE52">
        <v>770713.00000019302</v>
      </c>
      <c r="AG52">
        <v>913.49999999999898</v>
      </c>
      <c r="AH52">
        <v>34389.999999916901</v>
      </c>
    </row>
    <row r="53" spans="1:34">
      <c r="A53" s="80">
        <v>5145</v>
      </c>
      <c r="B53" s="81">
        <f>'09380000-CR@LF-2010to2015'!E62</f>
        <v>811023.56706240005</v>
      </c>
      <c r="C53" s="81">
        <f>'09382000-PR@LF'!E53</f>
        <v>1278.9454279680001</v>
      </c>
      <c r="D53" s="81">
        <f>'09402000-LCRnrC'!E53</f>
        <v>0</v>
      </c>
      <c r="E53" s="81">
        <f>'09402500-CRnrGC'!E54</f>
        <v>833774.03861759999</v>
      </c>
      <c r="F53" s="81">
        <f>'09404200-CRnrPS'!E61</f>
        <v>884194.00260480004</v>
      </c>
      <c r="G53" s="65">
        <f>'90404208-DCnrPS'!E61</f>
        <v>290.2222317312</v>
      </c>
      <c r="H53" s="65">
        <f>'09415250-VRnrO'!E61</f>
        <v>9352.288442015999</v>
      </c>
      <c r="I53" s="65">
        <f>'90419800LVWnrBC'!E61</f>
        <v>18581.601362111996</v>
      </c>
      <c r="K53" s="65">
        <f>'09421500-CRblwHD '!E61</f>
        <v>605654.44545600004</v>
      </c>
      <c r="L53" s="65">
        <v>8130</v>
      </c>
      <c r="M53" s="1">
        <v>1108.75</v>
      </c>
      <c r="N53" s="78">
        <f t="shared" ca="1" si="7"/>
        <v>12530876.712446555</v>
      </c>
      <c r="O53" s="78">
        <f t="shared" ca="1" si="2"/>
        <v>186494.46806885302</v>
      </c>
      <c r="P53" s="79">
        <f t="shared" ca="1" si="8"/>
        <v>92820.504487957689</v>
      </c>
      <c r="Q53" s="88">
        <f>'Mead Evap Rate'!C49</f>
        <v>0.28399166666666664</v>
      </c>
      <c r="R53" s="88">
        <f>'Mead Evap Rate'!D49</f>
        <v>0.29412532975926647</v>
      </c>
      <c r="S53" s="88">
        <f>'Mead Evap Rate'!E49</f>
        <v>0.30425899285186631</v>
      </c>
      <c r="T53" s="83">
        <f t="shared" ca="1" si="9"/>
        <v>26227.857310042044</v>
      </c>
      <c r="U53" s="83">
        <f t="shared" ca="1" si="5"/>
        <v>27163.744875830056</v>
      </c>
      <c r="V53" s="83">
        <f t="shared" ca="1" si="10"/>
        <v>28099.632441618072</v>
      </c>
      <c r="W53" s="86"/>
      <c r="X53" s="83">
        <v>0</v>
      </c>
      <c r="Y53" s="190">
        <f t="shared" ca="1" si="6"/>
        <v>12122.140424475447</v>
      </c>
      <c r="AD53">
        <v>918.99999999999898</v>
      </c>
      <c r="AE53">
        <v>788526.00000000303</v>
      </c>
      <c r="AG53">
        <v>913.99999999999898</v>
      </c>
      <c r="AH53">
        <v>34507.999999955697</v>
      </c>
    </row>
    <row r="54" spans="1:34">
      <c r="A54" s="80">
        <v>5173</v>
      </c>
      <c r="B54" s="81">
        <f>'09380000-CR@LF-2010to2015'!E63</f>
        <v>603690.80405759998</v>
      </c>
      <c r="C54" s="81">
        <f>'09382000-PR@LF'!E54</f>
        <v>1216.2675813119999</v>
      </c>
      <c r="D54" s="81">
        <f>'09402000-LCRnrC'!E54</f>
        <v>0</v>
      </c>
      <c r="E54" s="81">
        <f>'09402500-CRnrGC'!E55</f>
        <v>636457.83022080001</v>
      </c>
      <c r="F54" s="81">
        <f>'09404200-CRnrPS'!E62</f>
        <v>685330.68280319998</v>
      </c>
      <c r="G54" s="65">
        <f>'90404208-DCnrPS'!E62</f>
        <v>302.67846201600003</v>
      </c>
      <c r="H54" s="65">
        <f>'09415250-VRnrO'!E62</f>
        <v>7841.871346175999</v>
      </c>
      <c r="I54" s="65">
        <f>'90419800LVWnrBC'!E62</f>
        <v>17266.556668031997</v>
      </c>
      <c r="K54" s="65">
        <f>'09421500-CRblwHD '!E62</f>
        <v>716986.96231680003</v>
      </c>
      <c r="L54" s="65">
        <v>8028</v>
      </c>
      <c r="M54" s="1">
        <v>1107.94</v>
      </c>
      <c r="N54" s="78">
        <f t="shared" ca="1" si="7"/>
        <v>12455862.964811653</v>
      </c>
      <c r="O54" s="78">
        <f t="shared" ca="1" si="2"/>
        <v>-75013.747634902596</v>
      </c>
      <c r="P54" s="79">
        <f t="shared" ca="1" si="8"/>
        <v>92417.745994822588</v>
      </c>
      <c r="Q54" s="88">
        <f>'Mead Evap Rate'!C50</f>
        <v>0.20600833333333335</v>
      </c>
      <c r="R54" s="88">
        <f>'Mead Evap Rate'!D50</f>
        <v>0.21335932031394195</v>
      </c>
      <c r="S54" s="88">
        <f>'Mead Evap Rate'!E50</f>
        <v>0.22071030729455055</v>
      </c>
      <c r="T54" s="83">
        <f t="shared" ca="1" si="9"/>
        <v>19080.311625770049</v>
      </c>
      <c r="U54" s="83">
        <f t="shared" ca="1" si="5"/>
        <v>19761.153609574863</v>
      </c>
      <c r="V54" s="83">
        <f t="shared" ca="1" si="10"/>
        <v>20441.995593379681</v>
      </c>
      <c r="W54" s="86"/>
      <c r="X54" s="83">
        <v>771.82604367825115</v>
      </c>
      <c r="Y54" s="190">
        <f t="shared" ca="1" si="6"/>
        <v>-4875.8935962686692</v>
      </c>
      <c r="AD54">
        <v>919.49999999999898</v>
      </c>
      <c r="AE54">
        <v>806398.99999960803</v>
      </c>
      <c r="AG54">
        <v>914.49999999999898</v>
      </c>
      <c r="AH54">
        <v>34625.999999994398</v>
      </c>
    </row>
    <row r="55" spans="1:34">
      <c r="A55" s="80">
        <v>5204</v>
      </c>
      <c r="B55" s="81">
        <f>'09380000-CR@LF-2010to2015'!E64</f>
        <v>509610.56283648004</v>
      </c>
      <c r="C55" s="81">
        <f>'09382000-PR@LF'!E55</f>
        <v>1451.111158656</v>
      </c>
      <c r="D55" s="81">
        <f>'09402000-LCRnrC'!E55</f>
        <v>3701.5632097920002</v>
      </c>
      <c r="E55" s="81">
        <f>'09402500-CRnrGC'!E56</f>
        <v>541092.29644800001</v>
      </c>
      <c r="F55" s="81">
        <f>'09404200-CRnrPS'!E63</f>
        <v>586101.33747072006</v>
      </c>
      <c r="G55" s="65">
        <f>'90404208-DCnrPS'!E63</f>
        <v>323.42562264960003</v>
      </c>
      <c r="H55" s="65">
        <f>'09415250-VRnrO'!E63</f>
        <v>6579.1904227200002</v>
      </c>
      <c r="I55" s="65">
        <f>'90419800LVWnrBC'!E63</f>
        <v>19799.059029119999</v>
      </c>
      <c r="K55" s="65">
        <f>'09421500-CRblwHD '!E63</f>
        <v>1089563.1242112</v>
      </c>
      <c r="L55" s="65">
        <v>13983</v>
      </c>
      <c r="M55" s="1">
        <v>1101.71</v>
      </c>
      <c r="N55" s="78">
        <f t="shared" ca="1" si="7"/>
        <v>11888375.751829475</v>
      </c>
      <c r="O55" s="78">
        <f t="shared" ca="1" si="2"/>
        <v>-567487.21298217773</v>
      </c>
      <c r="P55" s="79">
        <f t="shared" ca="1" si="8"/>
        <v>89876.099924102833</v>
      </c>
      <c r="Q55" s="85">
        <f>'Mead Evap Rate'!C51</f>
        <v>0.29877471074592027</v>
      </c>
      <c r="R55" s="85">
        <f>'Mead Evap Rate'!D51</f>
        <v>0.30255818870629347</v>
      </c>
      <c r="S55" s="85">
        <f>'Mead Evap Rate'!E51</f>
        <v>0.30634166666666662</v>
      </c>
      <c r="T55" s="83">
        <f t="shared" ca="1" si="9"/>
        <v>27232.395542594149</v>
      </c>
      <c r="U55" s="83">
        <f t="shared" ca="1" si="5"/>
        <v>27577.247916767112</v>
      </c>
      <c r="V55" s="83">
        <f t="shared" ca="1" si="10"/>
        <v>27922.100290940067</v>
      </c>
      <c r="W55" s="86"/>
      <c r="X55" s="83">
        <v>0</v>
      </c>
      <c r="Y55" s="190">
        <f t="shared" ca="1" si="6"/>
        <v>-36886.668843841551</v>
      </c>
      <c r="AD55">
        <v>919.99999999999898</v>
      </c>
      <c r="AE55">
        <v>824331.00000212004</v>
      </c>
      <c r="AG55">
        <v>914.99999999999898</v>
      </c>
      <c r="AH55">
        <v>34742.999999890402</v>
      </c>
    </row>
    <row r="56" spans="1:34">
      <c r="A56" s="80">
        <v>5234</v>
      </c>
      <c r="B56" s="81">
        <f>'09380000-CR@LF-2010to2015'!E65</f>
        <v>511558.33642559999</v>
      </c>
      <c r="C56" s="81">
        <f>'09382000-PR@LF'!E56</f>
        <v>518.28232060799996</v>
      </c>
      <c r="D56" s="81">
        <f>'09402000-LCRnrC'!E56</f>
        <v>0</v>
      </c>
      <c r="E56" s="81">
        <f>'09402500-CRnrGC'!E57</f>
        <v>534586.49464319996</v>
      </c>
      <c r="F56" s="81">
        <f>'09404200-CRnrPS'!E64</f>
        <v>563624.58562559995</v>
      </c>
      <c r="G56" s="65">
        <f>'90404208-DCnrPS'!E64</f>
        <v>301.09168108799997</v>
      </c>
      <c r="H56" s="65">
        <f>'09415250-VRnrO'!E64</f>
        <v>3867.7785119999999</v>
      </c>
      <c r="I56" s="65">
        <f>'90419800LVWnrBC'!E64</f>
        <v>16577.893745280002</v>
      </c>
      <c r="K56" s="65">
        <f>'09421500-CRblwHD '!E64</f>
        <v>1134151.6682879999</v>
      </c>
      <c r="L56" s="65">
        <v>20864</v>
      </c>
      <c r="M56" s="1">
        <v>1094.55</v>
      </c>
      <c r="N56" s="78">
        <f t="shared" ca="1" si="7"/>
        <v>11253517.999980479</v>
      </c>
      <c r="O56" s="78">
        <f t="shared" ca="1" si="2"/>
        <v>-634857.75184899569</v>
      </c>
      <c r="P56" s="79">
        <f t="shared" ca="1" si="8"/>
        <v>87472.996297942387</v>
      </c>
      <c r="Q56" s="85">
        <f>'Mead Evap Rate'!C52</f>
        <v>0.42079273888521213</v>
      </c>
      <c r="R56" s="85">
        <f>'Mead Evap Rate'!D52</f>
        <v>0.42612136944260615</v>
      </c>
      <c r="S56" s="85">
        <f>'Mead Evap Rate'!E52</f>
        <v>0.43145000000000011</v>
      </c>
      <c r="T56" s="83">
        <f t="shared" ca="1" si="9"/>
        <v>37313.605969045719</v>
      </c>
      <c r="U56" s="83">
        <f t="shared" ca="1" si="5"/>
        <v>37786.11987577322</v>
      </c>
      <c r="V56" s="83">
        <f t="shared" ca="1" si="10"/>
        <v>38258.633782500714</v>
      </c>
      <c r="W56" s="86"/>
      <c r="X56" s="83">
        <v>2771.0796284694566</v>
      </c>
      <c r="Y56" s="190">
        <f t="shared" ca="1" si="6"/>
        <v>-41265.753870184722</v>
      </c>
      <c r="AD56">
        <v>920.49999999999898</v>
      </c>
      <c r="AE56">
        <v>842319.99999754503</v>
      </c>
      <c r="AG56">
        <v>915.49999999999898</v>
      </c>
      <c r="AH56">
        <v>34860.999999929198</v>
      </c>
    </row>
    <row r="57" spans="1:34">
      <c r="A57" s="80">
        <v>5265</v>
      </c>
      <c r="B57" s="81">
        <f>'09380000-CR@LF-2010to2015'!E66</f>
        <v>498235.32705888001</v>
      </c>
      <c r="C57" s="81">
        <f>'09382000-PR@LF'!E57</f>
        <v>273.62053627200004</v>
      </c>
      <c r="D57" s="81">
        <f>'09402000-LCRnrC'!E57</f>
        <v>0</v>
      </c>
      <c r="E57" s="81">
        <f>'09402500-CRnrGC'!E58</f>
        <v>525474.40516415995</v>
      </c>
      <c r="F57" s="81">
        <f>'09404200-CRnrPS'!E65</f>
        <v>556956.13877567998</v>
      </c>
      <c r="G57" s="65">
        <f>'90404208-DCnrPS'!E65</f>
        <v>290.2222317312</v>
      </c>
      <c r="H57" s="65">
        <f>'09415250-VRnrO'!E65</f>
        <v>2268.8983794239998</v>
      </c>
      <c r="I57" s="65">
        <f>'90419800LVWnrBC'!E65</f>
        <v>16423.380952415999</v>
      </c>
      <c r="K57" s="65">
        <f>'09421500-CRblwHD '!E65</f>
        <v>1085258.980944</v>
      </c>
      <c r="L57" s="65">
        <v>30194</v>
      </c>
      <c r="M57" s="1">
        <v>1087.46</v>
      </c>
      <c r="N57" s="78">
        <f t="shared" ca="1" si="7"/>
        <v>10638801.999986798</v>
      </c>
      <c r="O57" s="78">
        <f t="shared" ca="1" si="2"/>
        <v>-614715.99999368191</v>
      </c>
      <c r="P57" s="79">
        <f t="shared" ca="1" si="8"/>
        <v>85219.78799995876</v>
      </c>
      <c r="Q57" s="85">
        <f>'Mead Evap Rate'!C53</f>
        <v>0.46153704137844292</v>
      </c>
      <c r="R57" s="85">
        <f>'Mead Evap Rate'!D53</f>
        <v>0.467381629829693</v>
      </c>
      <c r="S57" s="85">
        <f>'Mead Evap Rate'!E53</f>
        <v>0.47322621828094302</v>
      </c>
      <c r="T57" s="83">
        <f t="shared" ca="1" si="9"/>
        <v>39852.058366129459</v>
      </c>
      <c r="U57" s="83">
        <f t="shared" ca="1" si="5"/>
        <v>40356.71749249033</v>
      </c>
      <c r="V57" s="83">
        <f t="shared" ca="1" si="10"/>
        <v>40861.376618851187</v>
      </c>
      <c r="W57" s="86"/>
      <c r="X57" s="83">
        <v>0</v>
      </c>
      <c r="Y57" s="190">
        <f t="shared" ca="1" si="6"/>
        <v>-39956.539999589324</v>
      </c>
      <c r="AD57">
        <v>920.99999999999898</v>
      </c>
      <c r="AE57">
        <v>860367.000003853</v>
      </c>
      <c r="AG57">
        <v>915.99999999999898</v>
      </c>
      <c r="AH57">
        <v>34978.999999967898</v>
      </c>
    </row>
    <row r="58" spans="1:34">
      <c r="A58" s="80">
        <v>5295</v>
      </c>
      <c r="B58" s="81">
        <f>'09380000-CR@LF-2010to2015'!E67</f>
        <v>608728.83350399998</v>
      </c>
      <c r="C58" s="81">
        <f>'09382000-PR@LF'!E58</f>
        <v>201.124482624</v>
      </c>
      <c r="D58" s="81">
        <f>'09402000-LCRnrC'!E58</f>
        <v>0</v>
      </c>
      <c r="E58" s="81">
        <f>'09402500-CRnrGC'!E59</f>
        <v>634910.71881600004</v>
      </c>
      <c r="F58" s="81">
        <f>'09404200-CRnrPS'!E66</f>
        <v>662282.689824</v>
      </c>
      <c r="G58" s="65">
        <f>'90404208-DCnrPS'!E66</f>
        <v>270.74449584000001</v>
      </c>
      <c r="H58" s="65">
        <f>'09415250-VRnrO'!E66</f>
        <v>934.21727136000004</v>
      </c>
      <c r="I58" s="65">
        <f>'90419800LVWnrBC'!E66</f>
        <v>15691.279901760001</v>
      </c>
      <c r="K58" s="65">
        <f>'09421500-CRblwHD '!E66</f>
        <v>959209.07097600005</v>
      </c>
      <c r="L58" s="65">
        <v>28078</v>
      </c>
      <c r="M58" s="1">
        <v>1082.6600000000001</v>
      </c>
      <c r="N58" s="78">
        <f t="shared" ca="1" si="7"/>
        <v>10232606.000000164</v>
      </c>
      <c r="O58" s="78">
        <f t="shared" ca="1" si="2"/>
        <v>-406195.99998663366</v>
      </c>
      <c r="P58" s="79">
        <f t="shared" ca="1" si="8"/>
        <v>83694.348000034341</v>
      </c>
      <c r="Q58" s="85">
        <f>'Mead Evap Rate'!C54</f>
        <v>0.66314446629116497</v>
      </c>
      <c r="R58" s="85">
        <f>'Mead Evap Rate'!D54</f>
        <v>0.67154207285730338</v>
      </c>
      <c r="S58" s="85">
        <f>'Mead Evap Rate'!E54</f>
        <v>0.67993967942344191</v>
      </c>
      <c r="T58" s="83">
        <f t="shared" ca="1" si="9"/>
        <v>56007.237283374343</v>
      </c>
      <c r="U58" s="83">
        <f t="shared" ca="1" si="5"/>
        <v>56716.474512167908</v>
      </c>
      <c r="V58" s="83">
        <f t="shared" ca="1" si="10"/>
        <v>57425.711740961488</v>
      </c>
      <c r="W58" s="86"/>
      <c r="X58" s="83">
        <v>0</v>
      </c>
      <c r="Y58" s="190">
        <f t="shared" ca="1" si="6"/>
        <v>-26402.73999913119</v>
      </c>
      <c r="AD58">
        <v>921.49999999999898</v>
      </c>
      <c r="AE58">
        <v>878470.99999821</v>
      </c>
      <c r="AG58">
        <v>916.49999999999898</v>
      </c>
      <c r="AH58">
        <v>35097.000000006701</v>
      </c>
    </row>
    <row r="59" spans="1:34">
      <c r="A59" s="80">
        <v>5326</v>
      </c>
      <c r="B59" s="81">
        <f>'09380000-CR@LF-2010to2015'!E68</f>
        <v>814712.83272000006</v>
      </c>
      <c r="C59" s="81">
        <f>'09382000-PR@LF'!E59</f>
        <v>285.30321085439999</v>
      </c>
      <c r="D59" s="81">
        <f>'09402000-LCRnrC'!E59</f>
        <v>3197.3635699199999</v>
      </c>
      <c r="E59" s="81">
        <f>'09402500-CRnrGC'!E60</f>
        <v>843612.08037119999</v>
      </c>
      <c r="F59" s="81">
        <f>'09404200-CRnrPS'!E67</f>
        <v>861443.53104959999</v>
      </c>
      <c r="G59" s="65">
        <f>'90404208-DCnrPS'!E67</f>
        <v>1420.3672781760001</v>
      </c>
      <c r="H59" s="65">
        <f>'09415250-VRnrO'!E67</f>
        <v>450.09041022719998</v>
      </c>
      <c r="I59" s="65">
        <f>'90419800LVWnrBC'!E67</f>
        <v>18052.806617856</v>
      </c>
      <c r="K59" s="65">
        <f>'09421500-CRblwHD '!E67</f>
        <v>941992.49790720001</v>
      </c>
      <c r="L59" s="65">
        <v>27686</v>
      </c>
      <c r="M59" s="1">
        <v>1080.5999999999999</v>
      </c>
      <c r="N59" s="78">
        <f t="shared" ca="1" si="7"/>
        <v>10060757.99999927</v>
      </c>
      <c r="O59" s="78">
        <f t="shared" ca="1" si="2"/>
        <v>-171848.00000089407</v>
      </c>
      <c r="P59" s="79">
        <f t="shared" ca="1" si="8"/>
        <v>83039.679999989807</v>
      </c>
      <c r="Q59" s="85">
        <f>'Mead Evap Rate'!C55</f>
        <v>0.5346036451894276</v>
      </c>
      <c r="R59" s="85">
        <f>'Mead Evap Rate'!D55</f>
        <v>0.54137349898347731</v>
      </c>
      <c r="S59" s="85">
        <f>'Mead Evap Rate'!E55</f>
        <v>0.5481433527775269</v>
      </c>
      <c r="T59" s="83">
        <f t="shared" ca="1" si="9"/>
        <v>44568.309572964499</v>
      </c>
      <c r="U59" s="83">
        <f t="shared" ca="1" si="5"/>
        <v>45132.692068991077</v>
      </c>
      <c r="V59" s="83">
        <f t="shared" ca="1" si="10"/>
        <v>45697.07456501764</v>
      </c>
      <c r="W59" s="86"/>
      <c r="X59" s="83">
        <v>5210.4383750007546</v>
      </c>
      <c r="Y59" s="190">
        <f t="shared" ca="1" si="6"/>
        <v>-11170.120000058116</v>
      </c>
      <c r="AD59">
        <v>921.99999999999898</v>
      </c>
      <c r="AE59">
        <v>896630.99999832094</v>
      </c>
      <c r="AG59">
        <v>916.99999999999898</v>
      </c>
      <c r="AH59">
        <v>35215.000000045402</v>
      </c>
    </row>
    <row r="60" spans="1:34">
      <c r="A60" s="80">
        <v>5357</v>
      </c>
      <c r="B60" s="81">
        <f>'09380000-CR@LF-2010to2015'!E69</f>
        <v>817787.220768</v>
      </c>
      <c r="C60" s="81">
        <f>'09382000-PR@LF'!E60</f>
        <v>3062.090495808</v>
      </c>
      <c r="D60" s="81">
        <f>'09402000-LCRnrC'!E60</f>
        <v>6320.9418266880002</v>
      </c>
      <c r="E60" s="81">
        <f>'09402500-CRnrGC'!E61</f>
        <v>858984.02061120002</v>
      </c>
      <c r="F60" s="81">
        <f>'09404200-CRnrPS'!E68</f>
        <v>895261.79957759997</v>
      </c>
      <c r="G60" s="65">
        <f>'90404208-DCnrPS'!E68</f>
        <v>282.84370041599999</v>
      </c>
      <c r="H60" s="65">
        <f>'09415250-VRnrO'!E68</f>
        <v>5128.0792640640002</v>
      </c>
      <c r="I60" s="65">
        <f>'90419800LVWnrBC'!E68</f>
        <v>20456.978071391997</v>
      </c>
      <c r="K60" s="65">
        <f>'09421500-CRblwHD '!E68</f>
        <v>735393.62108159997</v>
      </c>
      <c r="L60" s="65">
        <v>23853</v>
      </c>
      <c r="M60" s="1">
        <v>1081.55</v>
      </c>
      <c r="N60" s="78">
        <f t="shared" ca="1" si="7"/>
        <v>10139821.000021949</v>
      </c>
      <c r="O60" s="78">
        <f t="shared" ca="1" si="2"/>
        <v>79063.000022679567</v>
      </c>
      <c r="P60" s="79">
        <f t="shared" ca="1" si="8"/>
        <v>83341.589999993099</v>
      </c>
      <c r="Q60" s="85">
        <f>'Mead Evap Rate'!C56</f>
        <v>0.71495561525046791</v>
      </c>
      <c r="R60" s="85">
        <f>'Mead Evap Rate'!D56</f>
        <v>0.7240093226616201</v>
      </c>
      <c r="S60" s="85">
        <f>'Mead Evap Rate'!E56</f>
        <v>0.73306303007277229</v>
      </c>
      <c r="T60" s="83">
        <f t="shared" ca="1" si="9"/>
        <v>59477.611629496001</v>
      </c>
      <c r="U60" s="83">
        <f t="shared" ca="1" si="5"/>
        <v>60230.795298133875</v>
      </c>
      <c r="V60" s="83">
        <f t="shared" ca="1" si="10"/>
        <v>60983.978966771756</v>
      </c>
      <c r="W60" s="86"/>
      <c r="X60" s="83">
        <v>5199.4146874994658</v>
      </c>
      <c r="Y60" s="190">
        <f t="shared" ca="1" si="6"/>
        <v>5139.095001474172</v>
      </c>
      <c r="AD60">
        <v>922.49999999999898</v>
      </c>
      <c r="AE60">
        <v>914849.00000120595</v>
      </c>
      <c r="AG60">
        <v>917.49999999999898</v>
      </c>
      <c r="AH60">
        <v>35333.000000084197</v>
      </c>
    </row>
    <row r="61" spans="1:34">
      <c r="A61" s="80">
        <v>5387</v>
      </c>
      <c r="B61" s="81">
        <f>'09380000-CR@LF-2010to2015'!E70</f>
        <v>619439.60476799996</v>
      </c>
      <c r="C61" s="81">
        <f>'09382000-PR@LF'!E61</f>
        <v>9133.9077168000003</v>
      </c>
      <c r="D61" s="81">
        <f>'09402000-LCRnrC'!E61</f>
        <v>5385.1377744000001</v>
      </c>
      <c r="E61" s="81">
        <f>'09402500-CRnrGC'!E62</f>
        <v>658117.38988799998</v>
      </c>
      <c r="F61" s="81">
        <f>'09404200-CRnrPS'!E69</f>
        <v>687274.48944000003</v>
      </c>
      <c r="G61" s="65">
        <f>'90404208-DCnrPS'!E69</f>
        <v>501.02607801599999</v>
      </c>
      <c r="H61" s="65">
        <f>'09415250-VRnrO'!E69</f>
        <v>20511.126970559999</v>
      </c>
      <c r="I61" s="65">
        <f>'90419800LVWnrBC'!E69</f>
        <v>19904.183265600001</v>
      </c>
      <c r="K61" s="65">
        <f>'09421500-CRblwHD '!E69</f>
        <v>686084.40374400001</v>
      </c>
      <c r="L61" s="65">
        <v>19525</v>
      </c>
      <c r="M61" s="1">
        <v>1081.33</v>
      </c>
      <c r="N61" s="78">
        <f t="shared" ca="1" si="7"/>
        <v>10121487.000002176</v>
      </c>
      <c r="O61" s="78">
        <f t="shared" ca="1" si="2"/>
        <v>-18334.000019773841</v>
      </c>
      <c r="P61" s="79">
        <f t="shared" ca="1" si="8"/>
        <v>83271.673999965482</v>
      </c>
      <c r="Q61" s="85">
        <f>'Mead Evap Rate'!C57</f>
        <v>0.6883514311301262</v>
      </c>
      <c r="R61" s="85">
        <f>'Mead Evap Rate'!D57</f>
        <v>0.697068241405568</v>
      </c>
      <c r="S61" s="85">
        <f>'Mead Evap Rate'!E57</f>
        <v>0.70578505168100969</v>
      </c>
      <c r="T61" s="83">
        <f t="shared" ca="1" si="9"/>
        <v>57344.239359816514</v>
      </c>
      <c r="U61" s="83">
        <f t="shared" ca="1" si="5"/>
        <v>58070.407465646378</v>
      </c>
      <c r="V61" s="83">
        <f t="shared" ca="1" si="10"/>
        <v>58796.575571476242</v>
      </c>
      <c r="W61" s="86"/>
      <c r="X61" s="83">
        <v>1214.8883833330312</v>
      </c>
      <c r="Y61" s="190">
        <f t="shared" ca="1" si="6"/>
        <v>-1191.7100012852998</v>
      </c>
      <c r="AD61">
        <v>922.99999999999898</v>
      </c>
      <c r="AE61">
        <v>933123.00000173901</v>
      </c>
      <c r="AG61">
        <v>917.99999999999898</v>
      </c>
      <c r="AH61">
        <v>35451.000000122898</v>
      </c>
    </row>
    <row r="62" spans="1:34">
      <c r="A62" s="80">
        <v>5418</v>
      </c>
      <c r="B62" s="81">
        <f>'09380000-CR@LF-2010to2015'!E71</f>
        <v>612664.05020544003</v>
      </c>
      <c r="C62" s="81">
        <f>'09382000-PR@LF'!E62</f>
        <v>848.53110124800003</v>
      </c>
      <c r="D62" s="81">
        <f>'09402000-LCRnrC'!E62</f>
        <v>10416.026706624001</v>
      </c>
      <c r="E62" s="81">
        <f>'09402500-CRnrGC'!E63</f>
        <v>654844.65422400006</v>
      </c>
      <c r="F62" s="81">
        <f>'09404200-CRnrPS'!E70</f>
        <v>683129.02426560002</v>
      </c>
      <c r="G62" s="65">
        <f>'90404208-DCnrPS'!E70</f>
        <v>293.9114973888</v>
      </c>
      <c r="H62" s="65">
        <f>'09415250-VRnrO'!E70</f>
        <v>8891.1302348159988</v>
      </c>
      <c r="I62" s="65">
        <f>'90419800LVWnrBC'!E70</f>
        <v>18569.303809920002</v>
      </c>
      <c r="K62" s="65">
        <f>'09421500-CRblwHD '!E70</f>
        <v>471734.10208511999</v>
      </c>
      <c r="L62" s="65">
        <v>21862</v>
      </c>
      <c r="M62" s="1">
        <v>1082.79</v>
      </c>
      <c r="N62" s="78">
        <f t="shared" ca="1" si="7"/>
        <v>10243500.000001594</v>
      </c>
      <c r="O62" s="78">
        <f t="shared" ca="1" si="2"/>
        <v>122012.99999941885</v>
      </c>
      <c r="P62" s="79">
        <f t="shared" ca="1" si="8"/>
        <v>83735.662000065204</v>
      </c>
      <c r="Q62" s="85">
        <f>'Mead Evap Rate'!C58</f>
        <v>0.66260148761738535</v>
      </c>
      <c r="R62" s="85">
        <f>'Mead Evap Rate'!D58</f>
        <v>0.67099221827411348</v>
      </c>
      <c r="S62" s="85">
        <f>'Mead Evap Rate'!E58</f>
        <v>0.6793829489308415</v>
      </c>
      <c r="T62" s="83">
        <f t="shared" ca="1" si="9"/>
        <v>55329.654638318425</v>
      </c>
      <c r="U62" s="83">
        <f t="shared" ca="1" si="5"/>
        <v>56030.311425355401</v>
      </c>
      <c r="V62" s="83">
        <f t="shared" ca="1" si="10"/>
        <v>56730.96821239237</v>
      </c>
      <c r="W62" s="86"/>
      <c r="X62" s="83">
        <v>69.586390000012784</v>
      </c>
      <c r="Y62" s="190">
        <f t="shared" ca="1" si="6"/>
        <v>7930.8449999622262</v>
      </c>
      <c r="AD62">
        <v>923.49999999999898</v>
      </c>
      <c r="AE62">
        <v>951454.99999693804</v>
      </c>
      <c r="AG62">
        <v>918.49999999999898</v>
      </c>
      <c r="AH62">
        <v>35568.999999914602</v>
      </c>
    </row>
    <row r="63" spans="1:34">
      <c r="A63" s="80">
        <v>5448</v>
      </c>
      <c r="B63" s="81">
        <f>'09380000-CR@LF-2010to2015'!E72</f>
        <v>779506.13088000007</v>
      </c>
      <c r="C63" s="81">
        <f>'09382000-PR@LF'!E63</f>
        <v>773.55570239999997</v>
      </c>
      <c r="D63" s="81">
        <f>'09402000-LCRnrC'!E63</f>
        <v>0.1785128544</v>
      </c>
      <c r="E63" s="81">
        <f>'09402500-CRnrGC'!E64</f>
        <v>804497.93049599999</v>
      </c>
      <c r="F63" s="81">
        <f>'09404200-CRnrPS'!E71</f>
        <v>834845.11574400007</v>
      </c>
      <c r="G63" s="65">
        <f>'90404208-DCnrPS'!E71</f>
        <v>301.09168108799997</v>
      </c>
      <c r="H63" s="65">
        <f>'09415250-VRnrO'!E71</f>
        <v>7116.7124620800005</v>
      </c>
      <c r="I63" s="65">
        <f>'90419800LVWnrBC'!E71</f>
        <v>18172.60857792</v>
      </c>
      <c r="K63" s="65">
        <f>'09421500-CRblwHD '!E71</f>
        <v>695010.04646400001</v>
      </c>
      <c r="L63" s="65">
        <v>13713</v>
      </c>
      <c r="M63" s="1">
        <v>1083.57</v>
      </c>
      <c r="N63" s="78">
        <f t="shared" ca="1" si="7"/>
        <v>10308989.200019777</v>
      </c>
      <c r="O63" s="78">
        <f t="shared" ca="1" si="2"/>
        <v>65489.200018182397</v>
      </c>
      <c r="P63" s="79">
        <f t="shared" ca="1" si="8"/>
        <v>83983.546000003407</v>
      </c>
      <c r="Q63" s="85">
        <f>'Mead Evap Rate'!C59</f>
        <v>0.61091886809379026</v>
      </c>
      <c r="R63" s="85">
        <f>'Mead Evap Rate'!D59</f>
        <v>0.61865512551409996</v>
      </c>
      <c r="S63" s="85">
        <f>'Mead Evap Rate'!E59</f>
        <v>0.62639138293440955</v>
      </c>
      <c r="T63" s="83">
        <f t="shared" ca="1" si="9"/>
        <v>51231.414354494445</v>
      </c>
      <c r="U63" s="83">
        <f t="shared" ca="1" si="5"/>
        <v>51880.17383820394</v>
      </c>
      <c r="V63" s="83">
        <f t="shared" ca="1" si="10"/>
        <v>52528.933321913428</v>
      </c>
      <c r="W63" s="86"/>
      <c r="X63" s="83">
        <v>0</v>
      </c>
      <c r="Y63" s="190">
        <f t="shared" ca="1" si="6"/>
        <v>4256.7980011818563</v>
      </c>
      <c r="AD63">
        <v>923.99999999999898</v>
      </c>
      <c r="AE63">
        <v>969843.99999640195</v>
      </c>
      <c r="AG63">
        <v>918.99999999999898</v>
      </c>
      <c r="AH63">
        <v>35686.000000057698</v>
      </c>
    </row>
    <row r="64" spans="1:34">
      <c r="A64" s="80">
        <v>5479</v>
      </c>
      <c r="B64" s="81">
        <f>'09380000-CR@LF-2010to2015'!E73</f>
        <v>879889.85933760006</v>
      </c>
      <c r="C64" s="81">
        <f>'09382000-PR@LF'!E64</f>
        <v>891.57253392000007</v>
      </c>
      <c r="D64" s="81">
        <f>'09402000-LCRnrC'!E64</f>
        <v>4937.467205087999</v>
      </c>
      <c r="E64" s="81">
        <f>'09402500-CRnrGC'!E65</f>
        <v>911863.49503680004</v>
      </c>
      <c r="F64" s="81">
        <f>'09404200-CRnrPS'!E72</f>
        <v>940147.86507840001</v>
      </c>
      <c r="G64" s="65">
        <f>'90404208-DCnrPS'!E72</f>
        <v>349.25048225279994</v>
      </c>
      <c r="H64" s="65">
        <f>'09415250-VRnrO'!E72</f>
        <v>8509.9061168640019</v>
      </c>
      <c r="I64" s="65">
        <f>'90419800LVWnrBC'!E72</f>
        <v>18501.667272864001</v>
      </c>
      <c r="K64" s="65">
        <f>'09421500-CRblwHD '!E72</f>
        <v>493070.35513824003</v>
      </c>
      <c r="L64" s="65">
        <v>8700</v>
      </c>
      <c r="M64" s="1">
        <v>1087.79</v>
      </c>
      <c r="N64" s="78">
        <f t="shared" ca="1" si="7"/>
        <v>10667030.399977878</v>
      </c>
      <c r="O64" s="78">
        <f t="shared" ca="1" si="2"/>
        <v>358041.19995810091</v>
      </c>
      <c r="P64" s="79">
        <f t="shared" ca="1" si="8"/>
        <v>85324.662000017386</v>
      </c>
      <c r="Q64" s="85">
        <f>'Mead Evap Rate'!C60</f>
        <v>0.37248557503906965</v>
      </c>
      <c r="R64" s="85">
        <f>'Mead Evap Rate'!D60</f>
        <v>0.37720247681498908</v>
      </c>
      <c r="S64" s="85">
        <f>'Mead Evap Rate'!E60</f>
        <v>0.38191937859090852</v>
      </c>
      <c r="T64" s="83">
        <f t="shared" ca="1" si="9"/>
        <v>31532.432607861079</v>
      </c>
      <c r="U64" s="83">
        <f t="shared" ca="1" si="5"/>
        <v>31931.737701357597</v>
      </c>
      <c r="V64" s="83">
        <f t="shared" ca="1" si="10"/>
        <v>32331.042794854115</v>
      </c>
      <c r="W64" s="86"/>
      <c r="X64" s="83">
        <v>5290.8815000006498</v>
      </c>
      <c r="Y64" s="190">
        <f t="shared" ca="1" si="6"/>
        <v>23272.677997276562</v>
      </c>
      <c r="AD64">
        <v>924.49999999999898</v>
      </c>
      <c r="AE64">
        <v>988290.00000013004</v>
      </c>
      <c r="AG64">
        <v>919.49999999999898</v>
      </c>
      <c r="AH64">
        <v>35804.000000096399</v>
      </c>
    </row>
    <row r="65" spans="1:34">
      <c r="A65" s="87">
        <v>5510</v>
      </c>
      <c r="B65" s="81">
        <f>'09380000-CR@LF-2010to2015'!E74</f>
        <v>878045.22650880006</v>
      </c>
      <c r="C65" s="81">
        <f>'09382000-PR@LF'!E65</f>
        <v>1026.8456080319997</v>
      </c>
      <c r="D65" s="81">
        <f>'09402000-LCRnrC'!E65</f>
        <v>3055.9417197120001</v>
      </c>
      <c r="E65" s="81">
        <f>'09402500-CRnrGC'!E66</f>
        <v>908789.10698879999</v>
      </c>
      <c r="F65" s="81">
        <f>'09404200-CRnrPS'!E73</f>
        <v>943837.13073600002</v>
      </c>
      <c r="G65" s="65">
        <f>'90404208-DCnrPS'!E73</f>
        <v>374.46046424640002</v>
      </c>
      <c r="H65" s="65">
        <f>'09415250-VRnrO'!E73</f>
        <v>7864.2846267840005</v>
      </c>
      <c r="I65" s="65">
        <f>'90419800LVWnrBC'!E73</f>
        <v>19878.993118368002</v>
      </c>
      <c r="K65" s="65">
        <f>'09421500-CRblwHD '!E73</f>
        <v>832544.28339840006</v>
      </c>
      <c r="L65" s="65">
        <v>6146</v>
      </c>
      <c r="M65" s="1">
        <v>1088.51</v>
      </c>
      <c r="N65" s="78">
        <f t="shared" ca="1" si="7"/>
        <v>10728727.199993432</v>
      </c>
      <c r="O65" s="78">
        <f t="shared" ca="1" si="2"/>
        <v>61696.800015553832</v>
      </c>
      <c r="P65" s="79">
        <f t="shared" ca="1" si="8"/>
        <v>85553.477999941271</v>
      </c>
      <c r="Q65" s="85">
        <f>'Mead Evap Rate'!C61</f>
        <v>0.26701962279547808</v>
      </c>
      <c r="R65" s="85">
        <f>'Mead Evap Rate'!D61</f>
        <v>0.27040097610785058</v>
      </c>
      <c r="S65" s="85">
        <f>'Mead Evap Rate'!E61</f>
        <v>0.27378232942022307</v>
      </c>
      <c r="T65" s="83">
        <f t="shared" ca="1" si="9"/>
        <v>22813.908243390928</v>
      </c>
      <c r="U65" s="83">
        <f t="shared" ca="1" si="5"/>
        <v>23102.807925741385</v>
      </c>
      <c r="V65" s="83">
        <f t="shared" ca="1" si="10"/>
        <v>23391.707608091838</v>
      </c>
      <c r="W65" s="86"/>
      <c r="X65" s="83">
        <v>5339.941874998708</v>
      </c>
      <c r="Y65" s="190">
        <f t="shared" ca="1" si="6"/>
        <v>4010.2920010109992</v>
      </c>
      <c r="AD65">
        <v>924.99999999999898</v>
      </c>
      <c r="AE65">
        <v>1006793.00000002</v>
      </c>
      <c r="AG65">
        <v>919.99999999999898</v>
      </c>
      <c r="AH65">
        <v>35921.999999888103</v>
      </c>
    </row>
    <row r="66" spans="1:34">
      <c r="A66" s="191">
        <v>5538</v>
      </c>
      <c r="B66" s="192">
        <f>'09380000-CR@LF-2010to2015'!E75</f>
        <v>595360.20418560004</v>
      </c>
      <c r="C66" s="192">
        <f>'09382000-PR@LF'!E66</f>
        <v>1171.8377153280003</v>
      </c>
      <c r="D66" s="192">
        <f>'09402000-LCRnrC'!E66</f>
        <v>11923.865283455998</v>
      </c>
      <c r="E66" s="192">
        <f>'09402500-CRnrGC'!E67</f>
        <v>634791.71024639998</v>
      </c>
      <c r="F66" s="192">
        <f>'09404200-CRnrPS'!E74</f>
        <v>659783.50986240001</v>
      </c>
      <c r="G66" s="193">
        <f>'90404208-DCnrPS'!E74</f>
        <v>336.000861504</v>
      </c>
      <c r="H66" s="193">
        <f>'09415250-VRnrO'!E74</f>
        <v>6831.0918950400001</v>
      </c>
      <c r="I66" s="193">
        <f>'90419800LVWnrBC'!E74</f>
        <v>17477.598531456002</v>
      </c>
      <c r="J66" s="194"/>
      <c r="K66" s="193">
        <f>'09421500-CRblwHD '!E74</f>
        <v>599803.19078399998</v>
      </c>
      <c r="L66" s="193">
        <v>7997</v>
      </c>
      <c r="M66" s="195">
        <v>1088.98</v>
      </c>
      <c r="N66" s="196">
        <f t="shared" ca="1" si="7"/>
        <v>10769109.599962234</v>
      </c>
      <c r="O66" s="196">
        <f t="shared" ca="1" si="2"/>
        <v>40382.399968802929</v>
      </c>
      <c r="P66" s="197">
        <f t="shared" ca="1" si="8"/>
        <v>85702.844000052952</v>
      </c>
      <c r="Q66" s="198">
        <f>'Mead Evap Rate'!C62</f>
        <v>0.26915670105434197</v>
      </c>
      <c r="R66" s="198">
        <f>'Mead Evap Rate'!D62</f>
        <v>0.27256511685962703</v>
      </c>
      <c r="S66" s="198">
        <f>'Mead Evap Rate'!E62</f>
        <v>0.27597353266491204</v>
      </c>
      <c r="T66" s="199">
        <f t="shared" ca="1" si="9"/>
        <v>23047.393332109288</v>
      </c>
      <c r="U66" s="199">
        <f t="shared" ca="1" si="5"/>
        <v>23339.249709439169</v>
      </c>
      <c r="V66" s="199">
        <f t="shared" ca="1" si="10"/>
        <v>23631.10608676905</v>
      </c>
      <c r="W66" s="200"/>
      <c r="X66" s="199">
        <v>1248.7440145832911</v>
      </c>
      <c r="Y66" s="193">
        <f t="shared" ca="1" si="6"/>
        <v>2624.8559979721904</v>
      </c>
      <c r="AD66">
        <v>925.49999999999898</v>
      </c>
      <c r="AE66">
        <v>1025352.99999606</v>
      </c>
      <c r="AG66">
        <v>920.49999999999898</v>
      </c>
      <c r="AH66">
        <v>36036.0000000972</v>
      </c>
    </row>
    <row r="67" spans="1:34">
      <c r="A67" s="87">
        <v>5569</v>
      </c>
      <c r="B67" s="81">
        <f>'09380000-CR@LF-2010to2015'!E76</f>
        <v>656074.40944319998</v>
      </c>
      <c r="C67" s="81">
        <f>'09382000-PR@LF'!E67</f>
        <v>2840.7345563520003</v>
      </c>
      <c r="D67" s="81">
        <f>'09402000-LCRnrC'!E67</f>
        <v>14357.39218416</v>
      </c>
      <c r="E67" s="81">
        <f>'09402500-CRnrGC'!E68</f>
        <v>697271.2092864</v>
      </c>
      <c r="F67" s="81">
        <f>'09404200-CRnrPS'!E75</f>
        <v>721866.31367040006</v>
      </c>
      <c r="G67" s="65">
        <f>'90404208-DCnrPS'!E75</f>
        <v>337.56780767039999</v>
      </c>
      <c r="H67" s="65">
        <f>'09415250-VRnrO'!E75</f>
        <v>8380.7818188479996</v>
      </c>
      <c r="I67" s="65">
        <f>'90419800LVWnrBC'!E75</f>
        <v>19891.29067056</v>
      </c>
      <c r="K67" s="65">
        <f>'09421500-CRblwHD '!E75</f>
        <v>1033609.2617376</v>
      </c>
      <c r="L67" s="65">
        <v>14493</v>
      </c>
      <c r="M67" s="1">
        <v>1084.8699999999999</v>
      </c>
      <c r="N67" s="78">
        <f t="shared" ca="1" si="7"/>
        <v>10418620.399978817</v>
      </c>
      <c r="O67" s="78">
        <f t="shared" ca="1" si="2"/>
        <v>-350489.19998341799</v>
      </c>
      <c r="P67" s="79">
        <f t="shared" ca="1" si="8"/>
        <v>84396.686000065063</v>
      </c>
      <c r="Q67" s="85">
        <f>'Mead Evap Rate'!C63</f>
        <v>0.33936081714983402</v>
      </c>
      <c r="R67" s="85">
        <f>'Mead Evap Rate'!D63</f>
        <v>0.34365824971731973</v>
      </c>
      <c r="S67" s="85">
        <f>'Mead Evap Rate'!E63</f>
        <v>0.34795568228480539</v>
      </c>
      <c r="T67" s="83">
        <f t="shared" ca="1" si="9"/>
        <v>28862.557748821378</v>
      </c>
      <c r="U67" s="83">
        <f t="shared" ca="1" si="5"/>
        <v>29228.053378789638</v>
      </c>
      <c r="V67" s="83">
        <f t="shared" ca="1" si="10"/>
        <v>29593.549008757895</v>
      </c>
      <c r="W67" s="86"/>
      <c r="X67" s="83">
        <v>0</v>
      </c>
      <c r="Y67" s="190">
        <f t="shared" ca="1" si="6"/>
        <v>-22781.797998922171</v>
      </c>
      <c r="AD67">
        <v>925.99999999999898</v>
      </c>
      <c r="AE67">
        <v>1043969.99999636</v>
      </c>
      <c r="AG67">
        <v>920.99999999999898</v>
      </c>
      <c r="AH67">
        <v>36150.000000059197</v>
      </c>
    </row>
    <row r="68" spans="1:34">
      <c r="A68" s="87">
        <v>5599</v>
      </c>
      <c r="B68" s="81">
        <f>'09380000-CR@LF-2010to2015'!E77</f>
        <v>609918.9192</v>
      </c>
      <c r="C68" s="81">
        <f>'09382000-PR@LF'!E68</f>
        <v>606.94370495999999</v>
      </c>
      <c r="D68" s="81">
        <f>'09402000-LCRnrC'!E68</f>
        <v>0.83305998719999996</v>
      </c>
      <c r="E68" s="81">
        <f>'09402500-CRnrGC'!E69</f>
        <v>635505.76166399999</v>
      </c>
      <c r="F68" s="81">
        <f>'09404200-CRnrPS'!E76</f>
        <v>653952.08995200007</v>
      </c>
      <c r="G68" s="65">
        <f>'90404208-DCnrPS'!E76</f>
        <v>288.59578127999998</v>
      </c>
      <c r="H68" s="65">
        <f>'09415250-VRnrO'!E76</f>
        <v>4593.7307865600005</v>
      </c>
      <c r="I68" s="65">
        <f>'90419800LVWnrBC'!E76</f>
        <v>17625.16915776</v>
      </c>
      <c r="K68" s="65">
        <f>'09421500-CRblwHD '!E76</f>
        <v>1087143.283296</v>
      </c>
      <c r="L68" s="65">
        <v>20898</v>
      </c>
      <c r="M68" s="1">
        <v>1079.03</v>
      </c>
      <c r="N68" s="78">
        <f t="shared" ref="N68:N76" ca="1" si="11">FORECAST(M68,OFFSET($AE$5:$AE$676,MATCH(M68,$AD$5:$AD$676,1)-1,0,2), OFFSET($AD$5:$AD$676,MATCH(M68,$AD$5:$AD$676,1)-1,0,2))</f>
        <v>9930776.0000333637</v>
      </c>
      <c r="O68" s="78">
        <f t="shared" ca="1" si="2"/>
        <v>-487844.39994545281</v>
      </c>
      <c r="P68" s="79">
        <f t="shared" ref="P68:P76" ca="1" si="12">FORECAST(M68,OFFSET($AH$5:$AH$686,MATCH(M68,$AG$5:$AG$686,1)-1,0,2), OFFSET($AG$5:$AG$686,MATCH(M68,$AG$5:$AG$686,1)-1,0,2))</f>
        <v>82519.200000051758</v>
      </c>
      <c r="Q68" s="85">
        <f>'Mead Evap Rate'!C64</f>
        <v>0.53683583621880171</v>
      </c>
      <c r="R68" s="85">
        <f>'Mead Evap Rate'!D64</f>
        <v>0.54363395694863681</v>
      </c>
      <c r="S68" s="85">
        <f>'Mead Evap Rate'!E64</f>
        <v>0.55043207767847202</v>
      </c>
      <c r="T68" s="83">
        <f t="shared" ca="1" si="9"/>
        <v>44803.214619537444</v>
      </c>
      <c r="U68" s="83">
        <f t="shared" ca="1" si="5"/>
        <v>45370.571791915536</v>
      </c>
      <c r="V68" s="83">
        <f t="shared" ca="1" si="10"/>
        <v>45937.928964293642</v>
      </c>
      <c r="W68" s="86"/>
      <c r="X68" s="83">
        <v>137505.83955948093</v>
      </c>
      <c r="Y68" s="190">
        <f t="shared" ca="1" si="6"/>
        <v>-31709.885996454435</v>
      </c>
      <c r="AD68">
        <v>926.49999999999898</v>
      </c>
      <c r="AE68">
        <v>1062644.0000009299</v>
      </c>
      <c r="AG68">
        <v>921.49999999999898</v>
      </c>
      <c r="AH68">
        <v>36264.000000021297</v>
      </c>
    </row>
    <row r="69" spans="1:34">
      <c r="A69" s="87">
        <v>5630</v>
      </c>
      <c r="B69" s="81">
        <f>'09380000-CR@LF-2010to2015'!E78</f>
        <v>708339.00625920005</v>
      </c>
      <c r="C69" s="81">
        <f>'09382000-PR@LF'!E69</f>
        <v>1155.9699060480002</v>
      </c>
      <c r="D69" s="81">
        <f>'09402000-LCRnrC'!E69</f>
        <v>51.895670250239995</v>
      </c>
      <c r="E69" s="81">
        <f>'09402500-CRnrGC'!E70</f>
        <v>737238.25391039997</v>
      </c>
      <c r="F69" s="81">
        <f>'09404200-CRnrPS'!E77</f>
        <v>760603.60307519999</v>
      </c>
      <c r="G69" s="65">
        <f>'90404208-DCnrPS'!E77</f>
        <v>259.47835125120002</v>
      </c>
      <c r="H69" s="65">
        <f>'09415250-VRnrO'!E77</f>
        <v>5164.9719206400005</v>
      </c>
      <c r="I69" s="65">
        <f>'90419800LVWnrBC'!E77</f>
        <v>18101.996826623999</v>
      </c>
      <c r="K69" s="65">
        <f>'09421500-CRblwHD '!E77</f>
        <v>868822.06236480002</v>
      </c>
      <c r="L69" s="65">
        <v>25157</v>
      </c>
      <c r="M69" s="1">
        <v>1076.57</v>
      </c>
      <c r="N69" s="78">
        <f t="shared" ca="1" si="11"/>
        <v>9728809.8000191748</v>
      </c>
      <c r="O69" s="78">
        <f t="shared" ca="1" si="2"/>
        <v>-201966.20001418889</v>
      </c>
      <c r="P69" s="79">
        <f t="shared" ca="1" si="12"/>
        <v>81681.799999922689</v>
      </c>
      <c r="Q69" s="79"/>
      <c r="R69" s="88"/>
      <c r="S69" s="82"/>
      <c r="T69" s="83"/>
      <c r="U69" s="83"/>
      <c r="V69" s="83"/>
      <c r="W69" s="86"/>
      <c r="X69" s="83"/>
      <c r="Y69" s="1" t="s">
        <v>201</v>
      </c>
      <c r="AD69">
        <v>926.99999999999898</v>
      </c>
      <c r="AE69">
        <v>1081375.0000016601</v>
      </c>
      <c r="AG69">
        <v>921.99999999999898</v>
      </c>
      <c r="AH69">
        <v>36377.999999983302</v>
      </c>
    </row>
    <row r="70" spans="1:34">
      <c r="A70" s="87">
        <v>5660</v>
      </c>
      <c r="B70" s="81">
        <f>'09380000-CR@LF-2010to2015'!E79</f>
        <v>801522.71625599999</v>
      </c>
      <c r="C70" s="81">
        <f>'09382000-PR@LF'!E70</f>
        <v>3034.7185248000001</v>
      </c>
      <c r="D70" s="81">
        <f>'09402000-LCRnrC'!E70</f>
        <v>212.430296736</v>
      </c>
      <c r="E70" s="81">
        <f>'09402500-CRnrGC'!E71</f>
        <v>827109.55871999997</v>
      </c>
      <c r="F70" s="81">
        <f>'09404200-CRnrPS'!E78</f>
        <v>847936.05839999998</v>
      </c>
      <c r="G70" s="65">
        <f>'90404208-DCnrPS'!E78</f>
        <v>185.65336857600002</v>
      </c>
      <c r="H70" s="65">
        <f>'09415250-VRnrO'!E78</f>
        <v>1963.6413984000001</v>
      </c>
      <c r="I70" s="65">
        <f>'90419800LVWnrBC'!E78</f>
        <v>17405.003304000002</v>
      </c>
      <c r="K70" s="65">
        <f>'09421500-CRblwHD '!E78</f>
        <v>868167.51523200003</v>
      </c>
      <c r="L70" s="65">
        <v>25656</v>
      </c>
      <c r="M70" s="1">
        <v>1075.08</v>
      </c>
      <c r="N70" s="78">
        <f t="shared" ca="1" si="11"/>
        <v>9607485.5999875516</v>
      </c>
      <c r="O70" s="78">
        <f t="shared" ref="O70:O76" ca="1" si="13">N70-N69</f>
        <v>-121324.20003162324</v>
      </c>
      <c r="P70" s="79">
        <f t="shared" ca="1" si="12"/>
        <v>81175.200000028359</v>
      </c>
      <c r="Q70" s="79"/>
      <c r="R70" s="88"/>
      <c r="S70" s="82"/>
      <c r="T70" s="83"/>
      <c r="U70" s="83"/>
      <c r="V70" s="83"/>
      <c r="W70" s="86"/>
      <c r="X70" s="83"/>
      <c r="Y70" s="65" t="s">
        <v>202</v>
      </c>
      <c r="AD70">
        <v>927.49999999999898</v>
      </c>
      <c r="AE70">
        <v>1100162.9999985499</v>
      </c>
      <c r="AG70">
        <v>922.49999999999898</v>
      </c>
      <c r="AH70">
        <v>36491.999999945401</v>
      </c>
    </row>
    <row r="71" spans="1:34">
      <c r="A71" s="87">
        <v>5691</v>
      </c>
      <c r="B71" s="81">
        <f>'09380000-CR@LF-2010to2015'!E80</f>
        <v>1076035.8167999999</v>
      </c>
      <c r="C71" s="81">
        <f>'09382000-PR@LF'!E71</f>
        <v>842.38232515200002</v>
      </c>
      <c r="D71" s="81">
        <f>'09402000-LCRnrC'!E71</f>
        <v>12604.990996800001</v>
      </c>
      <c r="E71" s="81">
        <f>'09402500-CRnrGC'!E72</f>
        <v>1109239.2077184001</v>
      </c>
      <c r="F71" s="81">
        <f>'09404200-CRnrPS'!E79</f>
        <v>1137523.57776</v>
      </c>
      <c r="G71" s="65">
        <f>'90404208-DCnrPS'!E79</f>
        <v>187.53767092800001</v>
      </c>
      <c r="H71" s="65">
        <f>'09415250-VRnrO'!E79</f>
        <v>2570.188408128</v>
      </c>
      <c r="I71" s="65">
        <f>'90419800LVWnrBC'!E79</f>
        <v>17782.260469631998</v>
      </c>
      <c r="K71" s="65">
        <f>'09421500-CRblwHD '!E79</f>
        <v>767367.25678080006</v>
      </c>
      <c r="L71" s="65">
        <v>28970</v>
      </c>
      <c r="M71" s="1">
        <v>1078.1500000000001</v>
      </c>
      <c r="N71" s="78">
        <f t="shared" ca="1" si="11"/>
        <v>9858297.0000168681</v>
      </c>
      <c r="O71" s="78">
        <f t="shared" ca="1" si="13"/>
        <v>250811.40002931654</v>
      </c>
      <c r="P71" s="79">
        <f t="shared" ca="1" si="12"/>
        <v>82219.999999968277</v>
      </c>
      <c r="Q71" s="79"/>
      <c r="R71" s="88"/>
      <c r="S71" s="82"/>
      <c r="T71" s="83"/>
      <c r="U71" s="83"/>
      <c r="V71" s="83"/>
      <c r="W71" s="86"/>
      <c r="X71" s="83"/>
      <c r="Y71" s="65"/>
      <c r="AD71">
        <v>927.99999999999898</v>
      </c>
      <c r="AE71">
        <v>1119007.9999996901</v>
      </c>
      <c r="AG71">
        <v>922.99999999999898</v>
      </c>
      <c r="AH71">
        <v>36607.000000050197</v>
      </c>
    </row>
    <row r="72" spans="1:34">
      <c r="A72" s="87">
        <v>5722</v>
      </c>
      <c r="B72" s="81">
        <f>'09380000-CR@LF-2010to2015'!E81</f>
        <v>814097.95511039998</v>
      </c>
      <c r="C72" s="81">
        <f>'09382000-PR@LF'!E72</f>
        <v>4248.8042823360001</v>
      </c>
      <c r="D72" s="81">
        <f>'09402000-LCRnrC'!E72</f>
        <v>16693.927100640001</v>
      </c>
      <c r="E72" s="81">
        <f>'09402500-CRnrGC'!E73</f>
        <v>858369.14300160005</v>
      </c>
      <c r="F72" s="81">
        <f>'09404200-CRnrPS'!E80</f>
        <v>903255.20850239997</v>
      </c>
      <c r="G72" s="65">
        <f>'90404208-DCnrPS'!E80</f>
        <v>2250.4520511360006</v>
      </c>
      <c r="H72" s="65">
        <f>'09415250-VRnrO'!E80</f>
        <v>1549.4915761920001</v>
      </c>
      <c r="I72" s="65">
        <f>'90419800LVWnrBC'!E80</f>
        <v>18723.02321232</v>
      </c>
      <c r="K72" s="65">
        <f>'09421500-CRblwHD '!E80</f>
        <v>802415.28052799997</v>
      </c>
      <c r="L72" s="65">
        <v>27453</v>
      </c>
      <c r="M72" s="1">
        <v>1078.31</v>
      </c>
      <c r="N72" s="78">
        <f t="shared" ca="1" si="11"/>
        <v>9871458.599996537</v>
      </c>
      <c r="O72" s="78">
        <f t="shared" ca="1" si="13"/>
        <v>13161.599979668856</v>
      </c>
      <c r="P72" s="79">
        <f t="shared" ca="1" si="12"/>
        <v>82274.399999983434</v>
      </c>
      <c r="Q72" s="79"/>
      <c r="R72" s="88"/>
      <c r="S72" s="82"/>
      <c r="T72" s="83"/>
      <c r="U72" s="83"/>
      <c r="V72" s="83"/>
      <c r="W72" s="86"/>
      <c r="X72" s="83"/>
      <c r="Y72" s="65"/>
      <c r="AD72">
        <v>928.49999999999898</v>
      </c>
      <c r="AE72">
        <v>1137909.999997</v>
      </c>
      <c r="AG72">
        <v>923.49999999999898</v>
      </c>
      <c r="AH72">
        <v>36721.000000012202</v>
      </c>
    </row>
    <row r="73" spans="1:34">
      <c r="A73" s="87">
        <v>5752</v>
      </c>
      <c r="B73" s="81">
        <f>'09380000-CR@LF-2010to2015'!E82</f>
        <v>725357.23171199998</v>
      </c>
      <c r="C73" s="81">
        <f>'09382000-PR@LF'!E73</f>
        <v>3510.7528032</v>
      </c>
      <c r="D73" s="81">
        <f>'09402000-LCRnrC'!E73</f>
        <v>6759.6867532799997</v>
      </c>
      <c r="E73" s="81">
        <f>'09402500-CRnrGC'!E74</f>
        <v>758084.58835199999</v>
      </c>
      <c r="F73" s="81">
        <f>'09404200-CRnrPS'!E81</f>
        <v>776530.91664000007</v>
      </c>
      <c r="G73" s="65">
        <f>'90404208-DCnrPS'!E81</f>
        <v>158.28139756800002</v>
      </c>
      <c r="H73" s="65">
        <f>'09415250-VRnrO'!E81</f>
        <v>5658.8574844800005</v>
      </c>
      <c r="I73" s="65">
        <f>'90419800LVWnrBC'!E81</f>
        <v>17458.557160320001</v>
      </c>
      <c r="K73" s="65">
        <f>'09421500-CRblwHD '!E81</f>
        <v>722977.06032000005</v>
      </c>
      <c r="L73" s="65">
        <v>24943</v>
      </c>
      <c r="M73" s="1">
        <v>1078.0999999999999</v>
      </c>
      <c r="N73" s="78">
        <f t="shared" ca="1" si="11"/>
        <v>9854184.0000232011</v>
      </c>
      <c r="O73" s="78">
        <f t="shared" ca="1" si="13"/>
        <v>-17274.599973335862</v>
      </c>
      <c r="P73" s="79">
        <f t="shared" ca="1" si="12"/>
        <v>82202.999999963504</v>
      </c>
      <c r="Q73" s="79"/>
      <c r="R73" s="88"/>
      <c r="S73" s="82"/>
      <c r="T73" s="83"/>
      <c r="U73" s="83"/>
      <c r="V73" s="83"/>
      <c r="W73" s="86"/>
      <c r="X73" s="83"/>
      <c r="Y73" s="65"/>
      <c r="AD73">
        <v>928.99999999999898</v>
      </c>
      <c r="AE73">
        <v>1156868.99999857</v>
      </c>
      <c r="AG73">
        <v>923.99999999999898</v>
      </c>
      <c r="AH73">
        <v>36834.999999974301</v>
      </c>
    </row>
    <row r="74" spans="1:34">
      <c r="A74" s="87">
        <v>5783</v>
      </c>
      <c r="B74" s="81">
        <f>'09380000-CR@LF-2010to2015'!E83</f>
        <v>608728.83350399998</v>
      </c>
      <c r="C74" s="81">
        <f>'09382000-PR@LF'!E74</f>
        <v>5281.7986664640002</v>
      </c>
      <c r="D74" s="81">
        <f>'09402000-LCRnrC'!E74</f>
        <v>13674.878037504001</v>
      </c>
      <c r="E74" s="81">
        <f>'09402500-CRnrGC'!E75</f>
        <v>664682.69597760006</v>
      </c>
      <c r="F74" s="81">
        <f>'09404200-CRnrPS'!E82</f>
        <v>692967.06601920002</v>
      </c>
      <c r="G74" s="65">
        <f>'90404208-DCnrPS'!E82</f>
        <v>360.31827922560001</v>
      </c>
      <c r="H74" s="65">
        <f>'09415250-VRnrO'!E82</f>
        <v>10004.058708192</v>
      </c>
      <c r="I74" s="65">
        <f>'90419800LVWnrBC'!E82</f>
        <v>22375.396213344</v>
      </c>
      <c r="K74" s="65">
        <f>'09421500-CRblwHD '!E82</f>
        <v>578292.39182879997</v>
      </c>
      <c r="L74" s="65">
        <v>20027</v>
      </c>
      <c r="M74" s="1">
        <v>1078.99</v>
      </c>
      <c r="N74" s="78">
        <f t="shared" ca="1" si="11"/>
        <v>9927473.8000317216</v>
      </c>
      <c r="O74" s="78">
        <f t="shared" ca="1" si="13"/>
        <v>73289.800008520484</v>
      </c>
      <c r="P74" s="79">
        <f t="shared" ca="1" si="12"/>
        <v>82505.600000047998</v>
      </c>
      <c r="Q74" s="79"/>
      <c r="R74" s="88"/>
      <c r="S74" s="82"/>
      <c r="T74" s="83"/>
      <c r="U74" s="83"/>
      <c r="V74" s="83"/>
      <c r="W74" s="86"/>
      <c r="X74" s="83"/>
      <c r="Y74" s="65"/>
      <c r="AD74">
        <v>929.49999999999898</v>
      </c>
      <c r="AE74">
        <v>1175884.9999963001</v>
      </c>
      <c r="AG74">
        <v>924.49999999999898</v>
      </c>
      <c r="AH74">
        <v>36948.999999936299</v>
      </c>
    </row>
    <row r="75" spans="1:34">
      <c r="A75" s="87">
        <v>5813</v>
      </c>
      <c r="B75" s="81">
        <f>'09380000-CR@LF-2010to2015'!E84</f>
        <v>582784.96533120004</v>
      </c>
      <c r="C75" s="81">
        <f>'09382000-PR@LF'!E75</f>
        <v>1118.68055424</v>
      </c>
      <c r="D75" s="81">
        <f>'09402000-LCRnrC'!E75</f>
        <v>2332.56796416</v>
      </c>
      <c r="E75" s="81">
        <f>'09402500-CRnrGC'!E76</f>
        <v>605158.57641600003</v>
      </c>
      <c r="F75" s="81">
        <f>'09404200-CRnrPS'!E83</f>
        <v>630150.37603200006</v>
      </c>
      <c r="G75" s="65">
        <f>'90404208-DCnrPS'!E83</f>
        <v>318.34792368000001</v>
      </c>
      <c r="H75" s="65">
        <f>'09415250-VRnrO'!E83</f>
        <v>7426.1347430400001</v>
      </c>
      <c r="I75" s="65">
        <f>'90419800LVWnrBC'!E83</f>
        <v>18535.584715199999</v>
      </c>
      <c r="K75" s="65">
        <f>'09421500-CRblwHD '!E83</f>
        <v>631340.46172799997</v>
      </c>
      <c r="L75" s="65">
        <v>12127</v>
      </c>
      <c r="M75" s="1">
        <v>1078.23</v>
      </c>
      <c r="N75" s="78">
        <f t="shared" ca="1" si="11"/>
        <v>9864877.8000067025</v>
      </c>
      <c r="O75" s="78">
        <f t="shared" ca="1" si="13"/>
        <v>-62596.00002501905</v>
      </c>
      <c r="P75" s="79">
        <f t="shared" ca="1" si="12"/>
        <v>82247.199999975855</v>
      </c>
      <c r="Q75" s="79"/>
      <c r="R75" s="88"/>
      <c r="S75" s="82"/>
      <c r="T75" s="83"/>
      <c r="U75" s="83"/>
      <c r="V75" s="83"/>
      <c r="W75" s="86"/>
      <c r="X75" s="83"/>
      <c r="Y75" s="65"/>
      <c r="AD75">
        <v>929.99999999999898</v>
      </c>
      <c r="AE75">
        <v>1194957.9999982901</v>
      </c>
      <c r="AG75">
        <v>924.99999999999898</v>
      </c>
      <c r="AH75">
        <v>37062.999999898297</v>
      </c>
    </row>
    <row r="76" spans="1:34">
      <c r="A76" s="87">
        <v>5844</v>
      </c>
      <c r="B76" s="81">
        <f>'09380000-CR@LF-2010to2015'!E85</f>
        <v>863288.1638784</v>
      </c>
      <c r="C76" s="81">
        <f>'09382000-PR@LF'!E76</f>
        <v>977.65539926400004</v>
      </c>
      <c r="D76" s="81">
        <f>'09402000-LCRnrC'!E76</f>
        <v>273.00565866240004</v>
      </c>
      <c r="E76" s="81">
        <f>'09402500-CRnrGC'!E77</f>
        <v>886038.63543360005</v>
      </c>
      <c r="F76" s="81">
        <f>'09404200-CRnrPS'!E84</f>
        <v>907559.35176960006</v>
      </c>
      <c r="G76" s="65">
        <f>'90404208-DCnrPS'!E84</f>
        <v>317.27684655360002</v>
      </c>
      <c r="H76" s="65">
        <f>'09415250-VRnrO'!E84</f>
        <v>7212.5143606080001</v>
      </c>
      <c r="I76" s="65">
        <f>'90419800LVWnrBC'!E84</f>
        <v>18643.089123071997</v>
      </c>
      <c r="K76" s="65">
        <f>'09421500-CRblwHD '!E84</f>
        <v>619181.75286720006</v>
      </c>
      <c r="L76" s="65">
        <v>8862</v>
      </c>
      <c r="M76" s="1">
        <v>1080.9100000000001</v>
      </c>
      <c r="N76" s="78">
        <f t="shared" ca="1" si="11"/>
        <v>10086518.999974117</v>
      </c>
      <c r="O76" s="78">
        <f t="shared" ca="1" si="13"/>
        <v>221641.19996741414</v>
      </c>
      <c r="P76" s="79">
        <f t="shared" ca="1" si="12"/>
        <v>83138.197999910277</v>
      </c>
      <c r="Q76" s="79"/>
      <c r="R76" s="88"/>
      <c r="S76" s="82"/>
      <c r="T76" s="83"/>
      <c r="U76" s="83"/>
      <c r="V76" s="83"/>
      <c r="W76" s="86"/>
      <c r="X76" s="83"/>
      <c r="Y76" s="65"/>
      <c r="AD76">
        <v>930.49999999999898</v>
      </c>
      <c r="AE76">
        <v>1214089.0000030501</v>
      </c>
      <c r="AG76">
        <v>925.49999999999898</v>
      </c>
      <c r="AH76">
        <v>37177.000000107502</v>
      </c>
    </row>
    <row r="77" spans="1:34">
      <c r="F77" s="1"/>
      <c r="G77" s="1"/>
      <c r="H77" s="1"/>
      <c r="I77" s="1"/>
      <c r="K77" s="1"/>
      <c r="L77" s="1"/>
      <c r="M77" s="1"/>
      <c r="N77" s="78"/>
      <c r="O77" s="78"/>
      <c r="P77" s="79"/>
      <c r="Q77" s="79"/>
      <c r="R77" s="79"/>
      <c r="S77" s="1"/>
      <c r="T77" s="1"/>
      <c r="U77" s="1"/>
      <c r="V77" s="1"/>
      <c r="W77" s="1"/>
      <c r="X77" s="1"/>
      <c r="Y77" s="1"/>
      <c r="AD77">
        <v>930.99999999999898</v>
      </c>
      <c r="AE77">
        <v>1233278.0000024899</v>
      </c>
      <c r="AG77">
        <v>925.99999999999898</v>
      </c>
      <c r="AH77">
        <v>37291.0000000695</v>
      </c>
    </row>
    <row r="78" spans="1:34">
      <c r="F78" s="1"/>
      <c r="G78" s="1"/>
      <c r="H78" s="1"/>
      <c r="I78" s="1"/>
      <c r="K78" s="1"/>
      <c r="L78" s="1"/>
      <c r="M78" s="1"/>
      <c r="N78" s="1"/>
      <c r="O78" s="1"/>
      <c r="P78" s="1"/>
      <c r="Q78" s="1"/>
      <c r="R78" s="1"/>
      <c r="S78" s="1"/>
      <c r="T78" s="1"/>
      <c r="U78" s="1"/>
      <c r="V78" s="1"/>
      <c r="W78" s="1"/>
      <c r="X78" s="1"/>
      <c r="Y78" s="1"/>
      <c r="AD78">
        <v>931.49999999999898</v>
      </c>
      <c r="AE78">
        <v>1252524.99999659</v>
      </c>
      <c r="AG78">
        <v>926.49999999999898</v>
      </c>
      <c r="AH78">
        <v>37405.000000031599</v>
      </c>
    </row>
    <row r="79" spans="1:34">
      <c r="F79" s="1"/>
      <c r="G79" s="1"/>
      <c r="H79" s="1"/>
      <c r="I79" s="1"/>
      <c r="K79" s="1"/>
      <c r="L79" s="1"/>
      <c r="M79" s="1"/>
      <c r="N79" s="1"/>
      <c r="O79" s="1"/>
      <c r="P79" s="1"/>
      <c r="Q79" s="1"/>
      <c r="R79" s="1"/>
      <c r="S79" s="1"/>
      <c r="T79" s="1"/>
      <c r="U79" s="1"/>
      <c r="V79" s="1"/>
      <c r="W79" s="1"/>
      <c r="X79" s="1"/>
      <c r="Y79" s="1"/>
      <c r="AD79">
        <v>931.99999999999898</v>
      </c>
      <c r="AE79">
        <v>1271830.00000157</v>
      </c>
      <c r="AG79">
        <v>926.99999999999898</v>
      </c>
      <c r="AH79">
        <v>37518.999999993597</v>
      </c>
    </row>
    <row r="80" spans="1:34">
      <c r="F80" s="1"/>
      <c r="G80" s="1"/>
      <c r="H80" s="1"/>
      <c r="I80" s="1"/>
      <c r="K80" s="1"/>
      <c r="L80" s="1"/>
      <c r="M80" s="1"/>
      <c r="N80" s="1" t="s">
        <v>203</v>
      </c>
      <c r="O80" s="1"/>
      <c r="P80" s="1"/>
      <c r="Q80" s="1"/>
      <c r="R80" s="1"/>
      <c r="S80" s="1"/>
      <c r="T80" s="1"/>
      <c r="U80" s="1"/>
      <c r="V80" s="1"/>
      <c r="W80" s="1"/>
      <c r="X80" s="1"/>
      <c r="Y80" s="1"/>
      <c r="AD80">
        <v>932.49999999999898</v>
      </c>
      <c r="AE80">
        <v>1291193.00000122</v>
      </c>
      <c r="AG80">
        <v>927.49999999999898</v>
      </c>
      <c r="AH80">
        <v>37632.999999955697</v>
      </c>
    </row>
    <row r="81" spans="1:34">
      <c r="A81" s="1" t="s">
        <v>204</v>
      </c>
      <c r="B81" s="65">
        <f t="shared" ref="B81:C81" si="14">SUM(B7:B18)</f>
        <v>8769838.6841558386</v>
      </c>
      <c r="C81" s="65">
        <f t="shared" si="14"/>
        <v>25645.335175958397</v>
      </c>
      <c r="D81" s="65">
        <f t="shared" ref="D81:E81" si="15">SUM(D7:D18)</f>
        <v>201228.79363525443</v>
      </c>
      <c r="E81" s="65">
        <f t="shared" si="15"/>
        <v>9289239.6853180807</v>
      </c>
      <c r="F81" s="65">
        <f t="shared" ref="F81:L81" si="16">SUM(F7:F18)</f>
        <v>9732489.0862694401</v>
      </c>
      <c r="G81" s="65">
        <f>SUM(G7:G18)</f>
        <v>6182.1778345343992</v>
      </c>
      <c r="H81" s="65">
        <f t="shared" si="16"/>
        <v>199832.644600992</v>
      </c>
      <c r="I81" s="65">
        <f t="shared" si="16"/>
        <v>211073.20234732801</v>
      </c>
      <c r="K81" s="65">
        <f t="shared" si="16"/>
        <v>9591172.360297922</v>
      </c>
      <c r="L81" s="65">
        <f t="shared" si="16"/>
        <v>247805</v>
      </c>
      <c r="M81" s="1"/>
      <c r="N81" s="65">
        <f ca="1">N6-N18</f>
        <v>662047.57689476013</v>
      </c>
      <c r="O81" s="65"/>
      <c r="P81" s="1"/>
      <c r="Q81" s="86"/>
      <c r="R81" s="86"/>
      <c r="S81" s="1"/>
      <c r="T81" s="65">
        <f ca="1">SUM(T7:T18)</f>
        <v>550690.76935216063</v>
      </c>
      <c r="U81" s="65">
        <f ca="1">SUM(U7:U18)</f>
        <v>583200.50170708273</v>
      </c>
      <c r="V81" s="65">
        <f ca="1">SUM(V7:V18)</f>
        <v>615710.23406200472</v>
      </c>
      <c r="W81" s="1"/>
      <c r="X81" s="65">
        <f>SUM(X7:X18)</f>
        <v>34227.816906452645</v>
      </c>
      <c r="Y81" s="65">
        <f>SUM(Y7:Y18)</f>
        <v>-43778.511833877652</v>
      </c>
      <c r="Z81" s="40"/>
      <c r="AD81">
        <v>932.99999999999898</v>
      </c>
      <c r="AE81">
        <v>1310614.0000036401</v>
      </c>
      <c r="AG81">
        <v>927.99999999999898</v>
      </c>
      <c r="AH81">
        <v>37746.999999917702</v>
      </c>
    </row>
    <row r="82" spans="1:34">
      <c r="A82" s="1" t="s">
        <v>205</v>
      </c>
      <c r="B82" s="65">
        <f t="shared" ref="B82:C82" si="17">SUM(B19:B30)</f>
        <v>13359049.128547201</v>
      </c>
      <c r="C82" s="65">
        <f t="shared" si="17"/>
        <v>13860.0553718016</v>
      </c>
      <c r="D82" s="65">
        <f t="shared" ref="D82:E82" si="18">SUM(D19:D30)</f>
        <v>42992.53998465601</v>
      </c>
      <c r="E82" s="65">
        <f t="shared" si="18"/>
        <v>13749893.1058752</v>
      </c>
      <c r="F82" s="65">
        <f t="shared" ref="F82:L82" si="19">SUM(F19:F30)</f>
        <v>14119870.914000001</v>
      </c>
      <c r="G82" s="65">
        <f>SUM(G19:G30)</f>
        <v>3985.9540216127998</v>
      </c>
      <c r="H82" s="65">
        <f t="shared" si="19"/>
        <v>208279.87287120003</v>
      </c>
      <c r="I82" s="65">
        <f t="shared" si="19"/>
        <v>210896.276273856</v>
      </c>
      <c r="K82" s="65">
        <f t="shared" si="19"/>
        <v>9522325.9027843215</v>
      </c>
      <c r="L82" s="65">
        <f t="shared" si="19"/>
        <v>224084</v>
      </c>
      <c r="M82" s="1"/>
      <c r="N82" s="65">
        <f ca="1">N18-N30</f>
        <v>-3545335.2267909348</v>
      </c>
      <c r="O82" s="65"/>
      <c r="P82" s="1"/>
      <c r="Q82" s="86"/>
      <c r="R82" s="86"/>
      <c r="S82" s="1"/>
      <c r="T82" s="65">
        <f ca="1">SUM(T19:T30)</f>
        <v>553630.99516282266</v>
      </c>
      <c r="U82" s="65">
        <f ca="1">SUM(U19:U30)</f>
        <v>582728.32222646405</v>
      </c>
      <c r="V82" s="65">
        <f ca="1">SUM(V19:V30)</f>
        <v>611825.64929010544</v>
      </c>
      <c r="W82" s="1"/>
      <c r="X82" s="65">
        <f>SUM(X19:X30)</f>
        <v>23650.112325352351</v>
      </c>
      <c r="Y82" s="65">
        <f>SUM(Y19:Y30)</f>
        <v>231053.25690102103</v>
      </c>
      <c r="Z82" s="40"/>
      <c r="AD82">
        <v>933.49999999999898</v>
      </c>
      <c r="AE82">
        <v>1330093.0000007299</v>
      </c>
      <c r="AG82">
        <v>928.49999999999898</v>
      </c>
      <c r="AH82">
        <v>37860.999999879801</v>
      </c>
    </row>
    <row r="83" spans="1:34">
      <c r="A83" s="1" t="s">
        <v>206</v>
      </c>
      <c r="B83" s="65">
        <f t="shared" ref="B83:C83" si="20">SUM(B31:B42)</f>
        <v>8144587.4942390407</v>
      </c>
      <c r="C83" s="65">
        <f t="shared" si="20"/>
        <v>16165.4695473312</v>
      </c>
      <c r="D83" s="65">
        <f t="shared" ref="D83:E83" si="21">SUM(D31:D42)</f>
        <v>64903.673850609601</v>
      </c>
      <c r="E83" s="65">
        <f t="shared" si="21"/>
        <v>8525206.6519622412</v>
      </c>
      <c r="F83" s="65">
        <f t="shared" ref="F83:L83" si="22">SUM(F31:F42)</f>
        <v>8940899.6186227202</v>
      </c>
      <c r="G83" s="65">
        <f>SUM(G31:G42)</f>
        <v>3582.9116659008</v>
      </c>
      <c r="H83" s="65">
        <f t="shared" si="22"/>
        <v>81018.654012287996</v>
      </c>
      <c r="I83" s="65">
        <f t="shared" si="22"/>
        <v>213298.46425123204</v>
      </c>
      <c r="K83" s="65">
        <f t="shared" si="22"/>
        <v>9153054.2121724784</v>
      </c>
      <c r="L83" s="65">
        <f t="shared" si="22"/>
        <v>234937</v>
      </c>
      <c r="M83" s="1"/>
      <c r="N83" s="65">
        <f ca="1">N30-N42</f>
        <v>1096517.2162187696</v>
      </c>
      <c r="O83" s="65"/>
      <c r="P83" s="1"/>
      <c r="Q83" s="86"/>
      <c r="R83" s="86"/>
      <c r="S83" s="1"/>
      <c r="T83" s="65">
        <f ca="1">SUM(T31:T42)</f>
        <v>577084.67179806798</v>
      </c>
      <c r="U83" s="65">
        <f ca="1">SUM(U31:U42)</f>
        <v>593606.65461900621</v>
      </c>
      <c r="V83" s="65">
        <f ca="1">SUM(V31:V42)</f>
        <v>610128.63743994455</v>
      </c>
      <c r="W83" s="1"/>
      <c r="X83" s="65">
        <f>SUM(X31:X42)</f>
        <v>34154.098899179829</v>
      </c>
      <c r="Y83" s="65">
        <f ca="1">SUM(Y31:Y42)</f>
        <v>-71273.619054220035</v>
      </c>
      <c r="Z83" s="40"/>
      <c r="AD83">
        <v>933.99999999999898</v>
      </c>
      <c r="AE83">
        <v>1349630.0000006</v>
      </c>
      <c r="AG83">
        <v>928.99999999999898</v>
      </c>
      <c r="AH83">
        <v>37975.000000088898</v>
      </c>
    </row>
    <row r="84" spans="1:34">
      <c r="A84" s="1" t="s">
        <v>207</v>
      </c>
      <c r="B84" s="65">
        <f t="shared" ref="B84:C84" si="23">SUM(B43:B54)</f>
        <v>8025196.1137401611</v>
      </c>
      <c r="C84" s="65">
        <f t="shared" si="23"/>
        <v>25912.7871013728</v>
      </c>
      <c r="D84" s="65">
        <f t="shared" ref="D84:E84" si="24">SUM(D43:D54)</f>
        <v>122594.31565333343</v>
      </c>
      <c r="E84" s="65">
        <f t="shared" si="24"/>
        <v>8497989.3920947202</v>
      </c>
      <c r="F84" s="65">
        <f t="shared" ref="F84:L84" si="25">SUM(F43:F54)</f>
        <v>9002786.0582908802</v>
      </c>
      <c r="G84" s="65">
        <f>SUM(G43:G54)</f>
        <v>4524.1306081056</v>
      </c>
      <c r="H84" s="65">
        <f t="shared" si="25"/>
        <v>73757.941180992013</v>
      </c>
      <c r="I84" s="65">
        <f t="shared" si="25"/>
        <v>215840.28895027199</v>
      </c>
      <c r="K84" s="65">
        <f t="shared" si="25"/>
        <v>9443095.9475731198</v>
      </c>
      <c r="L84" s="65">
        <f t="shared" si="25"/>
        <v>222286</v>
      </c>
      <c r="M84" s="1"/>
      <c r="N84" s="65">
        <f ca="1">N42-N54</f>
        <v>1354504.0706184208</v>
      </c>
      <c r="O84" s="65"/>
      <c r="P84" s="1"/>
      <c r="Q84" s="86"/>
      <c r="R84" s="86"/>
      <c r="S84" s="1"/>
      <c r="T84" s="65">
        <f ca="1">SUM(T43:T54)</f>
        <v>505721.33791616111</v>
      </c>
      <c r="U84" s="65">
        <f ca="1">SUM(U43:U54)</f>
        <v>523766.97185089352</v>
      </c>
      <c r="V84" s="65">
        <f ca="1">SUM(V43:V54)</f>
        <v>541812.60578562599</v>
      </c>
      <c r="W84" s="1"/>
      <c r="X84" s="65">
        <f>SUM(X43:X54)</f>
        <v>19128.836574610723</v>
      </c>
      <c r="Y84" s="65">
        <f ca="1">SUM(Y43:Y54)</f>
        <v>-88042.764590197345</v>
      </c>
      <c r="Z84" s="40"/>
      <c r="AD84">
        <v>934.49999999999898</v>
      </c>
      <c r="AE84">
        <v>1369226.00000175</v>
      </c>
      <c r="AG84">
        <v>929.49999999999898</v>
      </c>
      <c r="AH84">
        <v>38089.000000050997</v>
      </c>
    </row>
    <row r="85" spans="1:34">
      <c r="A85" s="1" t="s">
        <v>208</v>
      </c>
      <c r="B85" s="65">
        <f t="shared" ref="B85:C85" si="26">SUM(B55:B66)</f>
        <v>8125538.1891984008</v>
      </c>
      <c r="C85" s="65">
        <f t="shared" si="26"/>
        <v>19637.782582550401</v>
      </c>
      <c r="D85" s="65">
        <f t="shared" ref="D85:E85" si="27">SUM(D55:D66)</f>
        <v>48938.485808534395</v>
      </c>
      <c r="E85" s="65">
        <f t="shared" si="27"/>
        <v>8511564.30293376</v>
      </c>
      <c r="F85" s="65">
        <f t="shared" ref="F85:L85" si="28">SUM(F55:F66)</f>
        <v>8874687.2174495999</v>
      </c>
      <c r="G85" s="65">
        <f>SUM(G55:G66)</f>
        <v>5044.4360743968</v>
      </c>
      <c r="H85" s="65">
        <f t="shared" si="28"/>
        <v>78952.506565939198</v>
      </c>
      <c r="I85" s="65">
        <f t="shared" si="28"/>
        <v>219505.75289395201</v>
      </c>
      <c r="K85" s="65">
        <f t="shared" si="28"/>
        <v>9723815.3450217601</v>
      </c>
      <c r="L85" s="65">
        <f t="shared" si="28"/>
        <v>222601</v>
      </c>
      <c r="M85" s="1"/>
      <c r="N85" s="65">
        <f ca="1">N54-N66</f>
        <v>1686753.3648494184</v>
      </c>
      <c r="O85" s="65"/>
      <c r="P85" s="1"/>
      <c r="Q85" s="86"/>
      <c r="R85" s="86"/>
      <c r="S85" s="1"/>
      <c r="T85" s="65">
        <f ca="1">SUM(T55:T66)</f>
        <v>505750.26089959475</v>
      </c>
      <c r="U85" s="65">
        <f ca="1">SUM(U55:U66)</f>
        <v>512154.73523006734</v>
      </c>
      <c r="V85" s="65">
        <f ca="1">SUM(V55:V66)</f>
        <v>518559.20956053981</v>
      </c>
      <c r="W85" s="1"/>
      <c r="X85" s="65">
        <f>SUM(X55:X66)</f>
        <v>26344.974853885371</v>
      </c>
      <c r="Y85" s="65">
        <f ca="1">SUM(Y55:Y66)</f>
        <v>-109638.96871521219</v>
      </c>
      <c r="Z85" s="40"/>
      <c r="AD85">
        <v>934.99999999999898</v>
      </c>
      <c r="AE85">
        <v>1388878.9999990601</v>
      </c>
      <c r="AG85">
        <v>929.99999999999898</v>
      </c>
      <c r="AH85">
        <v>38203.000000013002</v>
      </c>
    </row>
    <row r="86" spans="1:34">
      <c r="A86" s="73" t="s">
        <v>209</v>
      </c>
      <c r="B86" s="65">
        <f t="shared" ref="B86:C86" si="29">SUM(B7:B66)</f>
        <v>46424209.609880634</v>
      </c>
      <c r="C86" s="65">
        <f t="shared" si="29"/>
        <v>101221.4297790144</v>
      </c>
      <c r="D86" s="65">
        <f t="shared" ref="D86:E86" si="30">SUM(D7:D66)</f>
        <v>480657.80893238779</v>
      </c>
      <c r="E86" s="65">
        <f t="shared" si="30"/>
        <v>48573893.138183996</v>
      </c>
      <c r="F86" s="65">
        <f t="shared" ref="F86:L86" si="31">SUM(F7:F66)</f>
        <v>50670732.89463263</v>
      </c>
      <c r="G86" s="65">
        <f>SUM(G7:G66)</f>
        <v>23319.610204550398</v>
      </c>
      <c r="H86" s="65">
        <f t="shared" si="31"/>
        <v>641841.61923141102</v>
      </c>
      <c r="I86" s="65">
        <f t="shared" si="31"/>
        <v>1070613.9847166401</v>
      </c>
      <c r="K86" s="65">
        <f t="shared" si="31"/>
        <v>47433463.767849609</v>
      </c>
      <c r="L86" s="65">
        <f t="shared" si="31"/>
        <v>1151713</v>
      </c>
      <c r="M86" s="1"/>
      <c r="N86" s="83">
        <f ca="1">N6-N66</f>
        <v>1254487.0017904341</v>
      </c>
      <c r="O86" s="83"/>
      <c r="P86" s="1"/>
      <c r="Q86" s="86"/>
      <c r="R86" s="86"/>
      <c r="S86" s="1"/>
      <c r="T86" s="65">
        <f ca="1">SUM(T7:T66)</f>
        <v>2692878.0351288076</v>
      </c>
      <c r="U86" s="65">
        <f ca="1">SUM(U7:U66)</f>
        <v>2795457.1856335141</v>
      </c>
      <c r="V86" s="65">
        <f ca="1">SUM(V7:V66)</f>
        <v>2898036.3361382191</v>
      </c>
      <c r="W86" s="1"/>
      <c r="X86" s="65">
        <f>SUM(X81:X85)</f>
        <v>137505.83955948093</v>
      </c>
      <c r="Y86" s="65">
        <f ca="1">SUM(Y81:Y85)</f>
        <v>-81680.607292486195</v>
      </c>
      <c r="Z86" s="40"/>
      <c r="AD86">
        <v>935.49999999999898</v>
      </c>
      <c r="AE86">
        <v>1408590.99999765</v>
      </c>
      <c r="AG86">
        <v>930.49999999999898</v>
      </c>
      <c r="AH86">
        <v>38319.999999909</v>
      </c>
    </row>
    <row r="87" spans="1:34" ht="29">
      <c r="A87" s="100" t="s">
        <v>242</v>
      </c>
      <c r="B87" s="65">
        <f>B86/5</f>
        <v>9284841.9219761267</v>
      </c>
      <c r="C87" s="65">
        <f>C86/5</f>
        <v>20244.285955802879</v>
      </c>
      <c r="D87" s="65">
        <f>D86/5</f>
        <v>96131.561786477556</v>
      </c>
      <c r="E87" s="65">
        <f>E86/5</f>
        <v>9714778.6276367996</v>
      </c>
      <c r="F87" s="65">
        <f>F86/5</f>
        <v>10134146.578926526</v>
      </c>
      <c r="G87" s="65">
        <f t="shared" ref="G87:I87" si="32">G86/5</f>
        <v>4663.9220409100799</v>
      </c>
      <c r="H87" s="65">
        <f t="shared" si="32"/>
        <v>128368.3238462822</v>
      </c>
      <c r="I87" s="65">
        <f t="shared" si="32"/>
        <v>214122.79694332802</v>
      </c>
      <c r="J87" s="101"/>
      <c r="K87" s="65">
        <f t="shared" ref="K87:N87" si="33">K86/5</f>
        <v>9486692.7535699215</v>
      </c>
      <c r="L87" s="65">
        <f t="shared" si="33"/>
        <v>230342.6</v>
      </c>
      <c r="M87" s="65"/>
      <c r="N87" s="65">
        <f t="shared" ca="1" si="33"/>
        <v>250897.40035808683</v>
      </c>
      <c r="O87" s="65"/>
      <c r="P87" s="65"/>
      <c r="Q87" s="65"/>
      <c r="R87" s="65"/>
      <c r="S87" s="65"/>
      <c r="T87" s="65">
        <f t="shared" ref="T87:Y87" ca="1" si="34">T86/5</f>
        <v>538575.60702576151</v>
      </c>
      <c r="U87" s="65">
        <f t="shared" ca="1" si="34"/>
        <v>559091.43712670286</v>
      </c>
      <c r="V87" s="65">
        <f t="shared" ca="1" si="34"/>
        <v>579607.26722764387</v>
      </c>
      <c r="W87" s="65"/>
      <c r="X87" s="65">
        <f t="shared" si="34"/>
        <v>27501.167911896184</v>
      </c>
      <c r="Y87" s="65">
        <f t="shared" ca="1" si="34"/>
        <v>-16336.121458497239</v>
      </c>
      <c r="AD87">
        <v>935.99999999999898</v>
      </c>
      <c r="AE87">
        <v>1428360.0000005099</v>
      </c>
      <c r="AG87">
        <v>930.99999999999898</v>
      </c>
      <c r="AH87">
        <v>38435.9999999094</v>
      </c>
    </row>
    <row r="88" spans="1:34">
      <c r="F88" s="1"/>
      <c r="G88" s="1"/>
      <c r="H88" s="1"/>
      <c r="I88" s="1"/>
      <c r="K88" s="1"/>
      <c r="L88" s="1"/>
      <c r="M88" s="1"/>
      <c r="N88" s="1"/>
      <c r="O88" s="1"/>
      <c r="P88" s="1"/>
      <c r="Q88" s="1"/>
      <c r="R88" s="1"/>
      <c r="S88" s="1"/>
      <c r="T88" s="1"/>
      <c r="U88" s="1"/>
      <c r="V88" s="1"/>
      <c r="W88" s="1"/>
      <c r="X88" s="1"/>
      <c r="Y88" s="1"/>
      <c r="AD88">
        <v>936.49999999999898</v>
      </c>
      <c r="AE88">
        <v>1448187.9999965399</v>
      </c>
      <c r="AG88">
        <v>931.49999999999898</v>
      </c>
      <c r="AH88">
        <v>38551.9999999098</v>
      </c>
    </row>
    <row r="89" spans="1:34">
      <c r="F89" s="65"/>
      <c r="G89" s="65"/>
      <c r="H89" s="65"/>
      <c r="I89" s="65"/>
      <c r="K89" s="65"/>
      <c r="L89" s="65"/>
      <c r="M89" s="1"/>
      <c r="N89" s="65"/>
      <c r="O89" s="65"/>
      <c r="P89" s="1"/>
      <c r="Q89" s="1"/>
      <c r="R89" s="1"/>
      <c r="S89" s="1"/>
      <c r="T89" s="65"/>
      <c r="U89" s="65"/>
      <c r="V89" s="65"/>
      <c r="W89" s="1"/>
      <c r="X89" s="65"/>
      <c r="Y89" s="65"/>
      <c r="AD89">
        <v>936.99999999999898</v>
      </c>
      <c r="AE89">
        <v>1468074.0000034501</v>
      </c>
      <c r="AG89">
        <v>931.99999999999898</v>
      </c>
      <c r="AH89">
        <v>38667.9999999102</v>
      </c>
    </row>
    <row r="90" spans="1:34">
      <c r="F90" s="65"/>
      <c r="G90" s="65"/>
      <c r="H90" s="65"/>
      <c r="I90" s="65"/>
      <c r="K90" s="65"/>
      <c r="L90" s="65"/>
      <c r="M90" s="1"/>
      <c r="N90" s="65"/>
      <c r="O90" s="65"/>
      <c r="P90" s="1"/>
      <c r="Q90" s="1"/>
      <c r="R90" s="1"/>
      <c r="S90" s="1"/>
      <c r="T90" s="65"/>
      <c r="U90" s="65"/>
      <c r="V90" s="65"/>
      <c r="W90" s="1"/>
      <c r="X90" s="65"/>
      <c r="Y90" s="65"/>
      <c r="AD90">
        <v>937.49999999999898</v>
      </c>
      <c r="AE90">
        <v>1488017.9999969299</v>
      </c>
      <c r="AG90">
        <v>932.49999999999898</v>
      </c>
      <c r="AH90">
        <v>38783.9999999106</v>
      </c>
    </row>
    <row r="91" spans="1:34">
      <c r="F91" s="65"/>
      <c r="G91" s="65"/>
      <c r="H91" s="65"/>
      <c r="I91" s="65"/>
      <c r="K91" s="65"/>
      <c r="L91" s="65"/>
      <c r="M91" s="1"/>
      <c r="N91" s="65"/>
      <c r="O91" s="65"/>
      <c r="P91" s="1"/>
      <c r="Q91" s="1"/>
      <c r="R91" s="1"/>
      <c r="S91" s="1"/>
      <c r="T91" s="65"/>
      <c r="U91" s="65"/>
      <c r="V91" s="65"/>
      <c r="W91" s="1"/>
      <c r="X91" s="65"/>
      <c r="Y91" s="65"/>
      <c r="AD91">
        <v>937.99999999999898</v>
      </c>
      <c r="AE91">
        <v>1508019.00000278</v>
      </c>
      <c r="AG91">
        <v>932.99999999999898</v>
      </c>
      <c r="AH91">
        <v>38899.999999911</v>
      </c>
    </row>
    <row r="92" spans="1:34">
      <c r="F92" s="65"/>
      <c r="G92" s="65"/>
      <c r="H92" s="65"/>
      <c r="I92" s="65"/>
      <c r="K92" s="65"/>
      <c r="L92" s="65"/>
      <c r="M92" s="1"/>
      <c r="N92" s="65"/>
      <c r="O92" s="65"/>
      <c r="P92" s="1"/>
      <c r="Q92" s="1"/>
      <c r="R92" s="1"/>
      <c r="S92" s="1"/>
      <c r="T92" s="65"/>
      <c r="U92" s="65"/>
      <c r="V92" s="65"/>
      <c r="W92" s="1"/>
      <c r="X92" s="65"/>
      <c r="Y92" s="65"/>
      <c r="AD92">
        <v>938.49999999999898</v>
      </c>
      <c r="AE92">
        <v>1528079.0000018</v>
      </c>
      <c r="AG92">
        <v>933.49999999999898</v>
      </c>
      <c r="AH92">
        <v>39015.999999911401</v>
      </c>
    </row>
    <row r="93" spans="1:34">
      <c r="F93" s="65"/>
      <c r="G93" s="65"/>
      <c r="H93" s="65"/>
      <c r="I93" s="65"/>
      <c r="K93" s="65"/>
      <c r="L93" s="65"/>
      <c r="M93" s="1"/>
      <c r="N93" s="65"/>
      <c r="O93" s="65"/>
      <c r="P93" s="1"/>
      <c r="Q93" s="1"/>
      <c r="R93" s="1"/>
      <c r="S93" s="1"/>
      <c r="T93" s="65"/>
      <c r="U93" s="65"/>
      <c r="V93" s="65"/>
      <c r="W93" s="1"/>
      <c r="X93" s="65"/>
      <c r="Y93" s="65"/>
      <c r="AD93">
        <v>938.99999999999898</v>
      </c>
      <c r="AE93">
        <v>1548198.0000021099</v>
      </c>
      <c r="AG93">
        <v>933.99999999999898</v>
      </c>
      <c r="AH93">
        <v>39133.000000054497</v>
      </c>
    </row>
    <row r="94" spans="1:34">
      <c r="A94" s="73"/>
      <c r="B94" s="73"/>
      <c r="C94" s="73"/>
      <c r="D94" s="73"/>
      <c r="E94" s="73"/>
      <c r="F94" s="65"/>
      <c r="G94" s="65"/>
      <c r="H94" s="65"/>
      <c r="I94" s="65"/>
      <c r="K94" s="65"/>
      <c r="L94" s="65"/>
      <c r="M94" s="1"/>
      <c r="N94" s="65"/>
      <c r="O94" s="65"/>
      <c r="P94" s="1"/>
      <c r="Q94" s="1"/>
      <c r="R94" s="1"/>
      <c r="S94" s="1"/>
      <c r="T94" s="65"/>
      <c r="U94" s="65"/>
      <c r="V94" s="65"/>
      <c r="W94" s="1"/>
      <c r="X94" s="65"/>
      <c r="Y94" s="65"/>
      <c r="AD94">
        <v>939.49999999999898</v>
      </c>
      <c r="AE94">
        <v>1568373.99999858</v>
      </c>
      <c r="AG94">
        <v>934.49999999999898</v>
      </c>
      <c r="AH94">
        <v>39249.000000054897</v>
      </c>
    </row>
    <row r="95" spans="1:34">
      <c r="F95" s="1"/>
      <c r="G95" s="1"/>
      <c r="H95" s="1"/>
      <c r="I95" s="1"/>
      <c r="K95" s="1"/>
      <c r="L95" s="1"/>
      <c r="M95" s="1"/>
      <c r="N95" s="1"/>
      <c r="O95" s="1"/>
      <c r="P95" s="1"/>
      <c r="Q95" s="1"/>
      <c r="R95" s="1"/>
      <c r="S95" s="1"/>
      <c r="T95" s="1"/>
      <c r="U95" s="1"/>
      <c r="V95" s="1"/>
      <c r="W95" s="1"/>
      <c r="X95" s="1"/>
      <c r="Y95" s="1"/>
      <c r="AD95">
        <v>939.99999999999898</v>
      </c>
      <c r="AE95">
        <v>1588607.99999782</v>
      </c>
      <c r="AG95">
        <v>934.99999999999898</v>
      </c>
      <c r="AH95">
        <v>39365.000000055297</v>
      </c>
    </row>
    <row r="96" spans="1:34">
      <c r="F96" s="1"/>
      <c r="G96" s="1"/>
      <c r="H96" s="1"/>
      <c r="I96" s="1"/>
      <c r="K96" s="1"/>
      <c r="L96" s="1"/>
      <c r="M96" s="1"/>
      <c r="N96" s="1"/>
      <c r="O96" s="1"/>
      <c r="P96" s="1"/>
      <c r="Q96" s="1"/>
      <c r="R96" s="1"/>
      <c r="S96" s="1"/>
      <c r="T96" s="1"/>
      <c r="U96" s="1"/>
      <c r="V96" s="1"/>
      <c r="W96" s="1"/>
      <c r="X96" s="65"/>
      <c r="Y96" s="65"/>
      <c r="AD96">
        <v>940.49999999999898</v>
      </c>
      <c r="AE96">
        <v>1608899.99999983</v>
      </c>
      <c r="AG96">
        <v>935.49999999999898</v>
      </c>
      <c r="AH96">
        <v>39481.000000055697</v>
      </c>
    </row>
    <row r="97" spans="1:34">
      <c r="F97" s="86"/>
      <c r="G97" s="86"/>
      <c r="H97" s="86"/>
      <c r="I97" s="86"/>
      <c r="K97" s="86"/>
      <c r="L97" s="86"/>
      <c r="M97" s="86"/>
      <c r="N97" s="86"/>
      <c r="O97" s="86"/>
      <c r="P97" s="86"/>
      <c r="Q97" s="86"/>
      <c r="R97" s="86"/>
      <c r="S97" s="86"/>
      <c r="T97" s="86"/>
      <c r="U97" s="86"/>
      <c r="V97" s="86"/>
      <c r="W97" s="86"/>
      <c r="X97" s="86"/>
      <c r="Y97" s="86"/>
      <c r="AD97">
        <v>940.99999999999898</v>
      </c>
      <c r="AE97">
        <v>1629251.0000031299</v>
      </c>
      <c r="AG97">
        <v>935.99999999999898</v>
      </c>
      <c r="AH97">
        <v>39597.000000056098</v>
      </c>
    </row>
    <row r="98" spans="1:34">
      <c r="F98" s="86"/>
      <c r="G98" s="86"/>
      <c r="H98" s="86"/>
      <c r="I98" s="86"/>
      <c r="K98" s="86"/>
      <c r="L98" s="86"/>
      <c r="M98" s="86"/>
      <c r="N98" s="86"/>
      <c r="O98" s="86"/>
      <c r="P98" s="86"/>
      <c r="Q98" s="86"/>
      <c r="R98" s="86"/>
      <c r="S98" s="86"/>
      <c r="T98" s="86"/>
      <c r="U98" s="86"/>
      <c r="V98" s="86"/>
      <c r="W98" s="86"/>
      <c r="X98" s="86"/>
      <c r="Y98" s="86"/>
      <c r="AD98">
        <v>941.49999999999898</v>
      </c>
      <c r="AE98">
        <v>1649660.99999961</v>
      </c>
      <c r="AG98">
        <v>936.49999999999898</v>
      </c>
      <c r="AH98">
        <v>39713.000000056498</v>
      </c>
    </row>
    <row r="99" spans="1:34">
      <c r="F99" s="86"/>
      <c r="G99" s="86"/>
      <c r="H99" s="86"/>
      <c r="I99" s="86"/>
      <c r="K99" s="86"/>
      <c r="L99" s="86"/>
      <c r="M99" s="86"/>
      <c r="N99" s="86"/>
      <c r="O99" s="86"/>
      <c r="P99" s="86"/>
      <c r="Q99" s="86"/>
      <c r="R99" s="86"/>
      <c r="S99" s="86"/>
      <c r="T99" s="86"/>
      <c r="U99" s="86"/>
      <c r="V99" s="86"/>
      <c r="W99" s="86"/>
      <c r="X99" s="86"/>
      <c r="Y99" s="86"/>
      <c r="AD99">
        <v>941.99999999999898</v>
      </c>
      <c r="AE99">
        <v>1670129.9999973699</v>
      </c>
      <c r="AG99">
        <v>936.99999999999898</v>
      </c>
      <c r="AH99">
        <v>39829.999999952503</v>
      </c>
    </row>
    <row r="100" spans="1:34">
      <c r="F100" s="86"/>
      <c r="G100" s="86"/>
      <c r="H100" s="86"/>
      <c r="I100" s="86"/>
      <c r="K100" s="86"/>
      <c r="L100" s="86"/>
      <c r="M100" s="86"/>
      <c r="N100" s="86"/>
      <c r="O100" s="86"/>
      <c r="P100" s="86"/>
      <c r="Q100" s="86"/>
      <c r="R100" s="86"/>
      <c r="S100" s="86"/>
      <c r="T100" s="86"/>
      <c r="U100" s="86"/>
      <c r="V100" s="86"/>
      <c r="W100" s="86"/>
      <c r="X100" s="86"/>
      <c r="Y100" s="86"/>
      <c r="AD100">
        <v>942.49999999999898</v>
      </c>
      <c r="AE100">
        <v>1690655.9999994</v>
      </c>
      <c r="AG100">
        <v>937.49999999999898</v>
      </c>
      <c r="AH100">
        <v>39945.999999952903</v>
      </c>
    </row>
    <row r="101" spans="1:34">
      <c r="F101" s="86"/>
      <c r="G101" s="86"/>
      <c r="H101" s="86"/>
      <c r="I101" s="86"/>
      <c r="K101" s="86"/>
      <c r="L101" s="86"/>
      <c r="M101" s="86"/>
      <c r="N101" s="86"/>
      <c r="O101" s="86"/>
      <c r="P101" s="86"/>
      <c r="Q101" s="86"/>
      <c r="R101" s="86"/>
      <c r="S101" s="86"/>
      <c r="T101" s="86"/>
      <c r="U101" s="86"/>
      <c r="V101" s="86"/>
      <c r="W101" s="86"/>
      <c r="X101" s="86"/>
      <c r="Y101" s="86"/>
      <c r="AD101">
        <v>942.99999999999898</v>
      </c>
      <c r="AE101">
        <v>1711242.00000122</v>
      </c>
      <c r="AG101">
        <v>937.99999999999898</v>
      </c>
      <c r="AH101">
        <v>40061.999999953303</v>
      </c>
    </row>
    <row r="102" spans="1:34">
      <c r="A102" s="73"/>
      <c r="B102" s="73"/>
      <c r="C102" s="73"/>
      <c r="D102" s="73"/>
      <c r="E102" s="73"/>
      <c r="F102" s="86"/>
      <c r="G102" s="86"/>
      <c r="H102" s="86"/>
      <c r="I102" s="86"/>
      <c r="K102" s="86"/>
      <c r="L102" s="86"/>
      <c r="M102" s="86"/>
      <c r="N102" s="86"/>
      <c r="O102" s="86"/>
      <c r="P102" s="86"/>
      <c r="Q102" s="86"/>
      <c r="R102" s="86"/>
      <c r="S102" s="86"/>
      <c r="T102" s="86"/>
      <c r="U102" s="86"/>
      <c r="V102" s="86"/>
      <c r="W102" s="86"/>
      <c r="X102" s="86"/>
      <c r="Y102" s="86"/>
      <c r="AD102">
        <v>943.49999999999898</v>
      </c>
      <c r="AE102">
        <v>1731885.9999977101</v>
      </c>
      <c r="AG102">
        <v>938.49999999999898</v>
      </c>
      <c r="AH102">
        <v>40177.999999953703</v>
      </c>
    </row>
    <row r="103" spans="1:34">
      <c r="F103" s="65"/>
      <c r="G103" s="65"/>
      <c r="H103" s="65"/>
      <c r="I103" s="65"/>
      <c r="K103" s="65"/>
      <c r="L103" s="65"/>
      <c r="M103" s="1"/>
      <c r="N103" s="65"/>
      <c r="O103" s="65"/>
      <c r="P103" s="1"/>
      <c r="Q103" s="1"/>
      <c r="R103" s="1"/>
      <c r="S103" s="1"/>
      <c r="T103" s="1"/>
      <c r="U103" s="1"/>
      <c r="V103" s="65"/>
      <c r="W103" s="1"/>
      <c r="X103" s="1"/>
      <c r="Y103" s="1"/>
      <c r="AD103">
        <v>943.99999999999898</v>
      </c>
      <c r="AE103">
        <v>1752587.9999969699</v>
      </c>
      <c r="AG103">
        <v>938.99999999999898</v>
      </c>
      <c r="AH103">
        <v>40293.999999954103</v>
      </c>
    </row>
    <row r="104" spans="1:34">
      <c r="A104" s="73"/>
      <c r="B104" s="73"/>
      <c r="C104" s="73"/>
      <c r="D104" s="73"/>
      <c r="E104" s="73"/>
      <c r="F104" s="65"/>
      <c r="G104" s="65"/>
      <c r="H104" s="65"/>
      <c r="I104" s="65"/>
      <c r="K104" s="65"/>
      <c r="L104" s="65"/>
      <c r="M104" s="1"/>
      <c r="N104" s="65"/>
      <c r="O104" s="65"/>
      <c r="P104" s="1"/>
      <c r="Q104" s="1"/>
      <c r="R104" s="1"/>
      <c r="S104" s="1"/>
      <c r="T104" s="1"/>
      <c r="U104" s="1"/>
      <c r="V104" s="65"/>
      <c r="W104" s="1"/>
      <c r="X104" s="1"/>
      <c r="Y104" s="1"/>
      <c r="AD104">
        <v>944.49999999999898</v>
      </c>
      <c r="AE104">
        <v>1773348.9999975199</v>
      </c>
      <c r="AG104">
        <v>939.49999999999898</v>
      </c>
      <c r="AH104">
        <v>40409.999999954503</v>
      </c>
    </row>
    <row r="105" spans="1:34">
      <c r="F105" s="82"/>
      <c r="G105" s="82"/>
      <c r="H105" s="82"/>
      <c r="I105" s="82"/>
      <c r="K105" s="82"/>
      <c r="L105" s="82"/>
      <c r="M105" s="82"/>
      <c r="N105" s="82"/>
      <c r="O105" s="82"/>
      <c r="P105" s="82"/>
      <c r="Q105" s="82"/>
      <c r="R105" s="82"/>
      <c r="S105" s="82"/>
      <c r="T105" s="82"/>
      <c r="U105" s="82"/>
      <c r="V105" s="82"/>
      <c r="W105" s="82"/>
      <c r="X105" s="82"/>
      <c r="Y105" s="82"/>
      <c r="AD105">
        <v>944.99999999999898</v>
      </c>
      <c r="AE105">
        <v>1794168.9999993499</v>
      </c>
      <c r="AG105">
        <v>939.99999999999898</v>
      </c>
      <c r="AH105">
        <v>40527.0000000976</v>
      </c>
    </row>
    <row r="106" spans="1:34">
      <c r="F106" s="82"/>
      <c r="G106" s="82"/>
      <c r="H106" s="82"/>
      <c r="I106" s="82"/>
      <c r="K106" s="82"/>
      <c r="L106" s="82"/>
      <c r="M106" s="82"/>
      <c r="N106" s="82"/>
      <c r="O106" s="82"/>
      <c r="P106" s="82"/>
      <c r="Q106" s="82"/>
      <c r="R106" s="82"/>
      <c r="S106" s="82"/>
      <c r="T106" s="82"/>
      <c r="U106" s="82"/>
      <c r="V106" s="82"/>
      <c r="W106" s="82"/>
      <c r="X106" s="82"/>
      <c r="Y106" s="82"/>
      <c r="AD106">
        <v>945.49999999999898</v>
      </c>
      <c r="AE106">
        <v>1815047.00000396</v>
      </c>
      <c r="AG106">
        <v>940.49999999999898</v>
      </c>
      <c r="AH106">
        <v>40643.999999993597</v>
      </c>
    </row>
    <row r="107" spans="1:34">
      <c r="F107" s="82"/>
      <c r="G107" s="82"/>
      <c r="H107" s="82"/>
      <c r="I107" s="82"/>
      <c r="K107" s="82"/>
      <c r="L107" s="82"/>
      <c r="M107" s="82"/>
      <c r="N107" s="82"/>
      <c r="O107" s="82"/>
      <c r="P107" s="82"/>
      <c r="Q107" s="82"/>
      <c r="R107" s="82"/>
      <c r="S107" s="82"/>
      <c r="T107" s="82"/>
      <c r="U107" s="82"/>
      <c r="V107" s="82"/>
      <c r="W107" s="82"/>
      <c r="X107" s="82"/>
      <c r="Y107" s="82"/>
      <c r="AD107">
        <v>945.99999999999898</v>
      </c>
      <c r="AE107">
        <v>1835984.00000175</v>
      </c>
      <c r="AG107">
        <v>940.99999999999898</v>
      </c>
      <c r="AH107">
        <v>40760.999999889602</v>
      </c>
    </row>
    <row r="108" spans="1:34">
      <c r="F108" s="82"/>
      <c r="G108" s="82"/>
      <c r="H108" s="82"/>
      <c r="I108" s="82"/>
      <c r="K108" s="82"/>
      <c r="L108" s="82"/>
      <c r="M108" s="82"/>
      <c r="N108" s="82"/>
      <c r="O108" s="82"/>
      <c r="P108" s="82"/>
      <c r="Q108" s="82"/>
      <c r="R108" s="82"/>
      <c r="S108" s="82"/>
      <c r="T108" s="82"/>
      <c r="U108" s="82"/>
      <c r="V108" s="82"/>
      <c r="W108" s="82"/>
      <c r="X108" s="82"/>
      <c r="Y108" s="82"/>
      <c r="AD108">
        <v>946.49999999999898</v>
      </c>
      <c r="AE108">
        <v>1856979.0000022999</v>
      </c>
      <c r="AG108">
        <v>941.49999999999898</v>
      </c>
      <c r="AH108">
        <v>40878.0000000328</v>
      </c>
    </row>
    <row r="109" spans="1:34">
      <c r="F109" s="82"/>
      <c r="G109" s="82"/>
      <c r="H109" s="82"/>
      <c r="I109" s="82"/>
      <c r="K109" s="82"/>
      <c r="L109" s="82"/>
      <c r="M109" s="82"/>
      <c r="N109" s="82"/>
      <c r="O109" s="82"/>
      <c r="P109" s="82"/>
      <c r="Q109" s="82"/>
      <c r="R109" s="82"/>
      <c r="S109" s="82"/>
      <c r="T109" s="82"/>
      <c r="U109" s="82"/>
      <c r="V109" s="82"/>
      <c r="W109" s="82"/>
      <c r="X109" s="82"/>
      <c r="Y109" s="82"/>
      <c r="AD109">
        <v>946.99999999999898</v>
      </c>
      <c r="AE109">
        <v>1878032.99999604</v>
      </c>
      <c r="AG109">
        <v>941.99999999999898</v>
      </c>
      <c r="AH109">
        <v>40994.999999928797</v>
      </c>
    </row>
    <row r="110" spans="1:34">
      <c r="A110" s="73"/>
      <c r="B110" s="73"/>
      <c r="C110" s="73"/>
      <c r="D110" s="73"/>
      <c r="E110" s="73"/>
      <c r="F110" s="82"/>
      <c r="G110" s="82"/>
      <c r="H110" s="82"/>
      <c r="I110" s="82"/>
      <c r="K110" s="82"/>
      <c r="L110" s="82"/>
      <c r="M110" s="82"/>
      <c r="N110" s="82"/>
      <c r="O110" s="82"/>
      <c r="P110" s="82"/>
      <c r="Q110" s="82"/>
      <c r="R110" s="82"/>
      <c r="S110" s="82"/>
      <c r="T110" s="82"/>
      <c r="U110" s="82"/>
      <c r="V110" s="82"/>
      <c r="W110" s="82"/>
      <c r="X110" s="82"/>
      <c r="Y110" s="82"/>
      <c r="AD110">
        <v>947.49999999999898</v>
      </c>
      <c r="AE110">
        <v>1899145.0000006601</v>
      </c>
      <c r="AG110">
        <v>942.49999999999898</v>
      </c>
      <c r="AH110">
        <v>41112.000000071901</v>
      </c>
    </row>
    <row r="111" spans="1:34">
      <c r="F111" s="40"/>
      <c r="G111" s="40"/>
      <c r="H111" s="40"/>
      <c r="I111" s="40"/>
      <c r="K111" s="40"/>
      <c r="L111" s="40"/>
      <c r="N111" s="40"/>
      <c r="O111" s="40"/>
      <c r="V111" s="40"/>
      <c r="AD111">
        <v>947.99999999999898</v>
      </c>
      <c r="AE111">
        <v>1920315.9999984601</v>
      </c>
      <c r="AG111">
        <v>942.99999999999898</v>
      </c>
      <c r="AH111">
        <v>41228.999999967898</v>
      </c>
    </row>
    <row r="112" spans="1:34">
      <c r="A112" s="73"/>
      <c r="B112" s="73"/>
      <c r="C112" s="73"/>
      <c r="D112" s="73"/>
      <c r="E112" s="73"/>
      <c r="F112" s="40"/>
      <c r="G112" s="40"/>
      <c r="H112" s="40"/>
      <c r="I112" s="40"/>
      <c r="K112" s="40"/>
      <c r="L112" s="40"/>
      <c r="N112" s="40"/>
      <c r="O112" s="40"/>
      <c r="V112" s="40"/>
      <c r="AD112">
        <v>948.49999999999898</v>
      </c>
      <c r="AE112">
        <v>1941544.99999903</v>
      </c>
      <c r="AG112">
        <v>943.49999999999898</v>
      </c>
      <c r="AH112">
        <v>41346.000000111002</v>
      </c>
    </row>
    <row r="113" spans="1:34">
      <c r="F113" s="1"/>
      <c r="G113" s="82"/>
      <c r="H113" s="1"/>
      <c r="I113" s="1"/>
      <c r="K113" s="1"/>
      <c r="L113" s="1"/>
      <c r="N113" s="1"/>
      <c r="O113" s="40"/>
      <c r="T113" s="1"/>
      <c r="U113" s="1"/>
      <c r="V113" s="1"/>
      <c r="X113" s="82"/>
      <c r="Y113" s="82"/>
      <c r="AD113">
        <v>948.99999999999898</v>
      </c>
      <c r="AE113">
        <v>1962833.99999939</v>
      </c>
      <c r="AG113">
        <v>943.99999999999898</v>
      </c>
      <c r="AH113">
        <v>41463.000000007101</v>
      </c>
    </row>
    <row r="114" spans="1:34">
      <c r="F114" s="1"/>
      <c r="G114" s="1"/>
      <c r="H114" s="1"/>
      <c r="I114" s="1"/>
      <c r="K114" s="1"/>
      <c r="L114" s="1"/>
      <c r="N114" s="1"/>
      <c r="O114" s="40"/>
      <c r="T114" s="1"/>
      <c r="U114" s="1"/>
      <c r="V114" s="1"/>
      <c r="X114" s="82"/>
      <c r="Y114" s="82"/>
      <c r="AD114">
        <v>949.49999999999898</v>
      </c>
      <c r="AE114">
        <v>1984180.0000040201</v>
      </c>
      <c r="AG114">
        <v>944.49999999999898</v>
      </c>
      <c r="AH114">
        <v>41581.000000045802</v>
      </c>
    </row>
    <row r="115" spans="1:34">
      <c r="F115" s="1"/>
      <c r="G115" s="1"/>
      <c r="H115" s="1"/>
      <c r="I115" s="1"/>
      <c r="K115" s="1"/>
      <c r="L115" s="1"/>
      <c r="N115" s="82"/>
      <c r="T115" s="1"/>
      <c r="U115" s="1"/>
      <c r="V115" s="1"/>
      <c r="X115" s="82"/>
      <c r="Y115" s="82"/>
      <c r="AD115">
        <v>949.99999999999898</v>
      </c>
      <c r="AE115">
        <v>2005585.00000183</v>
      </c>
      <c r="AG115">
        <v>944.99999999999898</v>
      </c>
      <c r="AH115">
        <v>41697.9999999418</v>
      </c>
    </row>
    <row r="116" spans="1:34">
      <c r="F116" s="1"/>
      <c r="G116" s="1"/>
      <c r="H116" s="1"/>
      <c r="I116" s="1"/>
      <c r="K116" s="1"/>
      <c r="L116" s="1"/>
      <c r="N116" s="1"/>
      <c r="O116" s="40"/>
      <c r="T116" s="1"/>
      <c r="U116" s="1"/>
      <c r="V116" s="1"/>
      <c r="X116" s="82"/>
      <c r="Y116" s="82"/>
      <c r="AD116">
        <v>950.49999999999898</v>
      </c>
      <c r="AE116">
        <v>2027051.99999645</v>
      </c>
      <c r="AG116">
        <v>945.49999999999898</v>
      </c>
      <c r="AH116">
        <v>41815.000000084903</v>
      </c>
    </row>
    <row r="117" spans="1:34">
      <c r="F117" s="1"/>
      <c r="G117" s="1"/>
      <c r="H117" s="1"/>
      <c r="I117" s="1"/>
      <c r="K117" s="1"/>
      <c r="L117" s="1"/>
      <c r="N117" s="1"/>
      <c r="T117" s="1"/>
      <c r="U117" s="1"/>
      <c r="V117" s="1"/>
      <c r="X117" s="82"/>
      <c r="Y117" s="82"/>
      <c r="AD117">
        <v>950.99999999999898</v>
      </c>
      <c r="AE117">
        <v>2048583.99999963</v>
      </c>
      <c r="AG117">
        <v>945.99999999999898</v>
      </c>
      <c r="AH117">
        <v>41931.999999981002</v>
      </c>
    </row>
    <row r="118" spans="1:34">
      <c r="A118" s="73"/>
      <c r="B118" s="73"/>
      <c r="C118" s="73"/>
      <c r="D118" s="73"/>
      <c r="E118" s="73"/>
      <c r="F118" s="82"/>
      <c r="G118" s="82"/>
      <c r="H118" s="82"/>
      <c r="I118" s="82"/>
      <c r="K118" s="82"/>
      <c r="L118" s="82"/>
      <c r="N118" s="82"/>
      <c r="T118" s="82"/>
      <c r="U118" s="82"/>
      <c r="V118" s="82"/>
      <c r="X118" s="82"/>
      <c r="Y118" s="82"/>
      <c r="AD118">
        <v>951.49999999999898</v>
      </c>
      <c r="AE118">
        <v>2070179.99999665</v>
      </c>
      <c r="AG118">
        <v>946.49999999999898</v>
      </c>
      <c r="AH118">
        <v>42048.999999877</v>
      </c>
    </row>
    <row r="119" spans="1:34">
      <c r="F119" s="40"/>
      <c r="G119" s="40"/>
      <c r="H119" s="40"/>
      <c r="I119" s="40"/>
      <c r="AD119">
        <v>951.99999999999898</v>
      </c>
      <c r="AE119">
        <v>2091842.0000007399</v>
      </c>
      <c r="AG119">
        <v>946.99999999999898</v>
      </c>
      <c r="AH119">
        <v>42166.000000020103</v>
      </c>
    </row>
    <row r="120" spans="1:34">
      <c r="A120" s="73"/>
      <c r="B120" s="73"/>
      <c r="C120" s="73"/>
      <c r="D120" s="73"/>
      <c r="E120" s="73"/>
      <c r="AD120">
        <v>952.49999999999898</v>
      </c>
      <c r="AE120">
        <v>2113567.9999986701</v>
      </c>
      <c r="AG120">
        <v>947.49999999999898</v>
      </c>
      <c r="AH120">
        <v>42282.999999916101</v>
      </c>
    </row>
    <row r="121" spans="1:34">
      <c r="F121" s="82"/>
      <c r="G121" s="82"/>
      <c r="H121" s="82"/>
      <c r="I121" s="82"/>
      <c r="K121" s="82"/>
      <c r="L121" s="82"/>
      <c r="N121" s="82"/>
      <c r="T121" s="82"/>
      <c r="U121" s="82"/>
      <c r="V121" s="82"/>
      <c r="X121" s="82"/>
      <c r="Y121" s="82"/>
      <c r="AD121">
        <v>952.99999999999898</v>
      </c>
      <c r="AE121">
        <v>2135357.9999985402</v>
      </c>
      <c r="AG121">
        <v>947.99999999999898</v>
      </c>
      <c r="AH121">
        <v>42400.000000059197</v>
      </c>
    </row>
    <row r="122" spans="1:34">
      <c r="F122" s="82"/>
      <c r="G122" s="82"/>
      <c r="H122" s="82"/>
      <c r="I122" s="82"/>
      <c r="K122" s="82"/>
      <c r="L122" s="82"/>
      <c r="N122" s="82"/>
      <c r="T122" s="82"/>
      <c r="U122" s="82"/>
      <c r="V122" s="82"/>
      <c r="X122" s="82"/>
      <c r="Y122" s="82"/>
      <c r="AD122">
        <v>953.49999999999898</v>
      </c>
      <c r="AE122">
        <v>2157213.9999973802</v>
      </c>
      <c r="AG122">
        <v>948.49999999999898</v>
      </c>
      <c r="AH122">
        <v>42518.000000098</v>
      </c>
    </row>
    <row r="123" spans="1:34">
      <c r="F123" s="82"/>
      <c r="G123" s="82"/>
      <c r="H123" s="82"/>
      <c r="I123" s="82"/>
      <c r="K123" s="82"/>
      <c r="L123" s="82"/>
      <c r="N123" s="82"/>
      <c r="T123" s="82"/>
      <c r="U123" s="82"/>
      <c r="V123" s="82"/>
      <c r="X123" s="82"/>
      <c r="Y123" s="82"/>
      <c r="AD123">
        <v>953.99999999999898</v>
      </c>
      <c r="AE123">
        <v>2179134.9999966598</v>
      </c>
      <c r="AG123">
        <v>948.99999999999898</v>
      </c>
      <c r="AH123">
        <v>42634.999999993997</v>
      </c>
    </row>
    <row r="124" spans="1:34">
      <c r="F124" s="82"/>
      <c r="G124" s="82"/>
      <c r="H124" s="82"/>
      <c r="I124" s="82"/>
      <c r="K124" s="82"/>
      <c r="L124" s="82"/>
      <c r="N124" s="82"/>
      <c r="T124" s="82"/>
      <c r="U124" s="82"/>
      <c r="V124" s="82"/>
      <c r="X124" s="82"/>
      <c r="Y124" s="82"/>
      <c r="AD124">
        <v>954.49999999999898</v>
      </c>
      <c r="AE124">
        <v>2201119.9999978901</v>
      </c>
      <c r="AG124">
        <v>949.49999999999898</v>
      </c>
      <c r="AH124">
        <v>42751.999999890002</v>
      </c>
    </row>
    <row r="125" spans="1:34">
      <c r="F125" s="82"/>
      <c r="G125" s="82"/>
      <c r="H125" s="82"/>
      <c r="I125" s="82"/>
      <c r="K125" s="82"/>
      <c r="L125" s="82"/>
      <c r="N125" s="82"/>
      <c r="T125" s="82"/>
      <c r="U125" s="82"/>
      <c r="V125" s="82"/>
      <c r="X125" s="82"/>
      <c r="Y125" s="82"/>
      <c r="AD125">
        <v>954.99999999999898</v>
      </c>
      <c r="AE125">
        <v>2223169.99999958</v>
      </c>
      <c r="AG125">
        <v>949.99999999999898</v>
      </c>
      <c r="AH125">
        <v>42869.000000033098</v>
      </c>
    </row>
    <row r="126" spans="1:34">
      <c r="A126" s="73"/>
      <c r="B126" s="73"/>
      <c r="C126" s="73"/>
      <c r="D126" s="73"/>
      <c r="E126" s="73"/>
      <c r="F126" s="82"/>
      <c r="G126" s="82"/>
      <c r="H126" s="82"/>
      <c r="I126" s="82"/>
      <c r="K126" s="82"/>
      <c r="L126" s="82"/>
      <c r="N126" s="82"/>
      <c r="T126" s="82"/>
      <c r="U126" s="82"/>
      <c r="V126" s="82"/>
      <c r="X126" s="82"/>
      <c r="Y126" s="82"/>
      <c r="AD126">
        <v>955.49999999999898</v>
      </c>
      <c r="AE126">
        <v>2245285.0000017099</v>
      </c>
      <c r="AG126">
        <v>950.49999999999898</v>
      </c>
      <c r="AH126">
        <v>42999.000000054897</v>
      </c>
    </row>
    <row r="127" spans="1:34">
      <c r="AD127">
        <v>955.99999999999898</v>
      </c>
      <c r="AE127">
        <v>2267463.9999976899</v>
      </c>
      <c r="AG127">
        <v>950.99999999999898</v>
      </c>
      <c r="AH127">
        <v>43127.999999933898</v>
      </c>
    </row>
    <row r="128" spans="1:34">
      <c r="AD128">
        <v>956.49999999999898</v>
      </c>
      <c r="AE128">
        <v>2289709.0000007302</v>
      </c>
      <c r="AG128">
        <v>951.49999999999898</v>
      </c>
      <c r="AH128">
        <v>43257.999999955697</v>
      </c>
    </row>
    <row r="129" spans="30:34">
      <c r="AD129">
        <v>956.99999999999898</v>
      </c>
      <c r="AE129">
        <v>2312017.9999976102</v>
      </c>
      <c r="AG129">
        <v>951.99999999999898</v>
      </c>
      <c r="AH129">
        <v>43387.000000081804</v>
      </c>
    </row>
    <row r="130" spans="30:34">
      <c r="AD130">
        <v>957.49999999999898</v>
      </c>
      <c r="AE130">
        <v>2334392.0000030501</v>
      </c>
      <c r="AG130">
        <v>952.49999999999898</v>
      </c>
      <c r="AH130">
        <v>43517.0000001035</v>
      </c>
    </row>
    <row r="131" spans="30:34">
      <c r="AD131">
        <v>957.99999999999898</v>
      </c>
      <c r="AE131">
        <v>2356831.0000008401</v>
      </c>
      <c r="AG131">
        <v>952.99999999999898</v>
      </c>
      <c r="AH131">
        <v>43646.9999998782</v>
      </c>
    </row>
    <row r="132" spans="30:34">
      <c r="AD132">
        <v>958.49999999999898</v>
      </c>
      <c r="AE132">
        <v>2379334.9999990799</v>
      </c>
      <c r="AG132">
        <v>953.49999999999898</v>
      </c>
      <c r="AH132">
        <v>43776.0000000043</v>
      </c>
    </row>
    <row r="133" spans="30:34">
      <c r="AD133">
        <v>958.99999999999898</v>
      </c>
      <c r="AE133">
        <v>2401902.9999992698</v>
      </c>
      <c r="AG133">
        <v>953.99999999999898</v>
      </c>
      <c r="AH133">
        <v>43906.000000025997</v>
      </c>
    </row>
    <row r="134" spans="30:34">
      <c r="AD134">
        <v>959.49999999999898</v>
      </c>
      <c r="AE134">
        <v>2424535.9999999101</v>
      </c>
      <c r="AG134">
        <v>954.49999999999898</v>
      </c>
      <c r="AH134">
        <v>44034.999999904998</v>
      </c>
    </row>
    <row r="135" spans="30:34">
      <c r="AD135">
        <v>959.99999999999898</v>
      </c>
      <c r="AE135">
        <v>2447234.9999995101</v>
      </c>
      <c r="AG135">
        <v>954.99999999999898</v>
      </c>
      <c r="AH135">
        <v>44164.999999926797</v>
      </c>
    </row>
    <row r="136" spans="30:34">
      <c r="AD136">
        <v>960.49999999999898</v>
      </c>
      <c r="AE136">
        <v>2469994.99999741</v>
      </c>
      <c r="AG136">
        <v>955.49999999999898</v>
      </c>
      <c r="AH136">
        <v>44294.999999948501</v>
      </c>
    </row>
    <row r="137" spans="30:34">
      <c r="AD137">
        <v>960.99999999999898</v>
      </c>
      <c r="AE137">
        <v>2492815.00000322</v>
      </c>
      <c r="AG137">
        <v>955.99999999999898</v>
      </c>
      <c r="AH137">
        <v>44424.000000074702</v>
      </c>
    </row>
    <row r="138" spans="30:34">
      <c r="AD138">
        <v>961.49999999999898</v>
      </c>
      <c r="AE138">
        <v>2515695.0000007199</v>
      </c>
      <c r="AG138">
        <v>956.49999999999898</v>
      </c>
      <c r="AH138">
        <v>44554.000000096399</v>
      </c>
    </row>
    <row r="139" spans="30:34">
      <c r="AD139">
        <v>961.99999999999898</v>
      </c>
      <c r="AE139">
        <v>2538633.9999994999</v>
      </c>
      <c r="AG139">
        <v>956.99999999999898</v>
      </c>
      <c r="AH139">
        <v>44682.9999999754</v>
      </c>
    </row>
    <row r="140" spans="30:34">
      <c r="AD140">
        <v>962.49999999999898</v>
      </c>
      <c r="AE140">
        <v>2561632.9999980801</v>
      </c>
      <c r="AG140">
        <v>957.49999999999898</v>
      </c>
      <c r="AH140">
        <v>44812.999999997199</v>
      </c>
    </row>
    <row r="141" spans="30:34">
      <c r="AD141">
        <v>962.99999999999898</v>
      </c>
      <c r="AE141">
        <v>2584690.9999979399</v>
      </c>
      <c r="AG141">
        <v>957.99999999999898</v>
      </c>
      <c r="AH141">
        <v>44943.000000018903</v>
      </c>
    </row>
    <row r="142" spans="30:34">
      <c r="AD142">
        <v>963.49999999999898</v>
      </c>
      <c r="AE142">
        <v>2607808.9999976</v>
      </c>
      <c r="AG142">
        <v>958.49999999999898</v>
      </c>
      <c r="AH142">
        <v>45071.999999897896</v>
      </c>
    </row>
    <row r="143" spans="30:34">
      <c r="AD143">
        <v>963.99999999999898</v>
      </c>
      <c r="AE143">
        <v>2630986.99999705</v>
      </c>
      <c r="AG143">
        <v>958.99999999999898</v>
      </c>
      <c r="AH143">
        <v>45201.999999919703</v>
      </c>
    </row>
    <row r="144" spans="30:34">
      <c r="AD144">
        <v>964.49999999999898</v>
      </c>
      <c r="AE144">
        <v>2654224.9999962999</v>
      </c>
      <c r="AG144">
        <v>959.49999999999898</v>
      </c>
      <c r="AH144">
        <v>45331.000000045802</v>
      </c>
    </row>
    <row r="145" spans="30:34">
      <c r="AD145">
        <v>964.99999999999898</v>
      </c>
      <c r="AE145">
        <v>2677521.9999968298</v>
      </c>
      <c r="AG145">
        <v>959.99999999999898</v>
      </c>
      <c r="AH145">
        <v>45461.000000067499</v>
      </c>
    </row>
    <row r="146" spans="30:34">
      <c r="AD146">
        <v>965.49999999999898</v>
      </c>
      <c r="AE146">
        <v>2700877.9999986398</v>
      </c>
      <c r="AG146">
        <v>960.49999999999898</v>
      </c>
      <c r="AH146">
        <v>45580.000000001899</v>
      </c>
    </row>
    <row r="147" spans="30:34">
      <c r="AD147">
        <v>965.99999999999898</v>
      </c>
      <c r="AE147">
        <v>2724294.9999987702</v>
      </c>
      <c r="AG147">
        <v>960.99999999999898</v>
      </c>
      <c r="AH147">
        <v>45700.000000079002</v>
      </c>
    </row>
    <row r="148" spans="30:34">
      <c r="AD148">
        <v>966.49999999999898</v>
      </c>
      <c r="AE148">
        <v>2747771.00000017</v>
      </c>
      <c r="AG148">
        <v>961.49999999999898</v>
      </c>
      <c r="AH148">
        <v>45819.000000013402</v>
      </c>
    </row>
    <row r="149" spans="30:34">
      <c r="AD149">
        <v>966.99999999999898</v>
      </c>
      <c r="AE149">
        <v>2771306.0000028601</v>
      </c>
      <c r="AG149">
        <v>961.99999999999898</v>
      </c>
      <c r="AH149">
        <v>45937.9999999477</v>
      </c>
    </row>
    <row r="150" spans="30:34">
      <c r="AD150">
        <v>967.49999999999898</v>
      </c>
      <c r="AE150">
        <v>2794900.99999724</v>
      </c>
      <c r="AG150">
        <v>962.49999999999898</v>
      </c>
      <c r="AH150">
        <v>46056.9999998821</v>
      </c>
    </row>
    <row r="151" spans="30:34">
      <c r="AD151">
        <v>967.99999999999898</v>
      </c>
      <c r="AE151">
        <v>2818555.9999995199</v>
      </c>
      <c r="AG151">
        <v>962.99999999999898</v>
      </c>
      <c r="AH151">
        <v>46176.999999959196</v>
      </c>
    </row>
    <row r="152" spans="30:34">
      <c r="AD152">
        <v>968.49999999999898</v>
      </c>
      <c r="AE152">
        <v>2842271.0000016</v>
      </c>
      <c r="AG152">
        <v>963.49999999999898</v>
      </c>
      <c r="AH152">
        <v>46295.999999893596</v>
      </c>
    </row>
    <row r="153" spans="30:34">
      <c r="AD153">
        <v>968.99999999999898</v>
      </c>
      <c r="AE153">
        <v>2866046.0000034701</v>
      </c>
      <c r="AG153">
        <v>963.99999999999898</v>
      </c>
      <c r="AH153">
        <v>46415.000000075102</v>
      </c>
    </row>
    <row r="154" spans="30:34">
      <c r="AD154">
        <v>969.49999999999898</v>
      </c>
      <c r="AE154">
        <v>2889878.0000014999</v>
      </c>
      <c r="AG154">
        <v>964.49999999999898</v>
      </c>
      <c r="AH154">
        <v>46534.000000009401</v>
      </c>
    </row>
    <row r="155" spans="30:34">
      <c r="AD155">
        <v>969.99999999999898</v>
      </c>
      <c r="AE155">
        <v>2913771.9999963399</v>
      </c>
      <c r="AG155">
        <v>964.99999999999898</v>
      </c>
      <c r="AH155">
        <v>46654.000000086497</v>
      </c>
    </row>
    <row r="156" spans="30:34">
      <c r="AD156">
        <v>970.49999999999898</v>
      </c>
      <c r="AE156">
        <v>2937729.0000027199</v>
      </c>
      <c r="AG156">
        <v>965.49999999999898</v>
      </c>
      <c r="AH156">
        <v>46773.000000020897</v>
      </c>
    </row>
    <row r="157" spans="30:34">
      <c r="AD157">
        <v>970.99999999999898</v>
      </c>
      <c r="AE157">
        <v>2961752.9999984698</v>
      </c>
      <c r="AG157">
        <v>965.99999999999898</v>
      </c>
      <c r="AH157">
        <v>46891.999999955297</v>
      </c>
    </row>
    <row r="158" spans="30:34">
      <c r="AD158">
        <v>971.49999999999898</v>
      </c>
      <c r="AE158">
        <v>2985843.0000013001</v>
      </c>
      <c r="AG158">
        <v>966.49999999999898</v>
      </c>
      <c r="AH158">
        <v>47012.0000000324</v>
      </c>
    </row>
    <row r="159" spans="30:34">
      <c r="AD159">
        <v>971.99999999999898</v>
      </c>
      <c r="AE159">
        <v>3010001.0000001001</v>
      </c>
      <c r="AG159">
        <v>966.99999999999898</v>
      </c>
      <c r="AH159">
        <v>47130.999999966698</v>
      </c>
    </row>
    <row r="160" spans="30:34">
      <c r="AD160">
        <v>972.49999999999898</v>
      </c>
      <c r="AE160">
        <v>3034225.9999963799</v>
      </c>
      <c r="AG160">
        <v>967.49999999999898</v>
      </c>
      <c r="AH160">
        <v>47249.999999901098</v>
      </c>
    </row>
    <row r="161" spans="30:34">
      <c r="AD161">
        <v>972.99999999999898</v>
      </c>
      <c r="AE161">
        <v>3058516.9999997299</v>
      </c>
      <c r="AG161">
        <v>967.99999999999898</v>
      </c>
      <c r="AH161">
        <v>47369.000000082597</v>
      </c>
    </row>
    <row r="162" spans="30:34">
      <c r="AD162">
        <v>973.49999999999898</v>
      </c>
      <c r="AE162">
        <v>3082875.9999990701</v>
      </c>
      <c r="AG162">
        <v>968.49999999999898</v>
      </c>
      <c r="AH162">
        <v>47488.999999912601</v>
      </c>
    </row>
    <row r="163" spans="30:34">
      <c r="AD163">
        <v>973.99999999999898</v>
      </c>
      <c r="AE163">
        <v>3107300.9999973699</v>
      </c>
      <c r="AG163">
        <v>968.99999999999898</v>
      </c>
      <c r="AH163">
        <v>47608.000000093998</v>
      </c>
    </row>
    <row r="164" spans="30:34">
      <c r="AD164">
        <v>974.49999999999898</v>
      </c>
      <c r="AE164">
        <v>3131793.9999997602</v>
      </c>
      <c r="AG164">
        <v>969.49999999999898</v>
      </c>
      <c r="AH164">
        <v>47727.000000028398</v>
      </c>
    </row>
    <row r="165" spans="30:34">
      <c r="AD165">
        <v>974.99999999999898</v>
      </c>
      <c r="AE165">
        <v>3156353.0000011101</v>
      </c>
      <c r="AG165">
        <v>969.99999999999898</v>
      </c>
      <c r="AH165">
        <v>47847.000000105501</v>
      </c>
    </row>
    <row r="166" spans="30:34">
      <c r="AD166">
        <v>975.49999999999898</v>
      </c>
      <c r="AE166">
        <v>3180978.9999999399</v>
      </c>
      <c r="AG166">
        <v>970.49999999999898</v>
      </c>
      <c r="AH166">
        <v>47980.999999956803</v>
      </c>
    </row>
    <row r="167" spans="30:34">
      <c r="AD167">
        <v>975.99999999999898</v>
      </c>
      <c r="AE167">
        <v>3205673.0000028601</v>
      </c>
      <c r="AG167">
        <v>970.99999999999898</v>
      </c>
      <c r="AH167">
        <v>48113.999999912601</v>
      </c>
    </row>
    <row r="168" spans="30:34">
      <c r="AD168">
        <v>976.49999999999898</v>
      </c>
      <c r="AE168">
        <v>3230432.9999966398</v>
      </c>
      <c r="AG168">
        <v>971.49999999999898</v>
      </c>
      <c r="AH168">
        <v>48248.000000011001</v>
      </c>
    </row>
    <row r="169" spans="30:34">
      <c r="AD169">
        <v>976.99999999999898</v>
      </c>
      <c r="AE169">
        <v>3255259.9999959902</v>
      </c>
      <c r="AG169">
        <v>971.99999999999898</v>
      </c>
      <c r="AH169">
        <v>48382.000000109401</v>
      </c>
    </row>
    <row r="170" spans="30:34">
      <c r="AD170">
        <v>977.49999999999898</v>
      </c>
      <c r="AE170">
        <v>3280154.0000009299</v>
      </c>
      <c r="AG170">
        <v>972.49999999999898</v>
      </c>
      <c r="AH170">
        <v>48515.999999960797</v>
      </c>
    </row>
    <row r="171" spans="30:34">
      <c r="AD171">
        <v>977.99999999999898</v>
      </c>
      <c r="AE171">
        <v>3305115.0000033402</v>
      </c>
      <c r="AG171">
        <v>972.99999999999898</v>
      </c>
      <c r="AH171">
        <v>48650.000000059197</v>
      </c>
    </row>
    <row r="172" spans="30:34">
      <c r="AD172">
        <v>978.49999999999898</v>
      </c>
      <c r="AE172">
        <v>3330143.0000032298</v>
      </c>
      <c r="AG172">
        <v>973.49999999999898</v>
      </c>
      <c r="AH172">
        <v>48783.9999999106</v>
      </c>
    </row>
    <row r="173" spans="30:34">
      <c r="AD173">
        <v>978.99999999999898</v>
      </c>
      <c r="AE173">
        <v>3355238.00000059</v>
      </c>
      <c r="AG173">
        <v>973.99999999999898</v>
      </c>
      <c r="AH173">
        <v>48918.000000009</v>
      </c>
    </row>
    <row r="174" spans="30:34">
      <c r="AD174">
        <v>979.49999999999898</v>
      </c>
      <c r="AE174">
        <v>3380401.0000020498</v>
      </c>
      <c r="AG174">
        <v>974.49999999999898</v>
      </c>
      <c r="AH174">
        <v>49052.000000107502</v>
      </c>
    </row>
    <row r="175" spans="30:34">
      <c r="AD175">
        <v>979.99999999999898</v>
      </c>
      <c r="AE175">
        <v>3405630.0000024601</v>
      </c>
      <c r="AG175">
        <v>974.99999999999898</v>
      </c>
      <c r="AH175">
        <v>49185.999999958804</v>
      </c>
    </row>
    <row r="176" spans="30:34">
      <c r="AD176">
        <v>980.49999999999898</v>
      </c>
      <c r="AE176">
        <v>3430929.0000039898</v>
      </c>
      <c r="AG176">
        <v>975.49999999999898</v>
      </c>
      <c r="AH176">
        <v>49320.000000057298</v>
      </c>
    </row>
    <row r="177" spans="30:34">
      <c r="AD177">
        <v>980.99999999999898</v>
      </c>
      <c r="AE177">
        <v>3456302.99999918</v>
      </c>
      <c r="AG177">
        <v>975.99999999999898</v>
      </c>
      <c r="AH177">
        <v>49453.999999908599</v>
      </c>
    </row>
    <row r="178" spans="30:34">
      <c r="AD178">
        <v>981.49999999999898</v>
      </c>
      <c r="AE178">
        <v>3481753.00000276</v>
      </c>
      <c r="AG178">
        <v>976.49999999999898</v>
      </c>
      <c r="AH178">
        <v>49587.000000111402</v>
      </c>
    </row>
    <row r="179" spans="30:34">
      <c r="AD179">
        <v>981.99999999999898</v>
      </c>
      <c r="AE179">
        <v>3507278</v>
      </c>
      <c r="AG179">
        <v>976.99999999999898</v>
      </c>
      <c r="AH179">
        <v>49720.999999962798</v>
      </c>
    </row>
    <row r="180" spans="30:34">
      <c r="AD180">
        <v>982.49999999999898</v>
      </c>
      <c r="AE180">
        <v>3532877.0000005099</v>
      </c>
      <c r="AG180">
        <v>977.49999999999898</v>
      </c>
      <c r="AH180">
        <v>49855.000000061198</v>
      </c>
    </row>
    <row r="181" spans="30:34">
      <c r="AD181">
        <v>982.99999999999898</v>
      </c>
      <c r="AE181">
        <v>3558549.9999961602</v>
      </c>
      <c r="AG181">
        <v>977.99999999999898</v>
      </c>
      <c r="AH181">
        <v>49988.999999912601</v>
      </c>
    </row>
    <row r="182" spans="30:34">
      <c r="AD182">
        <v>983.49999999999898</v>
      </c>
      <c r="AE182">
        <v>3584299.00000021</v>
      </c>
      <c r="AG182">
        <v>978.49999999999898</v>
      </c>
      <c r="AH182">
        <v>50123.000000011001</v>
      </c>
    </row>
    <row r="183" spans="30:34">
      <c r="AD183">
        <v>983.99999999999898</v>
      </c>
      <c r="AE183">
        <v>3610122.9999979199</v>
      </c>
      <c r="AG183">
        <v>978.99999999999898</v>
      </c>
      <c r="AH183">
        <v>50257.000000109401</v>
      </c>
    </row>
    <row r="184" spans="30:34">
      <c r="AD184">
        <v>984.49999999999898</v>
      </c>
      <c r="AE184">
        <v>3636020.9999988899</v>
      </c>
      <c r="AG184">
        <v>979.49999999999898</v>
      </c>
      <c r="AH184">
        <v>50390.999999960797</v>
      </c>
    </row>
    <row r="185" spans="30:34">
      <c r="AD185">
        <v>984.99999999999898</v>
      </c>
      <c r="AE185">
        <v>3661994.00000162</v>
      </c>
      <c r="AG185">
        <v>979.99999999999898</v>
      </c>
      <c r="AH185">
        <v>50525.000000059197</v>
      </c>
    </row>
    <row r="186" spans="30:34">
      <c r="AD186">
        <v>985.49999999999898</v>
      </c>
      <c r="AE186">
        <v>3688041.9999980298</v>
      </c>
      <c r="AG186">
        <v>980.49999999999898</v>
      </c>
      <c r="AH186">
        <v>50674.000000074702</v>
      </c>
    </row>
    <row r="187" spans="30:34">
      <c r="AD187">
        <v>985.99999999999898</v>
      </c>
      <c r="AE187">
        <v>3714164.9999962002</v>
      </c>
      <c r="AG187">
        <v>980.99999999999898</v>
      </c>
      <c r="AH187">
        <v>50823.999999985703</v>
      </c>
    </row>
    <row r="188" spans="30:34">
      <c r="AD188">
        <v>986.49999999999898</v>
      </c>
      <c r="AE188">
        <v>3740362.9999961401</v>
      </c>
      <c r="AG188">
        <v>981.49999999999898</v>
      </c>
      <c r="AH188">
        <v>50973.999999896703</v>
      </c>
    </row>
    <row r="189" spans="30:34">
      <c r="AD189">
        <v>986.99999999999898</v>
      </c>
      <c r="AE189">
        <v>3766634.9999993499</v>
      </c>
      <c r="AG189">
        <v>981.99999999999898</v>
      </c>
      <c r="AH189">
        <v>51122.999999912201</v>
      </c>
    </row>
    <row r="190" spans="30:34">
      <c r="AD190">
        <v>987.49999999999898</v>
      </c>
      <c r="AE190">
        <v>3792981.99999621</v>
      </c>
      <c r="AG190">
        <v>982.49999999999898</v>
      </c>
      <c r="AH190">
        <v>51273.0000000703</v>
      </c>
    </row>
    <row r="191" spans="30:34">
      <c r="AD191">
        <v>987.99999999999898</v>
      </c>
      <c r="AE191">
        <v>3819405.0000014701</v>
      </c>
      <c r="AG191">
        <v>982.99999999999898</v>
      </c>
      <c r="AH191">
        <v>51422.999999981301</v>
      </c>
    </row>
    <row r="192" spans="30:34">
      <c r="AD192">
        <v>988.49999999999898</v>
      </c>
      <c r="AE192">
        <v>3845902.0000018799</v>
      </c>
      <c r="AG192">
        <v>983.49999999999898</v>
      </c>
      <c r="AH192">
        <v>51571.999999996799</v>
      </c>
    </row>
    <row r="193" spans="30:34">
      <c r="AD193">
        <v>988.99999999999898</v>
      </c>
      <c r="AE193">
        <v>3872473.9999959501</v>
      </c>
      <c r="AG193">
        <v>983.99999999999898</v>
      </c>
      <c r="AH193">
        <v>51721.999999907799</v>
      </c>
    </row>
    <row r="194" spans="30:34">
      <c r="AD194">
        <v>989.49999999999898</v>
      </c>
      <c r="AE194">
        <v>3899120.00000139</v>
      </c>
      <c r="AG194">
        <v>984.49999999999898</v>
      </c>
      <c r="AH194">
        <v>51872.000000066</v>
      </c>
    </row>
    <row r="195" spans="30:34">
      <c r="AD195">
        <v>989.99999999999898</v>
      </c>
      <c r="AE195">
        <v>3925841.9999990002</v>
      </c>
      <c r="AG195">
        <v>984.99999999999898</v>
      </c>
      <c r="AH195">
        <v>52021.000000081403</v>
      </c>
    </row>
    <row r="196" spans="30:34">
      <c r="AD196">
        <v>990.49999999999898</v>
      </c>
      <c r="AE196">
        <v>3952636.0000028498</v>
      </c>
      <c r="AG196">
        <v>985.49999999999898</v>
      </c>
      <c r="AH196">
        <v>52170.999999992397</v>
      </c>
    </row>
    <row r="197" spans="30:34">
      <c r="AD197">
        <v>990.99999999999898</v>
      </c>
      <c r="AE197">
        <v>3979501.9999967301</v>
      </c>
      <c r="AG197">
        <v>985.99999999999898</v>
      </c>
      <c r="AH197">
        <v>52320.999999903499</v>
      </c>
    </row>
    <row r="198" spans="30:34">
      <c r="AD198">
        <v>991.49999999999898</v>
      </c>
      <c r="AE198">
        <v>4006439.9999968498</v>
      </c>
      <c r="AG198">
        <v>986.49999999999898</v>
      </c>
      <c r="AH198">
        <v>52469.999999918902</v>
      </c>
    </row>
    <row r="199" spans="30:34">
      <c r="AD199">
        <v>991.99999999999898</v>
      </c>
      <c r="AE199">
        <v>4033447.9999980801</v>
      </c>
      <c r="AG199">
        <v>986.99999999999898</v>
      </c>
      <c r="AH199">
        <v>52620.000000077001</v>
      </c>
    </row>
    <row r="200" spans="30:34">
      <c r="AD200">
        <v>992.49999999999898</v>
      </c>
      <c r="AE200">
        <v>4060527.9999974398</v>
      </c>
      <c r="AG200">
        <v>987.49999999999898</v>
      </c>
      <c r="AH200">
        <v>52769.000000092397</v>
      </c>
    </row>
    <row r="201" spans="30:34">
      <c r="AD201">
        <v>992.99999999999898</v>
      </c>
      <c r="AE201">
        <v>4087680.0000030398</v>
      </c>
      <c r="AG201">
        <v>987.99999999999898</v>
      </c>
      <c r="AH201">
        <v>52919.0000000035</v>
      </c>
    </row>
    <row r="202" spans="30:34">
      <c r="AD202">
        <v>993.49999999999898</v>
      </c>
      <c r="AE202">
        <v>4114903.0000001602</v>
      </c>
      <c r="AG202">
        <v>988.49999999999898</v>
      </c>
      <c r="AH202">
        <v>53068.9999999145</v>
      </c>
    </row>
    <row r="203" spans="30:34">
      <c r="AD203">
        <v>993.99999999999898</v>
      </c>
      <c r="AE203">
        <v>4142198.0000035102</v>
      </c>
      <c r="AG203">
        <v>988.99999999999898</v>
      </c>
      <c r="AH203">
        <v>53217.999999929903</v>
      </c>
    </row>
    <row r="204" spans="30:34">
      <c r="AD204">
        <v>994.49999999999898</v>
      </c>
      <c r="AE204">
        <v>4169562.9999998799</v>
      </c>
      <c r="AG204">
        <v>989.49999999999898</v>
      </c>
      <c r="AH204">
        <v>53368.000000088097</v>
      </c>
    </row>
    <row r="205" spans="30:34">
      <c r="AD205">
        <v>994.99999999999898</v>
      </c>
      <c r="AE205">
        <v>4197001.00000099</v>
      </c>
      <c r="AG205">
        <v>989.99999999999898</v>
      </c>
      <c r="AH205">
        <v>53517.999999999098</v>
      </c>
    </row>
    <row r="206" spans="30:34">
      <c r="AD206">
        <v>995.49999999999898</v>
      </c>
      <c r="AE206">
        <v>4224510.0000017202</v>
      </c>
      <c r="AG206">
        <v>990.49999999999898</v>
      </c>
      <c r="AH206">
        <v>53660.0000000039</v>
      </c>
    </row>
    <row r="207" spans="30:34">
      <c r="AD207">
        <v>995.99999999999898</v>
      </c>
      <c r="AE207">
        <v>4252089.0000035698</v>
      </c>
      <c r="AG207">
        <v>990.99999999999898</v>
      </c>
      <c r="AH207">
        <v>53802.999999904197</v>
      </c>
    </row>
    <row r="208" spans="30:34">
      <c r="AD208">
        <v>996.49999999999898</v>
      </c>
      <c r="AE208">
        <v>4279741.0000020601</v>
      </c>
      <c r="AG208">
        <v>991.49999999999898</v>
      </c>
      <c r="AH208">
        <v>53946.000000051703</v>
      </c>
    </row>
    <row r="209" spans="30:34">
      <c r="AD209">
        <v>996.99999999999898</v>
      </c>
      <c r="AE209">
        <v>4307464.0000001704</v>
      </c>
      <c r="AG209">
        <v>991.99999999999898</v>
      </c>
      <c r="AH209">
        <v>54088.999999952102</v>
      </c>
    </row>
    <row r="210" spans="30:34">
      <c r="AD210">
        <v>997.49999999999898</v>
      </c>
      <c r="AE210">
        <v>4335257.9999978999</v>
      </c>
      <c r="AG210">
        <v>992.49999999999898</v>
      </c>
      <c r="AH210">
        <v>54232.000000099601</v>
      </c>
    </row>
    <row r="211" spans="30:34">
      <c r="AD211">
        <v>997.99999999999898</v>
      </c>
      <c r="AE211">
        <v>4363125.00000038</v>
      </c>
      <c r="AG211">
        <v>992.99999999999898</v>
      </c>
      <c r="AH211">
        <v>54374.999999999898</v>
      </c>
    </row>
    <row r="212" spans="30:34">
      <c r="AD212">
        <v>998.49999999999898</v>
      </c>
      <c r="AE212">
        <v>4391060.9999973597</v>
      </c>
      <c r="AG212">
        <v>993.49999999999898</v>
      </c>
      <c r="AH212">
        <v>54517.0000000047</v>
      </c>
    </row>
    <row r="213" spans="30:34">
      <c r="AD213">
        <v>998.99999999999898</v>
      </c>
      <c r="AE213">
        <v>4419069.9999990901</v>
      </c>
      <c r="AG213">
        <v>993.99999999999898</v>
      </c>
      <c r="AH213">
        <v>54659.999999904998</v>
      </c>
    </row>
    <row r="214" spans="30:34">
      <c r="AD214">
        <v>999.49999999999898</v>
      </c>
      <c r="AE214">
        <v>4447150.0000004396</v>
      </c>
      <c r="AG214">
        <v>994.49999999999898</v>
      </c>
      <c r="AH214">
        <v>54803.000000052503</v>
      </c>
    </row>
    <row r="215" spans="30:34">
      <c r="AD215">
        <v>999.99999999999898</v>
      </c>
      <c r="AE215">
        <v>4475301.00000141</v>
      </c>
      <c r="AG215">
        <v>994.99999999999898</v>
      </c>
      <c r="AH215">
        <v>54945.999999952903</v>
      </c>
    </row>
    <row r="216" spans="30:34">
      <c r="AD216">
        <v>1000.5</v>
      </c>
      <c r="AE216">
        <v>4503526.9999960503</v>
      </c>
      <c r="AG216">
        <v>995.49999999999898</v>
      </c>
      <c r="AH216">
        <v>55089.000000100299</v>
      </c>
    </row>
    <row r="217" spans="30:34">
      <c r="AD217">
        <v>1001</v>
      </c>
      <c r="AE217">
        <v>4531829.9999975804</v>
      </c>
      <c r="AG217">
        <v>995.99999999999898</v>
      </c>
      <c r="AH217">
        <v>55232.000000000698</v>
      </c>
    </row>
    <row r="218" spans="30:34">
      <c r="AD218">
        <v>1001.5</v>
      </c>
      <c r="AE218">
        <v>4560212.0000030398</v>
      </c>
      <c r="AG218">
        <v>996.49999999999898</v>
      </c>
      <c r="AH218">
        <v>55374.000000005501</v>
      </c>
    </row>
    <row r="219" spans="30:34">
      <c r="AD219">
        <v>1002</v>
      </c>
      <c r="AE219">
        <v>4588670.0000006603</v>
      </c>
      <c r="AG219">
        <v>996.99999999999898</v>
      </c>
      <c r="AH219">
        <v>55516.999999905798</v>
      </c>
    </row>
    <row r="220" spans="30:34">
      <c r="AD220">
        <v>1002.5</v>
      </c>
      <c r="AE220">
        <v>4617206.0000037001</v>
      </c>
      <c r="AG220">
        <v>997.49999999999898</v>
      </c>
      <c r="AH220">
        <v>55660.000000053296</v>
      </c>
    </row>
    <row r="221" spans="30:34">
      <c r="AD221">
        <v>1003</v>
      </c>
      <c r="AE221">
        <v>4645820.0000040401</v>
      </c>
      <c r="AG221">
        <v>997.99999999999898</v>
      </c>
      <c r="AH221">
        <v>55802.999999953703</v>
      </c>
    </row>
    <row r="222" spans="30:34">
      <c r="AD222">
        <v>1003.5</v>
      </c>
      <c r="AE222">
        <v>4674511.00000316</v>
      </c>
      <c r="AG222">
        <v>998.49999999999898</v>
      </c>
      <c r="AH222">
        <v>55946.000000101099</v>
      </c>
    </row>
    <row r="223" spans="30:34">
      <c r="AD223">
        <v>1004</v>
      </c>
      <c r="AE223">
        <v>4703279.0000010803</v>
      </c>
      <c r="AG223">
        <v>998.99999999999898</v>
      </c>
      <c r="AH223">
        <v>56089.000000001499</v>
      </c>
    </row>
    <row r="224" spans="30:34">
      <c r="AD224">
        <v>1004.5</v>
      </c>
      <c r="AE224">
        <v>4732126.0000029197</v>
      </c>
      <c r="AG224">
        <v>999.49999999999898</v>
      </c>
      <c r="AH224">
        <v>56231.000000006301</v>
      </c>
    </row>
    <row r="225" spans="30:34">
      <c r="AD225">
        <v>1005</v>
      </c>
      <c r="AE225">
        <v>4761048.9999969304</v>
      </c>
      <c r="AG225">
        <v>999.99999999999898</v>
      </c>
      <c r="AH225">
        <v>56373.999999906599</v>
      </c>
    </row>
    <row r="226" spans="30:34">
      <c r="AD226">
        <v>1005.5</v>
      </c>
      <c r="AE226">
        <v>4790049.9999963501</v>
      </c>
      <c r="AG226">
        <v>1000.5</v>
      </c>
      <c r="AH226">
        <v>56529.0000000371</v>
      </c>
    </row>
    <row r="227" spans="30:34">
      <c r="AD227">
        <v>1006</v>
      </c>
      <c r="AE227">
        <v>4819129.00000118</v>
      </c>
      <c r="AG227">
        <v>1001</v>
      </c>
      <c r="AH227">
        <v>56683.999999920503</v>
      </c>
    </row>
    <row r="228" spans="30:34">
      <c r="AD228">
        <v>1006.5</v>
      </c>
      <c r="AE228">
        <v>4848286.0000033099</v>
      </c>
      <c r="AG228">
        <v>1001.5</v>
      </c>
      <c r="AH228">
        <v>56839.000000050903</v>
      </c>
    </row>
    <row r="229" spans="30:34">
      <c r="AD229">
        <v>1007</v>
      </c>
      <c r="AE229">
        <v>4877518.9999976102</v>
      </c>
      <c r="AG229">
        <v>1002</v>
      </c>
      <c r="AH229">
        <v>56995.000000077001</v>
      </c>
    </row>
    <row r="230" spans="30:34">
      <c r="AD230">
        <v>1007.5</v>
      </c>
      <c r="AE230">
        <v>4906831.0000039404</v>
      </c>
      <c r="AG230">
        <v>1002.5</v>
      </c>
      <c r="AH230">
        <v>57149.999999960397</v>
      </c>
    </row>
    <row r="231" spans="30:34">
      <c r="AD231">
        <v>1008</v>
      </c>
      <c r="AE231">
        <v>4936219.0000024401</v>
      </c>
      <c r="AG231">
        <v>1003</v>
      </c>
      <c r="AH231">
        <v>57305.000000090899</v>
      </c>
    </row>
    <row r="232" spans="30:34">
      <c r="AD232">
        <v>1008.5</v>
      </c>
      <c r="AE232">
        <v>4965685.9999967599</v>
      </c>
      <c r="AG232">
        <v>1003.5</v>
      </c>
      <c r="AH232">
        <v>57459.999999974199</v>
      </c>
    </row>
    <row r="233" spans="30:34">
      <c r="AD233">
        <v>1009</v>
      </c>
      <c r="AE233">
        <v>4995229.9999979697</v>
      </c>
      <c r="AG233">
        <v>1004</v>
      </c>
      <c r="AH233">
        <v>57615.000000104701</v>
      </c>
    </row>
    <row r="234" spans="30:34">
      <c r="AD234">
        <v>1009.5</v>
      </c>
      <c r="AE234">
        <v>5024850.99999798</v>
      </c>
      <c r="AG234">
        <v>1004.5</v>
      </c>
      <c r="AH234">
        <v>57769.999999988097</v>
      </c>
    </row>
    <row r="235" spans="30:34">
      <c r="AD235">
        <v>1010</v>
      </c>
      <c r="AE235">
        <v>5054550.00000339</v>
      </c>
      <c r="AG235">
        <v>1005</v>
      </c>
      <c r="AH235">
        <v>57925.000000118504</v>
      </c>
    </row>
    <row r="236" spans="30:34">
      <c r="AD236">
        <v>1010.5</v>
      </c>
      <c r="AE236">
        <v>5084325.9999994803</v>
      </c>
      <c r="AG236">
        <v>1005.5</v>
      </c>
      <c r="AH236">
        <v>58080.000000001899</v>
      </c>
    </row>
    <row r="237" spans="30:34">
      <c r="AD237">
        <v>1011</v>
      </c>
      <c r="AE237">
        <v>5114179.0000024801</v>
      </c>
      <c r="AG237">
        <v>1006</v>
      </c>
      <c r="AH237">
        <v>58234.999999885302</v>
      </c>
    </row>
    <row r="238" spans="30:34">
      <c r="AD238">
        <v>1011.5</v>
      </c>
      <c r="AE238">
        <v>5144106.9999991404</v>
      </c>
      <c r="AG238">
        <v>1006.5</v>
      </c>
      <c r="AH238">
        <v>58390.000000015702</v>
      </c>
    </row>
    <row r="239" spans="30:34">
      <c r="AD239">
        <v>1012</v>
      </c>
      <c r="AE239">
        <v>5174113.0000011995</v>
      </c>
      <c r="AG239">
        <v>1007</v>
      </c>
      <c r="AH239">
        <v>58544.999999899097</v>
      </c>
    </row>
    <row r="240" spans="30:34">
      <c r="AD240">
        <v>1012.5</v>
      </c>
      <c r="AE240">
        <v>5204193.9999969304</v>
      </c>
      <c r="AG240">
        <v>1007.5</v>
      </c>
      <c r="AH240">
        <v>58700.000000029599</v>
      </c>
    </row>
    <row r="241" spans="30:34">
      <c r="AD241">
        <v>1013</v>
      </c>
      <c r="AE241">
        <v>5234352.9999980703</v>
      </c>
      <c r="AG241">
        <v>1008</v>
      </c>
      <c r="AH241">
        <v>58854.9999999129</v>
      </c>
    </row>
    <row r="242" spans="30:34">
      <c r="AD242">
        <v>1013.5</v>
      </c>
      <c r="AE242">
        <v>5264587.0000009798</v>
      </c>
      <c r="AG242">
        <v>1008.5</v>
      </c>
      <c r="AH242">
        <v>59010.000000043401</v>
      </c>
    </row>
    <row r="243" spans="30:34">
      <c r="AD243">
        <v>1014</v>
      </c>
      <c r="AE243">
        <v>5294898.0000026803</v>
      </c>
      <c r="AG243">
        <v>1009</v>
      </c>
      <c r="AH243">
        <v>59164.999999926797</v>
      </c>
    </row>
    <row r="244" spans="30:34">
      <c r="AD244">
        <v>1014.5</v>
      </c>
      <c r="AE244">
        <v>5325286.0000031702</v>
      </c>
      <c r="AG244">
        <v>1009.5</v>
      </c>
      <c r="AH244">
        <v>59320.000000057204</v>
      </c>
    </row>
    <row r="245" spans="30:34">
      <c r="AD245">
        <v>1015</v>
      </c>
      <c r="AE245">
        <v>5355750.0000039404</v>
      </c>
      <c r="AG245">
        <v>1010</v>
      </c>
      <c r="AH245">
        <v>59474.999999940599</v>
      </c>
    </row>
    <row r="246" spans="30:34">
      <c r="AD246">
        <v>1015.5</v>
      </c>
      <c r="AE246">
        <v>5386289.9999968903</v>
      </c>
      <c r="AG246">
        <v>1010.5</v>
      </c>
      <c r="AH246">
        <v>59628.000000032698</v>
      </c>
    </row>
    <row r="247" spans="30:34">
      <c r="AD247">
        <v>1016</v>
      </c>
      <c r="AE247">
        <v>5416906.9999967301</v>
      </c>
      <c r="AG247">
        <v>1011</v>
      </c>
      <c r="AH247">
        <v>59780.999999877698</v>
      </c>
    </row>
    <row r="248" spans="30:34">
      <c r="AD248">
        <v>1016.5</v>
      </c>
      <c r="AE248">
        <v>5447599.9999968596</v>
      </c>
      <c r="AG248">
        <v>1011.5</v>
      </c>
      <c r="AH248">
        <v>59933.999999969899</v>
      </c>
    </row>
    <row r="249" spans="30:34">
      <c r="AD249">
        <v>1017</v>
      </c>
      <c r="AE249">
        <v>5478370.0000038799</v>
      </c>
      <c r="AG249">
        <v>1012</v>
      </c>
      <c r="AH249">
        <v>60087.000000061998</v>
      </c>
    </row>
    <row r="250" spans="30:34">
      <c r="AD250">
        <v>1017.5</v>
      </c>
      <c r="AE250">
        <v>5509216.0000030799</v>
      </c>
      <c r="AG250">
        <v>1012.5</v>
      </c>
      <c r="AH250">
        <v>60239.999999906999</v>
      </c>
    </row>
    <row r="251" spans="30:34">
      <c r="AD251">
        <v>1018</v>
      </c>
      <c r="AE251">
        <v>5540139.0000010701</v>
      </c>
      <c r="AG251">
        <v>1013</v>
      </c>
      <c r="AH251">
        <v>60392.999999999098</v>
      </c>
    </row>
    <row r="252" spans="30:34">
      <c r="AD252">
        <v>1018.5</v>
      </c>
      <c r="AE252">
        <v>5571137.9999993397</v>
      </c>
      <c r="AG252">
        <v>1013.5</v>
      </c>
      <c r="AH252">
        <v>60546.000000091197</v>
      </c>
    </row>
    <row r="253" spans="30:34">
      <c r="AD253">
        <v>1019</v>
      </c>
      <c r="AE253">
        <v>5602212.9999978803</v>
      </c>
      <c r="AG253">
        <v>1014</v>
      </c>
      <c r="AH253">
        <v>60698.999999936299</v>
      </c>
    </row>
    <row r="254" spans="30:34">
      <c r="AD254">
        <v>1019.5</v>
      </c>
      <c r="AE254">
        <v>5633365.0000033304</v>
      </c>
      <c r="AG254">
        <v>1014.5</v>
      </c>
      <c r="AH254">
        <v>60850.999999885702</v>
      </c>
    </row>
    <row r="255" spans="30:34">
      <c r="AD255">
        <v>1020</v>
      </c>
      <c r="AE255">
        <v>5664593.0000009499</v>
      </c>
      <c r="AG255">
        <v>1015</v>
      </c>
      <c r="AH255">
        <v>61003.999999977801</v>
      </c>
    </row>
    <row r="256" spans="30:34">
      <c r="AD256">
        <v>1020.5</v>
      </c>
      <c r="AE256">
        <v>5695897.9999973699</v>
      </c>
      <c r="AG256">
        <v>1015.5</v>
      </c>
      <c r="AH256">
        <v>61157.0000000699</v>
      </c>
    </row>
    <row r="257" spans="30:34">
      <c r="AD257">
        <v>1021</v>
      </c>
      <c r="AE257">
        <v>5727280.9999991897</v>
      </c>
      <c r="AG257">
        <v>1016</v>
      </c>
      <c r="AH257">
        <v>61309.9999999149</v>
      </c>
    </row>
    <row r="258" spans="30:34">
      <c r="AD258">
        <v>1021.5</v>
      </c>
      <c r="AE258">
        <v>5758740.9999997998</v>
      </c>
      <c r="AG258">
        <v>1016.5</v>
      </c>
      <c r="AH258">
        <v>61463.000000006999</v>
      </c>
    </row>
    <row r="259" spans="30:34">
      <c r="AD259">
        <v>1022</v>
      </c>
      <c r="AE259">
        <v>5790277.9999992</v>
      </c>
      <c r="AG259">
        <v>1017</v>
      </c>
      <c r="AH259">
        <v>61616.0000000992</v>
      </c>
    </row>
    <row r="260" spans="30:34">
      <c r="AD260">
        <v>1022.5</v>
      </c>
      <c r="AE260">
        <v>5821891.9999973997</v>
      </c>
      <c r="AG260">
        <v>1017.5</v>
      </c>
      <c r="AH260">
        <v>61768.999999944201</v>
      </c>
    </row>
    <row r="261" spans="30:34">
      <c r="AD261">
        <v>1023</v>
      </c>
      <c r="AE261">
        <v>5853583.0000024904</v>
      </c>
      <c r="AG261">
        <v>1018</v>
      </c>
      <c r="AH261">
        <v>61922.0000000363</v>
      </c>
    </row>
    <row r="262" spans="30:34">
      <c r="AD262">
        <v>1023.5</v>
      </c>
      <c r="AE262">
        <v>5885351.9999967804</v>
      </c>
      <c r="AG262">
        <v>1018.5</v>
      </c>
      <c r="AH262">
        <v>62074.9999998813</v>
      </c>
    </row>
    <row r="263" spans="30:34">
      <c r="AD263">
        <v>1024</v>
      </c>
      <c r="AE263">
        <v>5917197.9999979604</v>
      </c>
      <c r="AG263">
        <v>1019</v>
      </c>
      <c r="AH263">
        <v>62227.000000077802</v>
      </c>
    </row>
    <row r="264" spans="30:34">
      <c r="AD264">
        <v>1024.5</v>
      </c>
      <c r="AE264">
        <v>5949120.9999979399</v>
      </c>
      <c r="AG264">
        <v>1019.5</v>
      </c>
      <c r="AH264">
        <v>62379.999999922802</v>
      </c>
    </row>
    <row r="265" spans="30:34">
      <c r="AD265">
        <v>1025</v>
      </c>
      <c r="AE265">
        <v>5981122.0000033202</v>
      </c>
      <c r="AG265">
        <v>1020</v>
      </c>
      <c r="AH265">
        <v>62533.000000014901</v>
      </c>
    </row>
    <row r="266" spans="30:34">
      <c r="AD266">
        <v>1025.5</v>
      </c>
      <c r="AE266">
        <v>6013199.99999939</v>
      </c>
      <c r="AG266">
        <v>1020.5</v>
      </c>
      <c r="AH266">
        <v>62687.999999898297</v>
      </c>
    </row>
    <row r="267" spans="30:34">
      <c r="AD267">
        <v>1026</v>
      </c>
      <c r="AE267">
        <v>6045355.00000236</v>
      </c>
      <c r="AG267">
        <v>1021</v>
      </c>
      <c r="AH267">
        <v>62841.999999886</v>
      </c>
    </row>
    <row r="268" spans="30:34">
      <c r="AD268">
        <v>1026.5</v>
      </c>
      <c r="AE268">
        <v>6077586.9999960102</v>
      </c>
      <c r="AG268">
        <v>1021.5</v>
      </c>
      <c r="AH268">
        <v>62997.000000016502</v>
      </c>
    </row>
    <row r="269" spans="30:34">
      <c r="AD269">
        <v>1027</v>
      </c>
      <c r="AE269">
        <v>6109897.0000031702</v>
      </c>
      <c r="AG269">
        <v>1022</v>
      </c>
      <c r="AH269">
        <v>63151.0000000043</v>
      </c>
    </row>
    <row r="270" spans="30:34">
      <c r="AD270">
        <v>1027.5</v>
      </c>
      <c r="AE270">
        <v>6142284.0000010198</v>
      </c>
      <c r="AG270">
        <v>1022.5</v>
      </c>
      <c r="AH270">
        <v>63305.999999887601</v>
      </c>
    </row>
    <row r="271" spans="30:34">
      <c r="AD271">
        <v>1028</v>
      </c>
      <c r="AE271">
        <v>6174747.9999976698</v>
      </c>
      <c r="AG271">
        <v>1023</v>
      </c>
      <c r="AH271">
        <v>63460.000000122498</v>
      </c>
    </row>
    <row r="272" spans="30:34">
      <c r="AD272">
        <v>1028.5</v>
      </c>
      <c r="AE272">
        <v>6207289.0000012098</v>
      </c>
      <c r="AG272">
        <v>1023.5</v>
      </c>
      <c r="AH272">
        <v>63615.000000005799</v>
      </c>
    </row>
    <row r="273" spans="30:34">
      <c r="AD273">
        <v>1029</v>
      </c>
      <c r="AE273">
        <v>6239908.0000020498</v>
      </c>
      <c r="AG273">
        <v>1024</v>
      </c>
      <c r="AH273">
        <v>63768.999999993597</v>
      </c>
    </row>
    <row r="274" spans="30:34">
      <c r="AD274">
        <v>1029.5</v>
      </c>
      <c r="AE274">
        <v>6272604.0000016801</v>
      </c>
      <c r="AG274">
        <v>1024.5</v>
      </c>
      <c r="AH274">
        <v>63923.999999876898</v>
      </c>
    </row>
    <row r="275" spans="30:34">
      <c r="AD275">
        <v>1030</v>
      </c>
      <c r="AE275">
        <v>6305377.0000000997</v>
      </c>
      <c r="AG275">
        <v>1025</v>
      </c>
      <c r="AH275">
        <v>64078.000000111802</v>
      </c>
    </row>
    <row r="276" spans="30:34">
      <c r="AD276">
        <v>1030.5</v>
      </c>
      <c r="AE276">
        <v>6338229.0000024401</v>
      </c>
      <c r="AG276">
        <v>1025.5</v>
      </c>
      <c r="AH276">
        <v>64232.999999995198</v>
      </c>
    </row>
    <row r="277" spans="30:34">
      <c r="AD277">
        <v>1031</v>
      </c>
      <c r="AE277">
        <v>6371160.9999991097</v>
      </c>
      <c r="AG277">
        <v>1026</v>
      </c>
      <c r="AH277">
        <v>64386.999999982901</v>
      </c>
    </row>
    <row r="278" spans="30:34">
      <c r="AD278">
        <v>1031.5</v>
      </c>
      <c r="AE278">
        <v>6404173.9999967096</v>
      </c>
      <c r="AG278">
        <v>1026.5</v>
      </c>
      <c r="AH278">
        <v>64542.000000113403</v>
      </c>
    </row>
    <row r="279" spans="30:34">
      <c r="AD279">
        <v>1032</v>
      </c>
      <c r="AE279">
        <v>6437265.9999982296</v>
      </c>
      <c r="AG279">
        <v>1027</v>
      </c>
      <c r="AH279">
        <v>64696.000000101099</v>
      </c>
    </row>
    <row r="280" spans="30:34">
      <c r="AD280">
        <v>1032.5</v>
      </c>
      <c r="AE280">
        <v>6470439.0000006901</v>
      </c>
      <c r="AG280">
        <v>1027.5</v>
      </c>
      <c r="AH280">
        <v>64850.999999984502</v>
      </c>
    </row>
    <row r="281" spans="30:34">
      <c r="AD281">
        <v>1033</v>
      </c>
      <c r="AE281">
        <v>6503692.9999959897</v>
      </c>
      <c r="AG281">
        <v>1028</v>
      </c>
      <c r="AH281">
        <v>65006.000000114997</v>
      </c>
    </row>
    <row r="282" spans="30:34">
      <c r="AD282">
        <v>1033.5</v>
      </c>
      <c r="AE282">
        <v>6537026.0000033099</v>
      </c>
      <c r="AG282">
        <v>1028.5</v>
      </c>
      <c r="AH282">
        <v>65160.0000001027</v>
      </c>
    </row>
    <row r="283" spans="30:34">
      <c r="AD283">
        <v>1034</v>
      </c>
      <c r="AE283">
        <v>6570440.0000034599</v>
      </c>
      <c r="AG283">
        <v>1029</v>
      </c>
      <c r="AH283">
        <v>65314.999999986103</v>
      </c>
    </row>
    <row r="284" spans="30:34">
      <c r="AD284">
        <v>1034.5</v>
      </c>
      <c r="AE284">
        <v>6603933.9999979297</v>
      </c>
      <c r="AG284">
        <v>1029.5</v>
      </c>
      <c r="AH284">
        <v>65468.999999973799</v>
      </c>
    </row>
    <row r="285" spans="30:34">
      <c r="AD285">
        <v>1035</v>
      </c>
      <c r="AE285">
        <v>6637508.0000029402</v>
      </c>
      <c r="AG285">
        <v>1030</v>
      </c>
      <c r="AH285">
        <v>65624.000000104294</v>
      </c>
    </row>
    <row r="286" spans="30:34">
      <c r="AD286">
        <v>1035.5</v>
      </c>
      <c r="AE286">
        <v>6671163.0000007804</v>
      </c>
      <c r="AG286">
        <v>1030.5</v>
      </c>
      <c r="AH286">
        <v>65783.999999959997</v>
      </c>
    </row>
    <row r="287" spans="30:34">
      <c r="AD287">
        <v>1036</v>
      </c>
      <c r="AE287">
        <v>6704897.00000255</v>
      </c>
      <c r="AG287">
        <v>1031</v>
      </c>
      <c r="AH287">
        <v>65944.999999958396</v>
      </c>
    </row>
    <row r="288" spans="30:34">
      <c r="AD288">
        <v>1036.5</v>
      </c>
      <c r="AE288">
        <v>6738713.0000037597</v>
      </c>
      <c r="AG288">
        <v>1031.5</v>
      </c>
      <c r="AH288">
        <v>66105.000000061205</v>
      </c>
    </row>
    <row r="289" spans="30:34">
      <c r="AD289">
        <v>1037</v>
      </c>
      <c r="AE289">
        <v>6772608.0000007804</v>
      </c>
      <c r="AG289">
        <v>1032</v>
      </c>
      <c r="AH289">
        <v>66266.000000059605</v>
      </c>
    </row>
    <row r="290" spans="30:34">
      <c r="AD290">
        <v>1037.5</v>
      </c>
      <c r="AE290">
        <v>6806583.00000023</v>
      </c>
      <c r="AG290">
        <v>1032.5</v>
      </c>
      <c r="AH290">
        <v>66425.999999915293</v>
      </c>
    </row>
    <row r="291" spans="30:34">
      <c r="AD291">
        <v>1038</v>
      </c>
      <c r="AE291">
        <v>6840639.0000006203</v>
      </c>
      <c r="AG291">
        <v>1033</v>
      </c>
      <c r="AH291">
        <v>66586.999999913707</v>
      </c>
    </row>
    <row r="292" spans="30:34">
      <c r="AD292">
        <v>1038.5</v>
      </c>
      <c r="AE292">
        <v>6874775.0000034403</v>
      </c>
      <c r="AG292">
        <v>1033.5</v>
      </c>
      <c r="AH292">
        <v>66747.000000016502</v>
      </c>
    </row>
    <row r="293" spans="30:34">
      <c r="AD293">
        <v>1039</v>
      </c>
      <c r="AE293">
        <v>6908991.9999990901</v>
      </c>
      <c r="AG293">
        <v>1034</v>
      </c>
      <c r="AH293">
        <v>66908.000000014901</v>
      </c>
    </row>
    <row r="294" spans="30:34">
      <c r="AD294">
        <v>1039.5</v>
      </c>
      <c r="AE294">
        <v>6943287.9999986598</v>
      </c>
      <c r="AG294">
        <v>1034.5</v>
      </c>
      <c r="AH294">
        <v>67068.000000117696</v>
      </c>
    </row>
    <row r="295" spans="30:34">
      <c r="AD295">
        <v>1040</v>
      </c>
      <c r="AE295">
        <v>6977664.9999991702</v>
      </c>
      <c r="AG295">
        <v>1035</v>
      </c>
      <c r="AH295">
        <v>67229.000000116095</v>
      </c>
    </row>
    <row r="296" spans="30:34">
      <c r="AD296">
        <v>1040.5</v>
      </c>
      <c r="AE296">
        <v>7012123.9999991301</v>
      </c>
      <c r="AG296">
        <v>1035.5</v>
      </c>
      <c r="AH296">
        <v>67388.999999971798</v>
      </c>
    </row>
    <row r="297" spans="30:34">
      <c r="AD297">
        <v>1041</v>
      </c>
      <c r="AE297">
        <v>7046668.0000021802</v>
      </c>
      <c r="AG297">
        <v>1036</v>
      </c>
      <c r="AH297">
        <v>67549.9999999703</v>
      </c>
    </row>
    <row r="298" spans="30:34">
      <c r="AD298">
        <v>1041.5</v>
      </c>
      <c r="AE298">
        <v>7081296.0000016904</v>
      </c>
      <c r="AG298">
        <v>1036.5</v>
      </c>
      <c r="AH298">
        <v>67710.000000073094</v>
      </c>
    </row>
    <row r="299" spans="30:34">
      <c r="AD299">
        <v>1042</v>
      </c>
      <c r="AE299">
        <v>7116007.9999976801</v>
      </c>
      <c r="AG299">
        <v>1037</v>
      </c>
      <c r="AH299">
        <v>67871.000000071494</v>
      </c>
    </row>
    <row r="300" spans="30:34">
      <c r="AD300">
        <v>1042.5</v>
      </c>
      <c r="AE300">
        <v>7150803.99999825</v>
      </c>
      <c r="AG300">
        <v>1037.5</v>
      </c>
      <c r="AH300">
        <v>68030.999999927197</v>
      </c>
    </row>
    <row r="301" spans="30:34">
      <c r="AD301">
        <v>1043</v>
      </c>
      <c r="AE301">
        <v>7185685.0000018999</v>
      </c>
      <c r="AG301">
        <v>1038</v>
      </c>
      <c r="AH301">
        <v>68191.999999925596</v>
      </c>
    </row>
    <row r="302" spans="30:34">
      <c r="AD302">
        <v>1043.5</v>
      </c>
      <c r="AE302">
        <v>7220651.0000005299</v>
      </c>
      <c r="AG302">
        <v>1038.5</v>
      </c>
      <c r="AH302">
        <v>68352.000000028405</v>
      </c>
    </row>
    <row r="303" spans="30:34">
      <c r="AD303">
        <v>1044</v>
      </c>
      <c r="AE303">
        <v>7255699.9999971297</v>
      </c>
      <c r="AG303">
        <v>1039</v>
      </c>
      <c r="AH303">
        <v>68513.000000026805</v>
      </c>
    </row>
    <row r="304" spans="30:34">
      <c r="AD304">
        <v>1044.5</v>
      </c>
      <c r="AE304">
        <v>7290833.9999968</v>
      </c>
      <c r="AG304">
        <v>1039.5</v>
      </c>
      <c r="AH304">
        <v>68672.999999882493</v>
      </c>
    </row>
    <row r="305" spans="30:34">
      <c r="AD305">
        <v>1045</v>
      </c>
      <c r="AE305">
        <v>7326052.0000010598</v>
      </c>
      <c r="AG305">
        <v>1040</v>
      </c>
      <c r="AH305">
        <v>68833.999999880907</v>
      </c>
    </row>
    <row r="306" spans="30:34">
      <c r="AD306">
        <v>1045.5</v>
      </c>
      <c r="AE306">
        <v>7361355.0000002999</v>
      </c>
      <c r="AG306">
        <v>1040.5</v>
      </c>
      <c r="AH306">
        <v>69003.000000032698</v>
      </c>
    </row>
    <row r="307" spans="30:34">
      <c r="AD307">
        <v>1046</v>
      </c>
      <c r="AE307">
        <v>7396741.9999960102</v>
      </c>
      <c r="AG307">
        <v>1041</v>
      </c>
      <c r="AH307">
        <v>69171.000000041793</v>
      </c>
    </row>
    <row r="308" spans="30:34">
      <c r="AD308">
        <v>1046.5</v>
      </c>
      <c r="AE308">
        <v>7432212.9999962896</v>
      </c>
      <c r="AG308">
        <v>1041.5</v>
      </c>
      <c r="AH308">
        <v>69339.999999946507</v>
      </c>
    </row>
    <row r="309" spans="30:34">
      <c r="AD309">
        <v>1047</v>
      </c>
      <c r="AE309">
        <v>7467768.0000011604</v>
      </c>
      <c r="AG309">
        <v>1042</v>
      </c>
      <c r="AH309">
        <v>69509.0000000984</v>
      </c>
    </row>
    <row r="310" spans="30:34">
      <c r="AD310">
        <v>1047.5</v>
      </c>
      <c r="AE310">
        <v>7503408.0000010002</v>
      </c>
      <c r="AG310">
        <v>1042.5</v>
      </c>
      <c r="AH310">
        <v>69677.000000107495</v>
      </c>
    </row>
    <row r="311" spans="30:34">
      <c r="AD311">
        <v>1048</v>
      </c>
      <c r="AE311">
        <v>7539137.9999964796</v>
      </c>
      <c r="AG311">
        <v>1043</v>
      </c>
      <c r="AH311">
        <v>69846.000000012195</v>
      </c>
    </row>
    <row r="312" spans="30:34">
      <c r="AD312">
        <v>1048.5</v>
      </c>
      <c r="AE312">
        <v>7574938.00000118</v>
      </c>
      <c r="AG312">
        <v>1043.5</v>
      </c>
      <c r="AH312">
        <v>70014.999999916894</v>
      </c>
    </row>
    <row r="313" spans="30:34">
      <c r="AD313">
        <v>1049</v>
      </c>
      <c r="AE313">
        <v>7610838.0000028396</v>
      </c>
      <c r="AG313">
        <v>1044</v>
      </c>
      <c r="AH313">
        <v>70184.0000000687</v>
      </c>
    </row>
    <row r="314" spans="30:34">
      <c r="AD314">
        <v>1049.5</v>
      </c>
      <c r="AE314">
        <v>7646817.99999882</v>
      </c>
      <c r="AG314">
        <v>1044.5</v>
      </c>
      <c r="AH314">
        <v>70352.000000077795</v>
      </c>
    </row>
    <row r="315" spans="30:34">
      <c r="AD315">
        <v>1050</v>
      </c>
      <c r="AE315">
        <v>7682877.9999972302</v>
      </c>
      <c r="AG315">
        <v>1045</v>
      </c>
      <c r="AH315">
        <v>70520.999999982494</v>
      </c>
    </row>
    <row r="316" spans="30:34">
      <c r="AD316">
        <v>1050.5</v>
      </c>
      <c r="AE316">
        <v>7719017.9999980601</v>
      </c>
      <c r="AG316">
        <v>1045.5</v>
      </c>
      <c r="AH316">
        <v>70689.999999887194</v>
      </c>
    </row>
    <row r="317" spans="30:34">
      <c r="AD317">
        <v>1051</v>
      </c>
      <c r="AE317">
        <v>7755258.00000396</v>
      </c>
      <c r="AG317">
        <v>1046</v>
      </c>
      <c r="AH317">
        <v>70857.999999896303</v>
      </c>
    </row>
    <row r="318" spans="30:34">
      <c r="AD318">
        <v>1051.5</v>
      </c>
      <c r="AE318">
        <v>7791587.9999973997</v>
      </c>
      <c r="AG318">
        <v>1046.5</v>
      </c>
      <c r="AH318">
        <v>71027.000000048094</v>
      </c>
    </row>
    <row r="319" spans="30:34">
      <c r="AD319">
        <v>1052</v>
      </c>
      <c r="AE319">
        <v>7828018.000004</v>
      </c>
      <c r="AG319">
        <v>1047</v>
      </c>
      <c r="AH319">
        <v>71195.999999952895</v>
      </c>
    </row>
    <row r="320" spans="30:34">
      <c r="AD320">
        <v>1052.5</v>
      </c>
      <c r="AE320">
        <v>7864527.9999968102</v>
      </c>
      <c r="AG320">
        <v>1047.5</v>
      </c>
      <c r="AH320">
        <v>71363.999999961903</v>
      </c>
    </row>
    <row r="321" spans="30:34">
      <c r="AD321">
        <v>1053</v>
      </c>
      <c r="AE321">
        <v>7901128.0000014799</v>
      </c>
      <c r="AG321">
        <v>1048</v>
      </c>
      <c r="AH321">
        <v>71533.000000113796</v>
      </c>
    </row>
    <row r="322" spans="30:34">
      <c r="AD322">
        <v>1053.5</v>
      </c>
      <c r="AE322">
        <v>7937828.0000031097</v>
      </c>
      <c r="AG322">
        <v>1048.5</v>
      </c>
      <c r="AH322">
        <v>71702.000000018495</v>
      </c>
    </row>
    <row r="323" spans="30:34">
      <c r="AD323">
        <v>1054</v>
      </c>
      <c r="AE323">
        <v>7974607.9999990603</v>
      </c>
      <c r="AG323">
        <v>1049</v>
      </c>
      <c r="AH323">
        <v>71870.999999923195</v>
      </c>
    </row>
    <row r="324" spans="30:34">
      <c r="AD324">
        <v>1054.5</v>
      </c>
      <c r="AE324">
        <v>8011488.0000000698</v>
      </c>
      <c r="AG324">
        <v>1049.5</v>
      </c>
      <c r="AH324">
        <v>72038.999999932304</v>
      </c>
    </row>
    <row r="325" spans="30:34">
      <c r="AD325">
        <v>1055</v>
      </c>
      <c r="AE325">
        <v>8048457.9999967199</v>
      </c>
      <c r="AG325">
        <v>1050</v>
      </c>
      <c r="AH325">
        <v>72208.000000084096</v>
      </c>
    </row>
    <row r="326" spans="30:34">
      <c r="AD326">
        <v>1055.5</v>
      </c>
      <c r="AE326">
        <v>8085508.0000039097</v>
      </c>
      <c r="AG326">
        <v>1050.5</v>
      </c>
      <c r="AH326">
        <v>72393.000000048502</v>
      </c>
    </row>
    <row r="327" spans="30:34">
      <c r="AD327">
        <v>1056</v>
      </c>
      <c r="AE327">
        <v>8122657.9999918398</v>
      </c>
      <c r="AG327">
        <v>1051</v>
      </c>
      <c r="AH327">
        <v>72573.999999936204</v>
      </c>
    </row>
    <row r="328" spans="30:34">
      <c r="AD328">
        <v>1056.5</v>
      </c>
      <c r="AE328">
        <v>8159897.9999673003</v>
      </c>
      <c r="AG328">
        <v>1051.5</v>
      </c>
      <c r="AH328">
        <v>72755.000000071101</v>
      </c>
    </row>
    <row r="329" spans="30:34">
      <c r="AD329">
        <v>1057</v>
      </c>
      <c r="AE329">
        <v>8197217.99998572</v>
      </c>
      <c r="AG329">
        <v>1052</v>
      </c>
      <c r="AH329">
        <v>72935.999999958804</v>
      </c>
    </row>
    <row r="330" spans="30:34">
      <c r="AD330">
        <v>1057.5</v>
      </c>
      <c r="AE330">
        <v>8234638.0000173096</v>
      </c>
      <c r="AG330">
        <v>1052.5</v>
      </c>
      <c r="AH330">
        <v>73117.000000093598</v>
      </c>
    </row>
    <row r="331" spans="30:34">
      <c r="AD331">
        <v>1058</v>
      </c>
      <c r="AE331">
        <v>8272147.9999959096</v>
      </c>
      <c r="AG331">
        <v>1053</v>
      </c>
      <c r="AH331">
        <v>73297.999999981301</v>
      </c>
    </row>
    <row r="332" spans="30:34">
      <c r="AD332">
        <v>1058.5</v>
      </c>
      <c r="AE332">
        <v>8309748.0000025602</v>
      </c>
      <c r="AG332">
        <v>1053.5</v>
      </c>
      <c r="AH332">
        <v>73479.000000116095</v>
      </c>
    </row>
    <row r="333" spans="30:34">
      <c r="AD333">
        <v>1059</v>
      </c>
      <c r="AE333">
        <v>8347438.0000372902</v>
      </c>
      <c r="AG333">
        <v>1054</v>
      </c>
      <c r="AH333">
        <v>73660.0000000039</v>
      </c>
    </row>
    <row r="334" spans="30:34">
      <c r="AD334">
        <v>1059.5</v>
      </c>
      <c r="AE334">
        <v>8385218.0000190102</v>
      </c>
      <c r="AG334">
        <v>1054.5</v>
      </c>
      <c r="AH334">
        <v>73840.999999891603</v>
      </c>
    </row>
    <row r="335" spans="30:34">
      <c r="AD335">
        <v>1060</v>
      </c>
      <c r="AE335">
        <v>8423088.0000288002</v>
      </c>
      <c r="AG335">
        <v>1055</v>
      </c>
      <c r="AH335">
        <v>74022.000000026397</v>
      </c>
    </row>
    <row r="336" spans="30:34">
      <c r="AD336">
        <v>1060.5</v>
      </c>
      <c r="AE336">
        <v>8461047.9999855906</v>
      </c>
      <c r="AG336">
        <v>1055.5</v>
      </c>
      <c r="AH336">
        <v>74202.9999999141</v>
      </c>
    </row>
    <row r="337" spans="30:34">
      <c r="AD337">
        <v>1061</v>
      </c>
      <c r="AE337">
        <v>8499097.9999704398</v>
      </c>
      <c r="AG337">
        <v>1056</v>
      </c>
      <c r="AH337">
        <v>74384.000000048894</v>
      </c>
    </row>
    <row r="338" spans="30:34">
      <c r="AD338">
        <v>1061.5</v>
      </c>
      <c r="AE338">
        <v>8537247.9999684691</v>
      </c>
      <c r="AG338">
        <v>1056.5</v>
      </c>
      <c r="AH338">
        <v>74564.999999936597</v>
      </c>
    </row>
    <row r="339" spans="30:34">
      <c r="AD339">
        <v>1062</v>
      </c>
      <c r="AE339">
        <v>8575478.0000094492</v>
      </c>
      <c r="AG339">
        <v>1057</v>
      </c>
      <c r="AH339">
        <v>74746.000000071406</v>
      </c>
    </row>
    <row r="340" spans="30:34">
      <c r="AD340">
        <v>1062.5</v>
      </c>
      <c r="AE340">
        <v>8613797.9999974407</v>
      </c>
      <c r="AG340">
        <v>1057.5</v>
      </c>
      <c r="AH340">
        <v>74926.999999959196</v>
      </c>
    </row>
    <row r="341" spans="30:34">
      <c r="AD341">
        <v>1063</v>
      </c>
      <c r="AE341">
        <v>8652217.99999859</v>
      </c>
      <c r="AG341">
        <v>1058</v>
      </c>
      <c r="AH341">
        <v>75108.000000094005</v>
      </c>
    </row>
    <row r="342" spans="30:34">
      <c r="AD342">
        <v>1063.5</v>
      </c>
      <c r="AE342">
        <v>8690717.9999616407</v>
      </c>
      <c r="AG342">
        <v>1058.5</v>
      </c>
      <c r="AH342">
        <v>75288.999999981694</v>
      </c>
    </row>
    <row r="343" spans="30:34">
      <c r="AD343">
        <v>1064</v>
      </c>
      <c r="AE343">
        <v>8729308.0000338294</v>
      </c>
      <c r="AG343">
        <v>1059</v>
      </c>
      <c r="AH343">
        <v>75470.000000116503</v>
      </c>
    </row>
    <row r="344" spans="30:34">
      <c r="AD344">
        <v>1064.5</v>
      </c>
      <c r="AE344">
        <v>8767998.0000381097</v>
      </c>
      <c r="AG344">
        <v>1059.5</v>
      </c>
      <c r="AH344">
        <v>75651.000000004206</v>
      </c>
    </row>
    <row r="345" spans="30:34">
      <c r="AD345">
        <v>1065</v>
      </c>
      <c r="AE345">
        <v>8806768.0000042897</v>
      </c>
      <c r="AG345">
        <v>1060</v>
      </c>
      <c r="AH345">
        <v>75831.999999891996</v>
      </c>
    </row>
    <row r="346" spans="30:34">
      <c r="AD346">
        <v>1065.5</v>
      </c>
      <c r="AE346">
        <v>8845637.9999836404</v>
      </c>
      <c r="AG346">
        <v>1060.5</v>
      </c>
      <c r="AH346">
        <v>76013.000000026805</v>
      </c>
    </row>
    <row r="347" spans="30:34">
      <c r="AD347">
        <v>1066</v>
      </c>
      <c r="AE347">
        <v>8884597.9999910593</v>
      </c>
      <c r="AG347">
        <v>1061</v>
      </c>
      <c r="AH347">
        <v>76193.999999914493</v>
      </c>
    </row>
    <row r="348" spans="30:34">
      <c r="AD348">
        <v>1066.5</v>
      </c>
      <c r="AE348">
        <v>8923637.9999603704</v>
      </c>
      <c r="AG348">
        <v>1061.5</v>
      </c>
      <c r="AH348">
        <v>76375.000000049302</v>
      </c>
    </row>
    <row r="349" spans="30:34">
      <c r="AD349">
        <v>1067</v>
      </c>
      <c r="AE349">
        <v>8962778.0000239201</v>
      </c>
      <c r="AG349">
        <v>1062</v>
      </c>
      <c r="AH349">
        <v>76555.999999937005</v>
      </c>
    </row>
    <row r="350" spans="30:34">
      <c r="AD350">
        <v>1067.5</v>
      </c>
      <c r="AE350">
        <v>9002008.0000344701</v>
      </c>
      <c r="AG350">
        <v>1062.5</v>
      </c>
      <c r="AH350">
        <v>76737.000000071901</v>
      </c>
    </row>
    <row r="351" spans="30:34">
      <c r="AD351">
        <v>1068</v>
      </c>
      <c r="AE351">
        <v>9041327.9999920093</v>
      </c>
      <c r="AG351">
        <v>1063</v>
      </c>
      <c r="AH351">
        <v>76917.999999959604</v>
      </c>
    </row>
    <row r="352" spans="30:34">
      <c r="AD352">
        <v>1068.5</v>
      </c>
      <c r="AE352">
        <v>9080737.9999776203</v>
      </c>
      <c r="AG352">
        <v>1063.5</v>
      </c>
      <c r="AH352">
        <v>77099.000000094398</v>
      </c>
    </row>
    <row r="353" spans="30:34">
      <c r="AD353">
        <v>1069</v>
      </c>
      <c r="AE353">
        <v>9120237.9999912996</v>
      </c>
      <c r="AG353">
        <v>1064</v>
      </c>
      <c r="AH353">
        <v>77279.999999982101</v>
      </c>
    </row>
    <row r="354" spans="30:34">
      <c r="AD354">
        <v>1069.5</v>
      </c>
      <c r="AE354">
        <v>9159828.0000330508</v>
      </c>
      <c r="AG354">
        <v>1064.5</v>
      </c>
      <c r="AH354">
        <v>77461.000000116896</v>
      </c>
    </row>
    <row r="355" spans="30:34">
      <c r="AD355">
        <v>1070</v>
      </c>
      <c r="AE355">
        <v>9199508.0000217892</v>
      </c>
      <c r="AG355">
        <v>1065</v>
      </c>
      <c r="AH355">
        <v>77642.000000004598</v>
      </c>
    </row>
    <row r="356" spans="30:34">
      <c r="AD356">
        <v>1070.5</v>
      </c>
      <c r="AE356">
        <v>9239267.9999724291</v>
      </c>
      <c r="AG356">
        <v>1065.5</v>
      </c>
      <c r="AH356">
        <v>77822.999999892403</v>
      </c>
    </row>
    <row r="357" spans="30:34">
      <c r="AD357">
        <v>1071</v>
      </c>
      <c r="AE357">
        <v>9279118.0000322107</v>
      </c>
      <c r="AG357">
        <v>1066</v>
      </c>
      <c r="AH357">
        <v>78004.000000027198</v>
      </c>
    </row>
    <row r="358" spans="30:34">
      <c r="AD358">
        <v>1071.5</v>
      </c>
      <c r="AE358">
        <v>9319047.9999727998</v>
      </c>
      <c r="AG358">
        <v>1066.5</v>
      </c>
      <c r="AH358">
        <v>78184.9999999149</v>
      </c>
    </row>
    <row r="359" spans="30:34">
      <c r="AD359">
        <v>1072</v>
      </c>
      <c r="AE359">
        <v>9359068.0000225399</v>
      </c>
      <c r="AG359">
        <v>1067</v>
      </c>
      <c r="AH359">
        <v>78366.000000049695</v>
      </c>
    </row>
    <row r="360" spans="30:34">
      <c r="AD360">
        <v>1072.5</v>
      </c>
      <c r="AE360">
        <v>9399178.0000192709</v>
      </c>
      <c r="AG360">
        <v>1067.5</v>
      </c>
      <c r="AH360">
        <v>78546.999999937398</v>
      </c>
    </row>
    <row r="361" spans="30:34">
      <c r="AD361">
        <v>1073</v>
      </c>
      <c r="AE361">
        <v>9439367.9999778904</v>
      </c>
      <c r="AG361">
        <v>1068</v>
      </c>
      <c r="AH361">
        <v>78726.999999929496</v>
      </c>
    </row>
    <row r="362" spans="30:34">
      <c r="AD362">
        <v>1073.5</v>
      </c>
      <c r="AE362">
        <v>9479647.9999645893</v>
      </c>
      <c r="AG362">
        <v>1068.5</v>
      </c>
      <c r="AH362">
        <v>78908.000000064305</v>
      </c>
    </row>
    <row r="363" spans="30:34">
      <c r="AD363">
        <v>1074</v>
      </c>
      <c r="AE363">
        <v>9520007.9999942407</v>
      </c>
      <c r="AG363">
        <v>1069</v>
      </c>
      <c r="AH363">
        <v>79088.999999952095</v>
      </c>
    </row>
    <row r="364" spans="30:34">
      <c r="AD364">
        <v>1074.5</v>
      </c>
      <c r="AE364">
        <v>9560447.9999857992</v>
      </c>
      <c r="AG364">
        <v>1069.5</v>
      </c>
      <c r="AH364">
        <v>79270.000000086904</v>
      </c>
    </row>
    <row r="365" spans="30:34">
      <c r="AD365">
        <v>1075</v>
      </c>
      <c r="AE365">
        <v>9600987.9999905191</v>
      </c>
      <c r="AG365">
        <v>1070</v>
      </c>
      <c r="AH365">
        <v>79450.999999974607</v>
      </c>
    </row>
    <row r="366" spans="30:34">
      <c r="AD366">
        <v>1075.5</v>
      </c>
      <c r="AE366">
        <v>9641597.9999720305</v>
      </c>
      <c r="AG366">
        <v>1070.5</v>
      </c>
      <c r="AH366">
        <v>79616.999999945299</v>
      </c>
    </row>
    <row r="367" spans="30:34">
      <c r="AD367">
        <v>1076</v>
      </c>
      <c r="AE367">
        <v>9682297.9999816101</v>
      </c>
      <c r="AG367">
        <v>1071</v>
      </c>
      <c r="AH367">
        <v>79786.999999992797</v>
      </c>
    </row>
    <row r="368" spans="30:34">
      <c r="AD368">
        <v>1076.5</v>
      </c>
      <c r="AE368">
        <v>9723088.0000192504</v>
      </c>
      <c r="AG368">
        <v>1071.5</v>
      </c>
      <c r="AH368">
        <v>79957.000000040207</v>
      </c>
    </row>
    <row r="369" spans="30:34">
      <c r="AD369">
        <v>1077</v>
      </c>
      <c r="AE369">
        <v>9763958.0000187997</v>
      </c>
      <c r="AG369">
        <v>1072</v>
      </c>
      <c r="AH369">
        <v>80127.000000087704</v>
      </c>
    </row>
    <row r="370" spans="30:34">
      <c r="AD370">
        <v>1077.5</v>
      </c>
      <c r="AE370">
        <v>9804917.9999653306</v>
      </c>
      <c r="AG370">
        <v>1072.5</v>
      </c>
      <c r="AH370">
        <v>80296.999999887994</v>
      </c>
    </row>
    <row r="371" spans="30:34">
      <c r="AD371">
        <v>1078</v>
      </c>
      <c r="AE371">
        <v>9845958.0000359006</v>
      </c>
      <c r="AG371">
        <v>1073</v>
      </c>
      <c r="AH371">
        <v>80468.000000078202</v>
      </c>
    </row>
    <row r="372" spans="30:34">
      <c r="AD372">
        <v>1078.5</v>
      </c>
      <c r="AE372">
        <v>9887087.9999723993</v>
      </c>
      <c r="AG372">
        <v>1073.5</v>
      </c>
      <c r="AH372">
        <v>80637.999999878506</v>
      </c>
    </row>
    <row r="373" spans="30:34">
      <c r="AD373">
        <v>1079</v>
      </c>
      <c r="AE373">
        <v>9928298.0000329297</v>
      </c>
      <c r="AG373">
        <v>1074</v>
      </c>
      <c r="AH373">
        <v>80807.999999926004</v>
      </c>
    </row>
    <row r="374" spans="30:34">
      <c r="AD374">
        <v>1079.5</v>
      </c>
      <c r="AE374">
        <v>9969598.0000404604</v>
      </c>
      <c r="AG374">
        <v>1074.5</v>
      </c>
      <c r="AH374">
        <v>80977.999999973399</v>
      </c>
    </row>
    <row r="375" spans="30:34">
      <c r="AD375">
        <v>1080</v>
      </c>
      <c r="AE375">
        <v>10010978.0000099</v>
      </c>
      <c r="AG375">
        <v>1075</v>
      </c>
      <c r="AH375">
        <v>81148.000000020795</v>
      </c>
    </row>
    <row r="376" spans="30:34">
      <c r="AD376">
        <v>1080.5</v>
      </c>
      <c r="AE376">
        <v>10052448.0000074</v>
      </c>
      <c r="AG376">
        <v>1075.5</v>
      </c>
      <c r="AH376">
        <v>81318.000000068307</v>
      </c>
    </row>
    <row r="377" spans="30:34">
      <c r="AD377">
        <v>1081</v>
      </c>
      <c r="AE377">
        <v>10093997.9999668</v>
      </c>
      <c r="AG377">
        <v>1076</v>
      </c>
      <c r="AH377">
        <v>81488.000000115702</v>
      </c>
    </row>
    <row r="378" spans="30:34">
      <c r="AD378">
        <v>1081.5</v>
      </c>
      <c r="AE378">
        <v>10135648.0000204</v>
      </c>
      <c r="AG378">
        <v>1076.5</v>
      </c>
      <c r="AH378">
        <v>81657.999999916094</v>
      </c>
    </row>
    <row r="379" spans="30:34">
      <c r="AD379">
        <v>1082</v>
      </c>
      <c r="AE379">
        <v>10177378.000035901</v>
      </c>
      <c r="AG379">
        <v>1077</v>
      </c>
      <c r="AH379">
        <v>81827.999999963504</v>
      </c>
    </row>
    <row r="380" spans="30:34">
      <c r="AD380">
        <v>1082.5</v>
      </c>
      <c r="AE380">
        <v>10219197.9999984</v>
      </c>
      <c r="AG380">
        <v>1077.5</v>
      </c>
      <c r="AH380">
        <v>81998.999999906606</v>
      </c>
    </row>
    <row r="381" spans="30:34">
      <c r="AD381">
        <v>1083</v>
      </c>
      <c r="AE381">
        <v>10261098.0000039</v>
      </c>
      <c r="AG381">
        <v>1078</v>
      </c>
      <c r="AH381">
        <v>82168.999999954001</v>
      </c>
    </row>
    <row r="382" spans="30:34">
      <c r="AD382">
        <v>1083.5</v>
      </c>
      <c r="AE382">
        <v>10303098.000022501</v>
      </c>
      <c r="AG382">
        <v>1078.5</v>
      </c>
      <c r="AH382">
        <v>82339.000000001499</v>
      </c>
    </row>
    <row r="383" spans="30:34">
      <c r="AD383">
        <v>1084</v>
      </c>
      <c r="AE383">
        <v>10345178.000003099</v>
      </c>
      <c r="AG383">
        <v>1079</v>
      </c>
      <c r="AH383">
        <v>82509.000000048894</v>
      </c>
    </row>
    <row r="384" spans="30:34">
      <c r="AD384">
        <v>1084.5</v>
      </c>
      <c r="AE384">
        <v>10387348.000011699</v>
      </c>
      <c r="AG384">
        <v>1079.5</v>
      </c>
      <c r="AH384">
        <v>82679.000000096305</v>
      </c>
    </row>
    <row r="385" spans="30:34">
      <c r="AD385">
        <v>1085</v>
      </c>
      <c r="AE385">
        <v>10429607.999967299</v>
      </c>
      <c r="AG385">
        <v>1080</v>
      </c>
      <c r="AH385">
        <v>82848.999999896696</v>
      </c>
    </row>
    <row r="386" spans="30:34">
      <c r="AD386">
        <v>1085.5</v>
      </c>
      <c r="AE386">
        <v>10471947.999965901</v>
      </c>
      <c r="AG386">
        <v>1080.5</v>
      </c>
      <c r="AH386">
        <v>83007.900000015507</v>
      </c>
    </row>
    <row r="387" spans="30:34">
      <c r="AD387">
        <v>1086</v>
      </c>
      <c r="AE387">
        <v>10514387.9999776</v>
      </c>
      <c r="AG387">
        <v>1081</v>
      </c>
      <c r="AH387">
        <v>83166.799999887095</v>
      </c>
    </row>
    <row r="388" spans="30:34">
      <c r="AD388">
        <v>1086.5</v>
      </c>
      <c r="AE388">
        <v>10556908.0000323</v>
      </c>
      <c r="AG388">
        <v>1081.5</v>
      </c>
      <c r="AH388">
        <v>83325.700000005905</v>
      </c>
    </row>
    <row r="389" spans="30:34">
      <c r="AD389">
        <v>1087</v>
      </c>
      <c r="AE389">
        <v>10599518.000034001</v>
      </c>
      <c r="AG389">
        <v>1082</v>
      </c>
      <c r="AH389">
        <v>83484.599999877595</v>
      </c>
    </row>
    <row r="390" spans="30:34">
      <c r="AD390">
        <v>1087.5</v>
      </c>
      <c r="AE390">
        <v>10642217.9999827</v>
      </c>
      <c r="AG390">
        <v>1082.5</v>
      </c>
      <c r="AH390">
        <v>83643.499999996304</v>
      </c>
    </row>
    <row r="391" spans="30:34">
      <c r="AD391">
        <v>1088</v>
      </c>
      <c r="AE391">
        <v>10684997.9999744</v>
      </c>
      <c r="AG391">
        <v>1083</v>
      </c>
      <c r="AH391">
        <v>83802.4000001151</v>
      </c>
    </row>
    <row r="392" spans="30:34">
      <c r="AD392">
        <v>1088.5</v>
      </c>
      <c r="AE392">
        <v>10727867.999994099</v>
      </c>
      <c r="AG392">
        <v>1083.5</v>
      </c>
      <c r="AH392">
        <v>83961.299999986804</v>
      </c>
    </row>
    <row r="393" spans="30:34">
      <c r="AD393">
        <v>1089</v>
      </c>
      <c r="AE393">
        <v>10770827.999960899</v>
      </c>
      <c r="AG393">
        <v>1084</v>
      </c>
      <c r="AH393">
        <v>84120.200000105498</v>
      </c>
    </row>
    <row r="394" spans="30:34">
      <c r="AD394">
        <v>1089.5</v>
      </c>
      <c r="AE394">
        <v>10813878.0000367</v>
      </c>
      <c r="AG394">
        <v>1084.5</v>
      </c>
      <c r="AH394">
        <v>84279.099999977203</v>
      </c>
    </row>
    <row r="395" spans="30:34">
      <c r="AD395">
        <v>1090</v>
      </c>
      <c r="AE395">
        <v>10857007.999993401</v>
      </c>
      <c r="AG395">
        <v>1085</v>
      </c>
      <c r="AH395">
        <v>84438.000000095999</v>
      </c>
    </row>
    <row r="396" spans="30:34">
      <c r="AD396">
        <v>1090.5</v>
      </c>
      <c r="AE396">
        <v>10900237.9999633</v>
      </c>
      <c r="AG396">
        <v>1085.5</v>
      </c>
      <c r="AH396">
        <v>84596.899999967602</v>
      </c>
    </row>
    <row r="397" spans="30:34">
      <c r="AD397">
        <v>1091</v>
      </c>
      <c r="AE397">
        <v>10943547.9999761</v>
      </c>
      <c r="AG397">
        <v>1086</v>
      </c>
      <c r="AH397">
        <v>84755.800000086398</v>
      </c>
    </row>
    <row r="398" spans="30:34">
      <c r="AD398">
        <v>1091.5</v>
      </c>
      <c r="AE398">
        <v>10986938.0000319</v>
      </c>
      <c r="AG398">
        <v>1086.5</v>
      </c>
      <c r="AH398">
        <v>84914.699999958102</v>
      </c>
    </row>
    <row r="399" spans="30:34">
      <c r="AD399">
        <v>1092</v>
      </c>
      <c r="AE399">
        <v>11030418.000034699</v>
      </c>
      <c r="AG399">
        <v>1087</v>
      </c>
      <c r="AH399">
        <v>85073.600000076796</v>
      </c>
    </row>
    <row r="400" spans="30:34">
      <c r="AD400">
        <v>1092.5</v>
      </c>
      <c r="AE400">
        <v>11073987.9999844</v>
      </c>
      <c r="AG400">
        <v>1087.5</v>
      </c>
      <c r="AH400">
        <v>85232.499999948501</v>
      </c>
    </row>
    <row r="401" spans="30:34">
      <c r="AD401">
        <v>1093</v>
      </c>
      <c r="AE401">
        <v>11117637.999977199</v>
      </c>
      <c r="AG401">
        <v>1088</v>
      </c>
      <c r="AH401">
        <v>85391.400000067297</v>
      </c>
    </row>
    <row r="402" spans="30:34">
      <c r="AD402">
        <v>1093.5</v>
      </c>
      <c r="AE402">
        <v>11161377.999998</v>
      </c>
      <c r="AG402">
        <v>1088.5</v>
      </c>
      <c r="AH402">
        <v>85550.299999938899</v>
      </c>
    </row>
    <row r="403" spans="30:34">
      <c r="AD403">
        <v>1094</v>
      </c>
      <c r="AE403">
        <v>11205207.9999658</v>
      </c>
      <c r="AG403">
        <v>1089</v>
      </c>
      <c r="AH403">
        <v>85709.200000057695</v>
      </c>
    </row>
    <row r="404" spans="30:34">
      <c r="AD404">
        <v>1094.5</v>
      </c>
      <c r="AE404">
        <v>11249117.9999766</v>
      </c>
      <c r="AG404">
        <v>1089.5</v>
      </c>
      <c r="AH404">
        <v>85868.099999929298</v>
      </c>
    </row>
    <row r="405" spans="30:34">
      <c r="AD405">
        <v>1095</v>
      </c>
      <c r="AE405">
        <v>11293118.0000154</v>
      </c>
      <c r="AG405">
        <v>1090</v>
      </c>
      <c r="AH405">
        <v>86027.000000048094</v>
      </c>
    </row>
    <row r="406" spans="30:34">
      <c r="AD406">
        <v>1095.5</v>
      </c>
      <c r="AE406">
        <v>11336955.1196665</v>
      </c>
      <c r="AG406">
        <v>1090.5</v>
      </c>
      <c r="AH406">
        <v>86185.899999919799</v>
      </c>
    </row>
    <row r="407" spans="30:34">
      <c r="AD407">
        <v>1096</v>
      </c>
      <c r="AE407">
        <v>11380872.807508299</v>
      </c>
      <c r="AG407">
        <v>1091</v>
      </c>
      <c r="AH407">
        <v>86344.800000038595</v>
      </c>
    </row>
    <row r="408" spans="30:34">
      <c r="AD408">
        <v>1096.5</v>
      </c>
      <c r="AE408">
        <v>11424872.443942299</v>
      </c>
      <c r="AG408">
        <v>1091.5</v>
      </c>
      <c r="AH408">
        <v>86503.699999910197</v>
      </c>
    </row>
    <row r="409" spans="30:34">
      <c r="AD409">
        <v>1097</v>
      </c>
      <c r="AE409">
        <v>11468946.247500001</v>
      </c>
      <c r="AG409">
        <v>1092</v>
      </c>
      <c r="AH409">
        <v>86662.600000028993</v>
      </c>
    </row>
    <row r="410" spans="30:34">
      <c r="AD410">
        <v>1097.5</v>
      </c>
      <c r="AE410">
        <v>11513107.0816865</v>
      </c>
      <c r="AG410">
        <v>1092.5</v>
      </c>
      <c r="AH410">
        <v>86821.499999900596</v>
      </c>
    </row>
    <row r="411" spans="30:34">
      <c r="AD411">
        <v>1098</v>
      </c>
      <c r="AE411">
        <v>11557346.991702899</v>
      </c>
      <c r="AG411">
        <v>1093</v>
      </c>
      <c r="AH411">
        <v>86980.400000019406</v>
      </c>
    </row>
    <row r="412" spans="30:34">
      <c r="AD412">
        <v>1098.5</v>
      </c>
      <c r="AE412">
        <v>11601673.657597501</v>
      </c>
      <c r="AG412">
        <v>1093.5</v>
      </c>
      <c r="AH412">
        <v>87139.299999891096</v>
      </c>
    </row>
    <row r="413" spans="30:34">
      <c r="AD413">
        <v>1099</v>
      </c>
      <c r="AE413">
        <v>11646067.268458299</v>
      </c>
      <c r="AG413">
        <v>1094</v>
      </c>
      <c r="AH413">
        <v>87298.200000009805</v>
      </c>
    </row>
    <row r="414" spans="30:34">
      <c r="AD414">
        <v>1099.5</v>
      </c>
      <c r="AE414">
        <v>11690576.885405101</v>
      </c>
      <c r="AG414">
        <v>1094.5</v>
      </c>
      <c r="AH414">
        <v>87457.099999881495</v>
      </c>
    </row>
    <row r="415" spans="30:34">
      <c r="AD415">
        <v>1100</v>
      </c>
      <c r="AE415">
        <v>11735176.0511369</v>
      </c>
      <c r="AG415">
        <v>1095</v>
      </c>
      <c r="AH415">
        <v>87616.062980490198</v>
      </c>
    </row>
    <row r="416" spans="30:34">
      <c r="AD416">
        <v>1100.5</v>
      </c>
      <c r="AE416">
        <v>11779866.8135964</v>
      </c>
      <c r="AG416">
        <v>1095.5</v>
      </c>
      <c r="AH416">
        <v>87761.053272894002</v>
      </c>
    </row>
    <row r="417" spans="30:34">
      <c r="AD417">
        <v>1101</v>
      </c>
      <c r="AE417">
        <v>11824637.101507399</v>
      </c>
      <c r="AG417">
        <v>1096</v>
      </c>
      <c r="AH417">
        <v>87923.729009635194</v>
      </c>
    </row>
    <row r="418" spans="30:34">
      <c r="AD418">
        <v>1101.5</v>
      </c>
      <c r="AE418">
        <v>11869502.2728585</v>
      </c>
      <c r="AG418">
        <v>1096.5</v>
      </c>
      <c r="AH418">
        <v>88069.740139837304</v>
      </c>
    </row>
    <row r="419" spans="30:34">
      <c r="AD419">
        <v>1102</v>
      </c>
      <c r="AE419">
        <v>11914439.1275513</v>
      </c>
      <c r="AG419">
        <v>1097</v>
      </c>
      <c r="AH419">
        <v>88240.769955021402</v>
      </c>
    </row>
    <row r="420" spans="30:34">
      <c r="AD420">
        <v>1102.5</v>
      </c>
      <c r="AE420">
        <v>11959478.534544401</v>
      </c>
      <c r="AG420">
        <v>1097.5</v>
      </c>
      <c r="AH420">
        <v>88399.776258639802</v>
      </c>
    </row>
    <row r="421" spans="30:34">
      <c r="AD421">
        <v>1103</v>
      </c>
      <c r="AE421">
        <v>12004602.4433088</v>
      </c>
      <c r="AG421">
        <v>1098</v>
      </c>
      <c r="AH421">
        <v>88574.128721972695</v>
      </c>
    </row>
    <row r="422" spans="30:34">
      <c r="AD422">
        <v>1103.5</v>
      </c>
      <c r="AE422">
        <v>12049826.630079901</v>
      </c>
      <c r="AG422">
        <v>1098.5</v>
      </c>
      <c r="AH422">
        <v>88726.568862568107</v>
      </c>
    </row>
    <row r="423" spans="30:34">
      <c r="AD423">
        <v>1104</v>
      </c>
      <c r="AE423">
        <v>12095140.2590273</v>
      </c>
      <c r="AG423">
        <v>1099</v>
      </c>
      <c r="AH423">
        <v>88904.057824870804</v>
      </c>
    </row>
    <row r="424" spans="30:34">
      <c r="AD424">
        <v>1104.5</v>
      </c>
      <c r="AE424">
        <v>12140560.319618899</v>
      </c>
      <c r="AG424">
        <v>1099.5</v>
      </c>
      <c r="AH424">
        <v>89117.533987310904</v>
      </c>
    </row>
    <row r="425" spans="30:34">
      <c r="AD425">
        <v>1105</v>
      </c>
      <c r="AE425">
        <v>12186069.167979101</v>
      </c>
      <c r="AG425">
        <v>1100</v>
      </c>
      <c r="AH425">
        <v>89299.865594608797</v>
      </c>
    </row>
    <row r="426" spans="30:34">
      <c r="AD426">
        <v>1105.5</v>
      </c>
      <c r="AE426">
        <v>12231691.055376999</v>
      </c>
      <c r="AG426">
        <v>1100.5</v>
      </c>
      <c r="AH426">
        <v>89457.946666489399</v>
      </c>
    </row>
    <row r="427" spans="30:34">
      <c r="AD427">
        <v>1106</v>
      </c>
      <c r="AE427">
        <v>12277410.0627295</v>
      </c>
      <c r="AG427">
        <v>1101</v>
      </c>
      <c r="AH427">
        <v>89646.317581449606</v>
      </c>
    </row>
    <row r="428" spans="30:34">
      <c r="AD428">
        <v>1106.5</v>
      </c>
      <c r="AE428">
        <v>12323247.800812799</v>
      </c>
      <c r="AG428">
        <v>1101.5</v>
      </c>
      <c r="AH428">
        <v>89808.464859610496</v>
      </c>
    </row>
    <row r="429" spans="30:34">
      <c r="AD429">
        <v>1107</v>
      </c>
      <c r="AE429">
        <v>12369192.243345199</v>
      </c>
      <c r="AG429">
        <v>1102</v>
      </c>
      <c r="AH429">
        <v>89969.500727449296</v>
      </c>
    </row>
    <row r="430" spans="30:34">
      <c r="AD430">
        <v>1107.5</v>
      </c>
      <c r="AE430">
        <v>12415245.8560299</v>
      </c>
      <c r="AG430">
        <v>1102.5</v>
      </c>
      <c r="AH430">
        <v>90157.210660965895</v>
      </c>
    </row>
    <row r="431" spans="30:34">
      <c r="AD431">
        <v>1108</v>
      </c>
      <c r="AE431">
        <v>12461401.6614637</v>
      </c>
      <c r="AG431">
        <v>1103</v>
      </c>
      <c r="AH431">
        <v>90358.926894949705</v>
      </c>
    </row>
    <row r="432" spans="30:34">
      <c r="AD432">
        <v>1108.5</v>
      </c>
      <c r="AE432">
        <v>12507673.608615801</v>
      </c>
      <c r="AG432">
        <v>1103.5</v>
      </c>
      <c r="AH432">
        <v>90532.3796396814</v>
      </c>
    </row>
    <row r="433" spans="30:34">
      <c r="AD433">
        <v>1109</v>
      </c>
      <c r="AE433">
        <v>12554079.816277299</v>
      </c>
      <c r="AG433">
        <v>1104</v>
      </c>
      <c r="AH433">
        <v>90742.8503960159</v>
      </c>
    </row>
    <row r="434" spans="30:34">
      <c r="AD434">
        <v>1109.5</v>
      </c>
      <c r="AE434">
        <v>12600613.938347699</v>
      </c>
      <c r="AG434">
        <v>1104.5</v>
      </c>
      <c r="AH434">
        <v>90940.022114929307</v>
      </c>
    </row>
    <row r="435" spans="30:34">
      <c r="AD435">
        <v>1110</v>
      </c>
      <c r="AE435">
        <v>12647247.278336201</v>
      </c>
      <c r="AG435">
        <v>1105</v>
      </c>
      <c r="AH435">
        <v>91125.863008329194</v>
      </c>
    </row>
    <row r="436" spans="30:34">
      <c r="AD436">
        <v>1110.5</v>
      </c>
      <c r="AE436">
        <v>12694010.3446775</v>
      </c>
      <c r="AG436">
        <v>1105.5</v>
      </c>
      <c r="AH436">
        <v>91336.563008279802</v>
      </c>
    </row>
    <row r="437" spans="30:34">
      <c r="AD437">
        <v>1111</v>
      </c>
      <c r="AE437">
        <v>12740876.2858209</v>
      </c>
      <c r="AG437">
        <v>1106</v>
      </c>
      <c r="AH437">
        <v>91559.714252539794</v>
      </c>
    </row>
    <row r="438" spans="30:34">
      <c r="AD438">
        <v>1111.5</v>
      </c>
      <c r="AE438">
        <v>12787856.315713501</v>
      </c>
      <c r="AG438">
        <v>1106.5</v>
      </c>
      <c r="AH438">
        <v>91788.077263118699</v>
      </c>
    </row>
    <row r="439" spans="30:34">
      <c r="AD439">
        <v>1112</v>
      </c>
      <c r="AE439">
        <v>12834932.7890206</v>
      </c>
      <c r="AG439">
        <v>1107</v>
      </c>
      <c r="AH439">
        <v>92005.595951483294</v>
      </c>
    </row>
    <row r="440" spans="30:34">
      <c r="AD440">
        <v>1112.5</v>
      </c>
      <c r="AE440">
        <v>12882121.668441501</v>
      </c>
      <c r="AG440">
        <v>1107.5</v>
      </c>
      <c r="AH440">
        <v>92205.349480796896</v>
      </c>
    </row>
    <row r="441" spans="30:34">
      <c r="AD441">
        <v>1113</v>
      </c>
      <c r="AE441">
        <v>12929400.7594057</v>
      </c>
      <c r="AG441">
        <v>1108</v>
      </c>
      <c r="AH441">
        <v>92446.709155826</v>
      </c>
    </row>
    <row r="442" spans="30:34">
      <c r="AD442">
        <v>1113.5</v>
      </c>
      <c r="AE442">
        <v>12976786.5713575</v>
      </c>
      <c r="AG442">
        <v>1108.5</v>
      </c>
      <c r="AH442">
        <v>92678.404242612407</v>
      </c>
    </row>
    <row r="443" spans="30:34">
      <c r="AD443">
        <v>1114</v>
      </c>
      <c r="AE443">
        <v>13024254.8973739</v>
      </c>
      <c r="AG443">
        <v>1109</v>
      </c>
      <c r="AH443">
        <v>92962.604733302898</v>
      </c>
    </row>
    <row r="444" spans="30:34">
      <c r="AD444">
        <v>1114.5</v>
      </c>
      <c r="AE444">
        <v>13071819.661210701</v>
      </c>
      <c r="AG444">
        <v>1109.5</v>
      </c>
      <c r="AH444">
        <v>93165.856599973296</v>
      </c>
    </row>
    <row r="445" spans="30:34">
      <c r="AD445">
        <v>1115</v>
      </c>
      <c r="AE445">
        <v>13119488.2086592</v>
      </c>
      <c r="AG445">
        <v>1110</v>
      </c>
      <c r="AH445">
        <v>93419.180100734404</v>
      </c>
    </row>
    <row r="446" spans="30:34">
      <c r="AD446">
        <v>1115.5</v>
      </c>
      <c r="AE446">
        <v>13167265.487258799</v>
      </c>
      <c r="AG446">
        <v>1110.5</v>
      </c>
      <c r="AH446">
        <v>93634.546067062198</v>
      </c>
    </row>
    <row r="447" spans="30:34">
      <c r="AD447">
        <v>1116</v>
      </c>
      <c r="AE447">
        <v>13215135.392516101</v>
      </c>
      <c r="AG447">
        <v>1111</v>
      </c>
      <c r="AH447">
        <v>93886.105813873393</v>
      </c>
    </row>
    <row r="448" spans="30:34">
      <c r="AD448">
        <v>1116.5</v>
      </c>
      <c r="AE448">
        <v>13263113.844244</v>
      </c>
      <c r="AG448">
        <v>1111.5</v>
      </c>
      <c r="AH448">
        <v>94064.288130648594</v>
      </c>
    </row>
    <row r="449" spans="30:34">
      <c r="AD449">
        <v>1117</v>
      </c>
      <c r="AE449">
        <v>13311186.671824399</v>
      </c>
      <c r="AG449">
        <v>1112</v>
      </c>
      <c r="AH449">
        <v>94285.056626920195</v>
      </c>
    </row>
    <row r="450" spans="30:34">
      <c r="AD450">
        <v>1117.5</v>
      </c>
      <c r="AE450">
        <v>13359355.6301271</v>
      </c>
      <c r="AG450">
        <v>1112.5</v>
      </c>
      <c r="AH450">
        <v>94473.640432803601</v>
      </c>
    </row>
    <row r="451" spans="30:34">
      <c r="AD451">
        <v>1118</v>
      </c>
      <c r="AE451">
        <v>13407594.218234999</v>
      </c>
      <c r="AG451">
        <v>1113</v>
      </c>
      <c r="AH451">
        <v>94686.049049833295</v>
      </c>
    </row>
    <row r="452" spans="30:34">
      <c r="AD452">
        <v>1118.5</v>
      </c>
      <c r="AE452">
        <v>13455931.760130599</v>
      </c>
      <c r="AG452">
        <v>1113.5</v>
      </c>
      <c r="AH452">
        <v>94850.912689004501</v>
      </c>
    </row>
    <row r="453" spans="30:34">
      <c r="AD453">
        <v>1119</v>
      </c>
      <c r="AE453">
        <v>13504347.202241</v>
      </c>
      <c r="AG453">
        <v>1114</v>
      </c>
      <c r="AH453">
        <v>95055.888297827303</v>
      </c>
    </row>
    <row r="454" spans="30:34">
      <c r="AD454">
        <v>1119.5</v>
      </c>
      <c r="AE454">
        <v>13552852.0614767</v>
      </c>
      <c r="AG454">
        <v>1114.5</v>
      </c>
      <c r="AH454">
        <v>95243.583003721898</v>
      </c>
    </row>
    <row r="455" spans="30:34">
      <c r="AD455">
        <v>1120</v>
      </c>
      <c r="AE455">
        <v>13601435.3455396</v>
      </c>
      <c r="AG455">
        <v>1115</v>
      </c>
      <c r="AH455">
        <v>95459.938013045597</v>
      </c>
    </row>
    <row r="456" spans="30:34">
      <c r="AD456">
        <v>1120.5</v>
      </c>
      <c r="AE456">
        <v>13650107.556570601</v>
      </c>
      <c r="AG456">
        <v>1115.5</v>
      </c>
      <c r="AH456">
        <v>95643.994737143104</v>
      </c>
    </row>
    <row r="457" spans="30:34">
      <c r="AD457">
        <v>1121</v>
      </c>
      <c r="AE457">
        <v>13698851.7560957</v>
      </c>
      <c r="AG457">
        <v>1116</v>
      </c>
      <c r="AH457">
        <v>95858.778650698601</v>
      </c>
    </row>
    <row r="458" spans="30:34">
      <c r="AD458">
        <v>1121.5</v>
      </c>
      <c r="AE458">
        <v>13747698.8181001</v>
      </c>
      <c r="AG458">
        <v>1116.5</v>
      </c>
      <c r="AH458">
        <v>96057.271431058602</v>
      </c>
    </row>
    <row r="459" spans="30:34">
      <c r="AD459">
        <v>1122</v>
      </c>
      <c r="AE459">
        <v>13796635.7687406</v>
      </c>
      <c r="AG459">
        <v>1117</v>
      </c>
      <c r="AH459">
        <v>96253.025925983398</v>
      </c>
    </row>
    <row r="460" spans="30:34">
      <c r="AD460">
        <v>1122.5</v>
      </c>
      <c r="AE460">
        <v>13845676.0069173</v>
      </c>
      <c r="AG460">
        <v>1117.5</v>
      </c>
      <c r="AH460">
        <v>96415.246936930605</v>
      </c>
    </row>
    <row r="461" spans="30:34">
      <c r="AD461">
        <v>1123</v>
      </c>
      <c r="AE461">
        <v>13894813.159208501</v>
      </c>
      <c r="AG461">
        <v>1118</v>
      </c>
      <c r="AH461">
        <v>96571.050221798796</v>
      </c>
    </row>
    <row r="462" spans="30:34">
      <c r="AD462">
        <v>1123.5</v>
      </c>
      <c r="AE462">
        <v>13944059.6884649</v>
      </c>
      <c r="AG462">
        <v>1118.5</v>
      </c>
      <c r="AH462">
        <v>96749.2813836477</v>
      </c>
    </row>
    <row r="463" spans="30:34">
      <c r="AD463">
        <v>1124</v>
      </c>
      <c r="AE463">
        <v>13993404.4922125</v>
      </c>
      <c r="AG463">
        <v>1119</v>
      </c>
      <c r="AH463">
        <v>96928.449282955102</v>
      </c>
    </row>
    <row r="464" spans="30:34">
      <c r="AD464">
        <v>1124.5</v>
      </c>
      <c r="AE464">
        <v>14042853.475037601</v>
      </c>
      <c r="AG464">
        <v>1119.5</v>
      </c>
      <c r="AH464">
        <v>97084.764578575297</v>
      </c>
    </row>
    <row r="465" spans="30:34">
      <c r="AD465">
        <v>1125</v>
      </c>
      <c r="AE465">
        <v>14092429.2477313</v>
      </c>
      <c r="AG465">
        <v>1120</v>
      </c>
      <c r="AH465">
        <v>97261.276808177994</v>
      </c>
    </row>
    <row r="466" spans="30:34">
      <c r="AD466">
        <v>1125.5</v>
      </c>
      <c r="AE466">
        <v>14142122.0084466</v>
      </c>
      <c r="AG466">
        <v>1120.5</v>
      </c>
      <c r="AH466">
        <v>97422.114923263405</v>
      </c>
    </row>
    <row r="467" spans="30:34">
      <c r="AD467">
        <v>1126</v>
      </c>
      <c r="AE467">
        <v>14191920.5246714</v>
      </c>
      <c r="AG467">
        <v>1121</v>
      </c>
      <c r="AH467">
        <v>97588.793089127299</v>
      </c>
    </row>
    <row r="468" spans="30:34">
      <c r="AD468">
        <v>1126.5</v>
      </c>
      <c r="AE468">
        <v>14241840.7447554</v>
      </c>
      <c r="AG468">
        <v>1121.5</v>
      </c>
      <c r="AH468">
        <v>97777.972846472403</v>
      </c>
    </row>
    <row r="469" spans="30:34">
      <c r="AD469">
        <v>1127</v>
      </c>
      <c r="AE469">
        <v>14291876.4094253</v>
      </c>
      <c r="AG469">
        <v>1122</v>
      </c>
      <c r="AH469">
        <v>97983.236039256299</v>
      </c>
    </row>
    <row r="470" spans="30:34">
      <c r="AD470">
        <v>1127.5</v>
      </c>
      <c r="AE470">
        <v>14342013.7760386</v>
      </c>
      <c r="AG470">
        <v>1122.5</v>
      </c>
      <c r="AH470">
        <v>98172.408885558107</v>
      </c>
    </row>
    <row r="471" spans="30:34">
      <c r="AD471">
        <v>1128</v>
      </c>
      <c r="AE471">
        <v>14392260.8511988</v>
      </c>
      <c r="AG471">
        <v>1123</v>
      </c>
      <c r="AH471">
        <v>98389.240295524301</v>
      </c>
    </row>
    <row r="472" spans="30:34">
      <c r="AD472">
        <v>1128.5</v>
      </c>
      <c r="AE472">
        <v>14442623.555220099</v>
      </c>
      <c r="AG472">
        <v>1123.5</v>
      </c>
      <c r="AH472">
        <v>98588.430028952498</v>
      </c>
    </row>
    <row r="473" spans="30:34">
      <c r="AD473">
        <v>1129</v>
      </c>
      <c r="AE473">
        <v>14493095.2497396</v>
      </c>
      <c r="AG473">
        <v>1124</v>
      </c>
      <c r="AH473">
        <v>98804.532014473705</v>
      </c>
    </row>
    <row r="474" spans="30:34">
      <c r="AD474">
        <v>1129.5</v>
      </c>
      <c r="AE474">
        <v>14543676.074605299</v>
      </c>
      <c r="AG474">
        <v>1124.5</v>
      </c>
      <c r="AH474">
        <v>99042.734826331405</v>
      </c>
    </row>
    <row r="475" spans="30:34">
      <c r="AD475">
        <v>1130</v>
      </c>
      <c r="AE475">
        <v>14594353.514108</v>
      </c>
      <c r="AG475">
        <v>1125</v>
      </c>
      <c r="AH475">
        <v>99275.413635687699</v>
      </c>
    </row>
    <row r="476" spans="30:34">
      <c r="AD476">
        <v>1130.5</v>
      </c>
      <c r="AE476">
        <v>14645137.2698093</v>
      </c>
      <c r="AG476">
        <v>1125.5</v>
      </c>
      <c r="AH476">
        <v>99488.648161682693</v>
      </c>
    </row>
    <row r="477" spans="30:34">
      <c r="AD477">
        <v>1131</v>
      </c>
      <c r="AE477">
        <v>14696039.588018401</v>
      </c>
      <c r="AG477">
        <v>1126</v>
      </c>
      <c r="AH477">
        <v>99720.660600721196</v>
      </c>
    </row>
    <row r="478" spans="30:34">
      <c r="AD478">
        <v>1131.5</v>
      </c>
      <c r="AE478">
        <v>14747053.120511999</v>
      </c>
      <c r="AG478">
        <v>1126.5</v>
      </c>
      <c r="AH478">
        <v>99967.917126418906</v>
      </c>
    </row>
    <row r="479" spans="30:34">
      <c r="AD479">
        <v>1132</v>
      </c>
      <c r="AE479">
        <v>14798163.263264701</v>
      </c>
      <c r="AG479">
        <v>1127</v>
      </c>
      <c r="AH479">
        <v>100191.844646798</v>
      </c>
    </row>
    <row r="480" spans="30:34">
      <c r="AD480">
        <v>1132.5</v>
      </c>
      <c r="AE480">
        <v>14849388.496646101</v>
      </c>
      <c r="AG480">
        <v>1127.5</v>
      </c>
      <c r="AH480">
        <v>100391.343457661</v>
      </c>
    </row>
    <row r="481" spans="30:34">
      <c r="AD481">
        <v>1133</v>
      </c>
      <c r="AE481">
        <v>14900711.027690301</v>
      </c>
      <c r="AG481">
        <v>1128</v>
      </c>
      <c r="AH481">
        <v>100617.15340089001</v>
      </c>
    </row>
    <row r="482" spans="30:34">
      <c r="AD482">
        <v>1133.5</v>
      </c>
      <c r="AE482">
        <v>14952154.5606783</v>
      </c>
      <c r="AG482">
        <v>1128.5</v>
      </c>
      <c r="AH482">
        <v>100840.93205782201</v>
      </c>
    </row>
    <row r="483" spans="30:34">
      <c r="AD483">
        <v>1134</v>
      </c>
      <c r="AE483">
        <v>15003688.792285901</v>
      </c>
      <c r="AG483">
        <v>1129</v>
      </c>
      <c r="AH483">
        <v>101062.553628836</v>
      </c>
    </row>
    <row r="484" spans="30:34">
      <c r="AD484">
        <v>1134.5</v>
      </c>
      <c r="AE484">
        <v>15055351.329471501</v>
      </c>
      <c r="AG484">
        <v>1129.5</v>
      </c>
      <c r="AH484">
        <v>101254.79573895699</v>
      </c>
    </row>
    <row r="485" spans="30:34">
      <c r="AD485">
        <v>1135</v>
      </c>
      <c r="AE485">
        <v>15107118.973920099</v>
      </c>
      <c r="AG485">
        <v>1130</v>
      </c>
      <c r="AH485">
        <v>101477.26798902699</v>
      </c>
    </row>
    <row r="486" spans="30:34">
      <c r="AD486">
        <v>1135.5</v>
      </c>
      <c r="AE486">
        <v>15159012.9737761</v>
      </c>
      <c r="AG486">
        <v>1130.5</v>
      </c>
      <c r="AH486">
        <v>101703.973143161</v>
      </c>
    </row>
    <row r="487" spans="30:34">
      <c r="AD487">
        <v>1136</v>
      </c>
      <c r="AE487">
        <v>15211315.5725952</v>
      </c>
      <c r="AG487">
        <v>1131</v>
      </c>
      <c r="AH487">
        <v>101926.941828436</v>
      </c>
    </row>
    <row r="488" spans="30:34">
      <c r="AD488">
        <v>1136.5</v>
      </c>
      <c r="AE488">
        <v>15263817.568270201</v>
      </c>
      <c r="AG488">
        <v>1131.5</v>
      </c>
      <c r="AH488">
        <v>102120.593042169</v>
      </c>
    </row>
    <row r="489" spans="30:34">
      <c r="AD489">
        <v>1137</v>
      </c>
      <c r="AE489">
        <v>15316471.2951618</v>
      </c>
      <c r="AG489">
        <v>1132</v>
      </c>
      <c r="AH489">
        <v>102349.993332939</v>
      </c>
    </row>
    <row r="490" spans="30:34">
      <c r="AD490">
        <v>1137.5</v>
      </c>
      <c r="AE490">
        <v>15369288.286475999</v>
      </c>
      <c r="AG490">
        <v>1132.5</v>
      </c>
      <c r="AH490">
        <v>102544.430029196</v>
      </c>
    </row>
    <row r="491" spans="30:34">
      <c r="AD491">
        <v>1138</v>
      </c>
      <c r="AE491">
        <v>15422233.170958299</v>
      </c>
      <c r="AG491">
        <v>1133</v>
      </c>
      <c r="AH491">
        <v>102784.16117622401</v>
      </c>
    </row>
    <row r="492" spans="30:34">
      <c r="AD492">
        <v>1138.5</v>
      </c>
      <c r="AE492">
        <v>15475338.099061901</v>
      </c>
      <c r="AG492">
        <v>1133.5</v>
      </c>
      <c r="AH492">
        <v>102983.9357347</v>
      </c>
    </row>
    <row r="493" spans="30:34">
      <c r="AD493">
        <v>1139</v>
      </c>
      <c r="AE493">
        <v>15528574.404941</v>
      </c>
      <c r="AG493">
        <v>1134</v>
      </c>
      <c r="AH493">
        <v>103188.826879938</v>
      </c>
    </row>
    <row r="494" spans="30:34">
      <c r="AD494">
        <v>1139.5</v>
      </c>
      <c r="AE494">
        <v>15581958.2837267</v>
      </c>
      <c r="AG494">
        <v>1134.5</v>
      </c>
      <c r="AH494">
        <v>103426.221725647</v>
      </c>
    </row>
    <row r="495" spans="30:34">
      <c r="AD495">
        <v>1140</v>
      </c>
      <c r="AE495">
        <v>15635449.398708301</v>
      </c>
      <c r="AG495">
        <v>1135</v>
      </c>
      <c r="AH495">
        <v>103670.290905253</v>
      </c>
    </row>
    <row r="496" spans="30:34">
      <c r="AD496">
        <v>1140.5</v>
      </c>
      <c r="AE496">
        <v>15689102.626980901</v>
      </c>
      <c r="AG496">
        <v>1135.5</v>
      </c>
      <c r="AH496">
        <v>104284.72633820699</v>
      </c>
    </row>
    <row r="497" spans="30:34">
      <c r="AD497">
        <v>1141</v>
      </c>
      <c r="AE497">
        <v>15742879.3814338</v>
      </c>
      <c r="AG497">
        <v>1136</v>
      </c>
      <c r="AH497">
        <v>104815.91023717199</v>
      </c>
    </row>
    <row r="498" spans="30:34">
      <c r="AD498">
        <v>1141.5</v>
      </c>
      <c r="AE498">
        <v>15796788.639661901</v>
      </c>
      <c r="AG498">
        <v>1136.5</v>
      </c>
      <c r="AH498">
        <v>105182.988366946</v>
      </c>
    </row>
    <row r="499" spans="30:34">
      <c r="AD499">
        <v>1142</v>
      </c>
      <c r="AE499">
        <v>15850807.860433299</v>
      </c>
      <c r="AG499">
        <v>1137</v>
      </c>
      <c r="AH499">
        <v>105460.39823520499</v>
      </c>
    </row>
    <row r="500" spans="30:34">
      <c r="AD500">
        <v>1142.5</v>
      </c>
      <c r="AE500">
        <v>15904969.400770901</v>
      </c>
      <c r="AG500">
        <v>1137.5</v>
      </c>
      <c r="AH500">
        <v>105757.998596644</v>
      </c>
    </row>
    <row r="501" spans="30:34">
      <c r="AD501">
        <v>1143</v>
      </c>
      <c r="AE501">
        <v>15959245.8691891</v>
      </c>
      <c r="AG501">
        <v>1138</v>
      </c>
      <c r="AH501">
        <v>106073.211345962</v>
      </c>
    </row>
    <row r="502" spans="30:34">
      <c r="AD502">
        <v>1143.5</v>
      </c>
      <c r="AE502">
        <v>16013645.5873344</v>
      </c>
      <c r="AG502">
        <v>1138.5</v>
      </c>
      <c r="AH502">
        <v>106345.387856328</v>
      </c>
    </row>
    <row r="503" spans="30:34">
      <c r="AD503">
        <v>1144</v>
      </c>
      <c r="AE503">
        <v>16068161.431875501</v>
      </c>
      <c r="AG503">
        <v>1139</v>
      </c>
      <c r="AH503">
        <v>106649.223940107</v>
      </c>
    </row>
    <row r="504" spans="30:34">
      <c r="AD504">
        <v>1144.5</v>
      </c>
      <c r="AE504">
        <v>16122822.008340901</v>
      </c>
      <c r="AG504">
        <v>1139.5</v>
      </c>
      <c r="AH504">
        <v>106878.59891913099</v>
      </c>
    </row>
    <row r="505" spans="30:34">
      <c r="AD505">
        <v>1145</v>
      </c>
      <c r="AE505">
        <v>16177600.869726</v>
      </c>
      <c r="AG505">
        <v>1140</v>
      </c>
      <c r="AH505">
        <v>107119.538279026</v>
      </c>
    </row>
    <row r="506" spans="30:34">
      <c r="AD506">
        <v>1145.5</v>
      </c>
      <c r="AE506">
        <v>16232520.580205601</v>
      </c>
      <c r="AG506">
        <v>1140.5</v>
      </c>
      <c r="AH506">
        <v>107440.35899849</v>
      </c>
    </row>
    <row r="507" spans="30:34">
      <c r="AD507">
        <v>1146</v>
      </c>
      <c r="AE507">
        <v>16287557.659985401</v>
      </c>
      <c r="AG507">
        <v>1141</v>
      </c>
      <c r="AH507">
        <v>107706.705133982</v>
      </c>
    </row>
    <row r="508" spans="30:34">
      <c r="AD508">
        <v>1146.5</v>
      </c>
      <c r="AE508">
        <v>16342736.1664118</v>
      </c>
      <c r="AG508">
        <v>1141.5</v>
      </c>
      <c r="AH508">
        <v>107924.468060317</v>
      </c>
    </row>
    <row r="509" spans="30:34">
      <c r="AD509">
        <v>1147</v>
      </c>
      <c r="AE509">
        <v>16398050.2093293</v>
      </c>
      <c r="AG509">
        <v>1142</v>
      </c>
      <c r="AH509">
        <v>108202.970678488</v>
      </c>
    </row>
    <row r="510" spans="30:34">
      <c r="AD510">
        <v>1147.5</v>
      </c>
      <c r="AE510">
        <v>16453505.4475969</v>
      </c>
      <c r="AG510">
        <v>1142.5</v>
      </c>
      <c r="AH510">
        <v>108439.693393853</v>
      </c>
    </row>
    <row r="511" spans="30:34">
      <c r="AD511">
        <v>1148</v>
      </c>
      <c r="AE511">
        <v>16509077.231480099</v>
      </c>
      <c r="AG511">
        <v>1143</v>
      </c>
      <c r="AH511">
        <v>108713.03703804</v>
      </c>
    </row>
    <row r="512" spans="30:34">
      <c r="AD512">
        <v>1148.5</v>
      </c>
      <c r="AE512">
        <v>16564795.916026499</v>
      </c>
      <c r="AG512">
        <v>1143.5</v>
      </c>
      <c r="AH512">
        <v>108922.239125693</v>
      </c>
    </row>
    <row r="513" spans="30:34">
      <c r="AD513">
        <v>1149</v>
      </c>
      <c r="AE513">
        <v>16620634.951108599</v>
      </c>
      <c r="AG513">
        <v>1144</v>
      </c>
      <c r="AH513">
        <v>109197.800411195</v>
      </c>
    </row>
    <row r="514" spans="30:34">
      <c r="AD514">
        <v>1149.5</v>
      </c>
      <c r="AE514">
        <v>16676615.5472537</v>
      </c>
      <c r="AG514">
        <v>1144.5</v>
      </c>
      <c r="AH514">
        <v>109439.029501656</v>
      </c>
    </row>
    <row r="515" spans="30:34">
      <c r="AD515">
        <v>1150</v>
      </c>
      <c r="AE515">
        <v>16732705.187890399</v>
      </c>
      <c r="AG515">
        <v>1145</v>
      </c>
      <c r="AH515">
        <v>109719.21845467199</v>
      </c>
    </row>
    <row r="516" spans="30:34">
      <c r="AD516">
        <v>1150.5</v>
      </c>
      <c r="AE516">
        <v>16788954.3370777</v>
      </c>
      <c r="AG516">
        <v>1145.5</v>
      </c>
      <c r="AH516">
        <v>109952.862981018</v>
      </c>
    </row>
    <row r="517" spans="30:34">
      <c r="AD517">
        <v>1151</v>
      </c>
      <c r="AE517">
        <v>16845331.890912</v>
      </c>
      <c r="AG517">
        <v>1146</v>
      </c>
      <c r="AH517">
        <v>110242.03360528901</v>
      </c>
    </row>
    <row r="518" spans="30:34">
      <c r="AD518">
        <v>1151.5</v>
      </c>
      <c r="AE518">
        <v>16901855.935999401</v>
      </c>
      <c r="AG518">
        <v>1146.5</v>
      </c>
      <c r="AH518">
        <v>110505.880966932</v>
      </c>
    </row>
    <row r="519" spans="30:34">
      <c r="AD519">
        <v>1152</v>
      </c>
      <c r="AE519">
        <v>16958547.834956799</v>
      </c>
      <c r="AG519">
        <v>1147</v>
      </c>
      <c r="AH519">
        <v>110789.935827796</v>
      </c>
    </row>
    <row r="520" spans="30:34">
      <c r="AD520">
        <v>1152.5</v>
      </c>
      <c r="AE520">
        <v>17015394.745357499</v>
      </c>
      <c r="AG520">
        <v>1147.5</v>
      </c>
      <c r="AH520">
        <v>111023.090086686</v>
      </c>
    </row>
    <row r="521" spans="30:34">
      <c r="AD521">
        <v>1153</v>
      </c>
      <c r="AE521">
        <v>17072358.4132131</v>
      </c>
      <c r="AG521">
        <v>1148</v>
      </c>
      <c r="AH521">
        <v>111305.98201377899</v>
      </c>
    </row>
    <row r="522" spans="30:34">
      <c r="AD522">
        <v>1153.5</v>
      </c>
      <c r="AE522">
        <v>17129472.7416576</v>
      </c>
      <c r="AG522">
        <v>1148.5</v>
      </c>
      <c r="AH522">
        <v>111557.380728932</v>
      </c>
    </row>
    <row r="523" spans="30:34">
      <c r="AD523">
        <v>1154</v>
      </c>
      <c r="AE523">
        <v>17186706.531690799</v>
      </c>
      <c r="AG523">
        <v>1149</v>
      </c>
      <c r="AH523">
        <v>111838.762519424</v>
      </c>
    </row>
    <row r="524" spans="30:34">
      <c r="AD524">
        <v>1154.5</v>
      </c>
      <c r="AE524">
        <v>17244078.873743899</v>
      </c>
      <c r="AG524">
        <v>1149.5</v>
      </c>
      <c r="AH524">
        <v>112076.574224004</v>
      </c>
    </row>
    <row r="525" spans="30:34">
      <c r="AD525">
        <v>1155</v>
      </c>
      <c r="AE525">
        <v>17301581.601097401</v>
      </c>
      <c r="AG525">
        <v>1150</v>
      </c>
      <c r="AH525">
        <v>112323.06105745801</v>
      </c>
    </row>
    <row r="526" spans="30:34">
      <c r="AD526">
        <v>1155.5</v>
      </c>
      <c r="AE526">
        <v>17359218.671491001</v>
      </c>
      <c r="AG526">
        <v>1150.5</v>
      </c>
      <c r="AH526">
        <v>112626.388705606</v>
      </c>
    </row>
    <row r="527" spans="30:34">
      <c r="AD527">
        <v>1156</v>
      </c>
      <c r="AE527">
        <v>17416961.400351699</v>
      </c>
      <c r="AG527">
        <v>1151</v>
      </c>
      <c r="AH527">
        <v>112916.817767406</v>
      </c>
    </row>
    <row r="528" spans="30:34">
      <c r="AD528">
        <v>1156.5</v>
      </c>
      <c r="AE528">
        <v>17474858.093619499</v>
      </c>
      <c r="AG528">
        <v>1151.5</v>
      </c>
      <c r="AH528">
        <v>113194.37002742301</v>
      </c>
    </row>
    <row r="529" spans="30:34">
      <c r="AD529">
        <v>1157</v>
      </c>
      <c r="AE529">
        <v>17532876.9881193</v>
      </c>
      <c r="AG529">
        <v>1152</v>
      </c>
      <c r="AH529">
        <v>113557.451682079</v>
      </c>
    </row>
    <row r="530" spans="30:34">
      <c r="AD530">
        <v>1157.5</v>
      </c>
      <c r="AE530">
        <v>17591045.0540899</v>
      </c>
      <c r="AG530">
        <v>1152.5</v>
      </c>
      <c r="AH530">
        <v>113820.31935588901</v>
      </c>
    </row>
    <row r="531" spans="30:34">
      <c r="AD531">
        <v>1158</v>
      </c>
      <c r="AE531">
        <v>17649368.799045101</v>
      </c>
      <c r="AG531">
        <v>1153</v>
      </c>
      <c r="AH531">
        <v>114072.098204864</v>
      </c>
    </row>
    <row r="532" spans="30:34">
      <c r="AD532">
        <v>1158.5</v>
      </c>
      <c r="AE532">
        <v>17707859.773702201</v>
      </c>
      <c r="AG532">
        <v>1153.5</v>
      </c>
      <c r="AH532">
        <v>114344.890469223</v>
      </c>
    </row>
    <row r="533" spans="30:34">
      <c r="AD533">
        <v>1159</v>
      </c>
      <c r="AE533">
        <v>17766478.315458599</v>
      </c>
      <c r="AG533">
        <v>1154</v>
      </c>
      <c r="AH533">
        <v>114616.37527751</v>
      </c>
    </row>
    <row r="534" spans="30:34">
      <c r="AD534">
        <v>1159.5</v>
      </c>
      <c r="AE534">
        <v>17825242.8876586</v>
      </c>
      <c r="AG534">
        <v>1154.5</v>
      </c>
      <c r="AH534">
        <v>114873.169854715</v>
      </c>
    </row>
    <row r="535" spans="30:34">
      <c r="AD535">
        <v>1160</v>
      </c>
      <c r="AE535">
        <v>17884154.129468601</v>
      </c>
      <c r="AG535">
        <v>1155</v>
      </c>
      <c r="AH535">
        <v>115153.162317439</v>
      </c>
    </row>
    <row r="536" spans="30:34">
      <c r="AD536">
        <v>1160.5</v>
      </c>
      <c r="AE536">
        <v>17943222.914498199</v>
      </c>
      <c r="AG536">
        <v>1155.5</v>
      </c>
      <c r="AH536">
        <v>115387.190213946</v>
      </c>
    </row>
    <row r="537" spans="30:34">
      <c r="AD537">
        <v>1161</v>
      </c>
      <c r="AE537">
        <v>18002431.8458151</v>
      </c>
      <c r="AG537">
        <v>1156</v>
      </c>
      <c r="AH537">
        <v>115624.363370545</v>
      </c>
    </row>
    <row r="538" spans="30:34">
      <c r="AD538">
        <v>1161.5</v>
      </c>
      <c r="AE538">
        <v>18061799.846194901</v>
      </c>
      <c r="AG538">
        <v>1156.5</v>
      </c>
      <c r="AH538">
        <v>115912.13890282001</v>
      </c>
    </row>
    <row r="539" spans="30:34">
      <c r="AD539">
        <v>1162</v>
      </c>
      <c r="AE539">
        <v>18121306.956932701</v>
      </c>
      <c r="AG539">
        <v>1157</v>
      </c>
      <c r="AH539">
        <v>116204.79203067601</v>
      </c>
    </row>
    <row r="540" spans="30:34">
      <c r="AD540">
        <v>1162.5</v>
      </c>
      <c r="AE540">
        <v>18180962.682181399</v>
      </c>
      <c r="AG540">
        <v>1157.5</v>
      </c>
      <c r="AH540">
        <v>116466.084697781</v>
      </c>
    </row>
    <row r="541" spans="30:34">
      <c r="AD541">
        <v>1163</v>
      </c>
      <c r="AE541">
        <v>18240770.9309568</v>
      </c>
      <c r="AG541">
        <v>1158</v>
      </c>
      <c r="AH541">
        <v>116849.036051929</v>
      </c>
    </row>
    <row r="542" spans="30:34">
      <c r="AD542">
        <v>1163.5</v>
      </c>
      <c r="AE542">
        <v>18300740.1415672</v>
      </c>
      <c r="AG542">
        <v>1158.5</v>
      </c>
      <c r="AH542">
        <v>117105.45841059199</v>
      </c>
    </row>
    <row r="543" spans="30:34">
      <c r="AD543">
        <v>1164</v>
      </c>
      <c r="AE543">
        <v>18360848.994444501</v>
      </c>
      <c r="AG543">
        <v>1159</v>
      </c>
      <c r="AH543">
        <v>117410.218382103</v>
      </c>
    </row>
    <row r="544" spans="30:34">
      <c r="AD544">
        <v>1164.5</v>
      </c>
      <c r="AE544">
        <v>18421137.700476799</v>
      </c>
      <c r="AG544">
        <v>1159.5</v>
      </c>
      <c r="AH544">
        <v>117683.370183309</v>
      </c>
    </row>
    <row r="545" spans="30:34">
      <c r="AD545">
        <v>1165</v>
      </c>
      <c r="AE545">
        <v>18481577.9451003</v>
      </c>
      <c r="AG545">
        <v>1160</v>
      </c>
      <c r="AH545">
        <v>117993.743990011</v>
      </c>
    </row>
    <row r="546" spans="30:34">
      <c r="AD546">
        <v>1165.5</v>
      </c>
      <c r="AE546">
        <v>18542191.956773601</v>
      </c>
      <c r="AG546">
        <v>1160.5</v>
      </c>
      <c r="AH546">
        <v>118275.071602896</v>
      </c>
    </row>
    <row r="547" spans="30:34">
      <c r="AD547">
        <v>1166</v>
      </c>
      <c r="AE547">
        <v>18602971.719894499</v>
      </c>
      <c r="AG547">
        <v>1161</v>
      </c>
      <c r="AH547">
        <v>118592.585559627</v>
      </c>
    </row>
    <row r="548" spans="30:34">
      <c r="AD548">
        <v>1166.5</v>
      </c>
      <c r="AE548">
        <v>18663947.1057579</v>
      </c>
      <c r="AG548">
        <v>1161.5</v>
      </c>
      <c r="AH548">
        <v>118870.494629436</v>
      </c>
    </row>
    <row r="549" spans="30:34">
      <c r="AD549">
        <v>1167</v>
      </c>
      <c r="AE549">
        <v>18725078.3235875</v>
      </c>
      <c r="AG549">
        <v>1162</v>
      </c>
      <c r="AH549">
        <v>119191.52519770899</v>
      </c>
    </row>
    <row r="550" spans="30:34">
      <c r="AD550">
        <v>1167.5</v>
      </c>
      <c r="AE550">
        <v>18786395.090318698</v>
      </c>
      <c r="AG550">
        <v>1162.5</v>
      </c>
      <c r="AH550">
        <v>119472.05856867701</v>
      </c>
    </row>
    <row r="551" spans="30:34">
      <c r="AD551">
        <v>1168</v>
      </c>
      <c r="AE551">
        <v>18847874.487170398</v>
      </c>
      <c r="AG551">
        <v>1163</v>
      </c>
      <c r="AH551">
        <v>119795.113162797</v>
      </c>
    </row>
    <row r="552" spans="30:34">
      <c r="AD552">
        <v>1168.5</v>
      </c>
      <c r="AE552">
        <v>18909540.416156601</v>
      </c>
      <c r="AG552">
        <v>1163.5</v>
      </c>
      <c r="AH552">
        <v>120072.552730157</v>
      </c>
    </row>
    <row r="553" spans="30:34">
      <c r="AD553">
        <v>1169</v>
      </c>
      <c r="AE553">
        <v>18971359.905571699</v>
      </c>
      <c r="AG553">
        <v>1164</v>
      </c>
      <c r="AH553">
        <v>120422.264786203</v>
      </c>
    </row>
    <row r="554" spans="30:34">
      <c r="AD554">
        <v>1169.5</v>
      </c>
      <c r="AE554">
        <v>19033395.6015753</v>
      </c>
      <c r="AG554">
        <v>1164.5</v>
      </c>
      <c r="AH554">
        <v>120716.51769653799</v>
      </c>
    </row>
    <row r="555" spans="30:34">
      <c r="AD555">
        <v>1170</v>
      </c>
      <c r="AE555">
        <v>19095622.029856201</v>
      </c>
      <c r="AG555">
        <v>1165</v>
      </c>
      <c r="AH555">
        <v>121098.954456942</v>
      </c>
    </row>
    <row r="556" spans="30:34">
      <c r="AD556">
        <v>1170.5</v>
      </c>
      <c r="AE556">
        <v>19158042.723583799</v>
      </c>
      <c r="AG556">
        <v>1165.5</v>
      </c>
      <c r="AH556">
        <v>121398.150250076</v>
      </c>
    </row>
    <row r="557" spans="30:34">
      <c r="AD557">
        <v>1171</v>
      </c>
      <c r="AE557">
        <v>19220628.809856001</v>
      </c>
      <c r="AG557">
        <v>1166</v>
      </c>
      <c r="AH557">
        <v>121792.767756435</v>
      </c>
    </row>
    <row r="558" spans="30:34">
      <c r="AD558">
        <v>1171.5</v>
      </c>
      <c r="AE558">
        <v>19283415.179660998</v>
      </c>
      <c r="AG558">
        <v>1166.5</v>
      </c>
      <c r="AH558">
        <v>122102.44856054299</v>
      </c>
    </row>
    <row r="559" spans="30:34">
      <c r="AD559">
        <v>1172</v>
      </c>
      <c r="AE559">
        <v>19346370.173432399</v>
      </c>
      <c r="AG559">
        <v>1167</v>
      </c>
      <c r="AH559">
        <v>122473.716199712</v>
      </c>
    </row>
    <row r="560" spans="30:34">
      <c r="AD560">
        <v>1172.5</v>
      </c>
      <c r="AE560">
        <v>19409537.088119201</v>
      </c>
      <c r="AG560">
        <v>1167.5</v>
      </c>
      <c r="AH560">
        <v>122787.176801126</v>
      </c>
    </row>
    <row r="561" spans="30:34">
      <c r="AD561">
        <v>1173</v>
      </c>
      <c r="AE561">
        <v>19472881.442710899</v>
      </c>
      <c r="AG561">
        <v>1168</v>
      </c>
      <c r="AH561">
        <v>123167.886048795</v>
      </c>
    </row>
    <row r="562" spans="30:34">
      <c r="AD562">
        <v>1173.5</v>
      </c>
      <c r="AE562">
        <v>19536423.464015201</v>
      </c>
      <c r="AG562">
        <v>1168.5</v>
      </c>
      <c r="AH562">
        <v>123492.051663058</v>
      </c>
    </row>
    <row r="563" spans="30:34">
      <c r="AD563">
        <v>1174</v>
      </c>
      <c r="AE563">
        <v>19600143.501479499</v>
      </c>
      <c r="AG563">
        <v>1169</v>
      </c>
      <c r="AH563">
        <v>123829.422450527</v>
      </c>
    </row>
    <row r="564" spans="30:34">
      <c r="AD564">
        <v>1174.5</v>
      </c>
      <c r="AE564">
        <v>19664064.9881199</v>
      </c>
      <c r="AG564">
        <v>1169.5</v>
      </c>
      <c r="AH564">
        <v>124275.484062945</v>
      </c>
    </row>
    <row r="565" spans="30:34">
      <c r="AD565">
        <v>1175</v>
      </c>
      <c r="AE565">
        <v>19728171.062966701</v>
      </c>
      <c r="AG565">
        <v>1170</v>
      </c>
      <c r="AH565">
        <v>124673.046974269</v>
      </c>
    </row>
    <row r="566" spans="30:34">
      <c r="AD566">
        <v>1175.5</v>
      </c>
      <c r="AE566">
        <v>19792458.720057499</v>
      </c>
      <c r="AG566">
        <v>1170.5</v>
      </c>
      <c r="AH566">
        <v>125002.38511328099</v>
      </c>
    </row>
    <row r="567" spans="30:34">
      <c r="AD567">
        <v>1176</v>
      </c>
      <c r="AE567">
        <v>19856928.153152801</v>
      </c>
      <c r="AG567">
        <v>1171</v>
      </c>
      <c r="AH567">
        <v>125393.593983513</v>
      </c>
    </row>
    <row r="568" spans="30:34">
      <c r="AD568">
        <v>1176.5</v>
      </c>
      <c r="AE568">
        <v>19921586.7870882</v>
      </c>
      <c r="AG568">
        <v>1171.5</v>
      </c>
      <c r="AH568">
        <v>125752.76811159799</v>
      </c>
    </row>
    <row r="569" spans="30:34">
      <c r="AD569">
        <v>1177</v>
      </c>
      <c r="AE569">
        <v>19986408.453095902</v>
      </c>
      <c r="AG569">
        <v>1172</v>
      </c>
      <c r="AH569">
        <v>126109.24893360501</v>
      </c>
    </row>
    <row r="570" spans="30:34">
      <c r="AD570">
        <v>1177.5</v>
      </c>
      <c r="AE570">
        <v>20051404.169821899</v>
      </c>
      <c r="AG570">
        <v>1172.5</v>
      </c>
      <c r="AH570">
        <v>126506.685072208</v>
      </c>
    </row>
    <row r="571" spans="30:34">
      <c r="AD571">
        <v>1178</v>
      </c>
      <c r="AE571">
        <v>20116552.044362001</v>
      </c>
      <c r="AG571">
        <v>1173</v>
      </c>
      <c r="AH571">
        <v>126903.452098612</v>
      </c>
    </row>
    <row r="572" spans="30:34">
      <c r="AD572">
        <v>1178.5</v>
      </c>
      <c r="AE572">
        <v>20181862.099238999</v>
      </c>
      <c r="AG572">
        <v>1173.5</v>
      </c>
      <c r="AH572">
        <v>127257.66207825601</v>
      </c>
    </row>
    <row r="573" spans="30:34">
      <c r="AD573">
        <v>1179</v>
      </c>
      <c r="AE573">
        <v>20247345.6038527</v>
      </c>
      <c r="AG573">
        <v>1174</v>
      </c>
      <c r="AH573">
        <v>127655.083703125</v>
      </c>
    </row>
    <row r="574" spans="30:34">
      <c r="AD574">
        <v>1179.5</v>
      </c>
      <c r="AE574">
        <v>20313002.244295102</v>
      </c>
      <c r="AG574">
        <v>1174.5</v>
      </c>
      <c r="AH574">
        <v>128031.32511623</v>
      </c>
    </row>
    <row r="575" spans="30:34">
      <c r="AD575">
        <v>1180</v>
      </c>
      <c r="AE575">
        <v>20378809.301950201</v>
      </c>
      <c r="AG575">
        <v>1175</v>
      </c>
      <c r="AH575">
        <v>128425.966670144</v>
      </c>
    </row>
    <row r="576" spans="30:34">
      <c r="AD576">
        <v>1180.5</v>
      </c>
      <c r="AE576">
        <v>20444779.6958571</v>
      </c>
      <c r="AG576">
        <v>1175.5</v>
      </c>
      <c r="AH576">
        <v>128767.17981656401</v>
      </c>
    </row>
    <row r="577" spans="30:34">
      <c r="AD577">
        <v>1181</v>
      </c>
      <c r="AE577">
        <v>20510893.3360564</v>
      </c>
      <c r="AG577">
        <v>1176</v>
      </c>
      <c r="AH577">
        <v>129147.388080313</v>
      </c>
    </row>
    <row r="578" spans="30:34">
      <c r="AD578">
        <v>1181.5</v>
      </c>
      <c r="AE578">
        <v>20577156.063007001</v>
      </c>
      <c r="AG578">
        <v>1176.5</v>
      </c>
      <c r="AH578">
        <v>129478.17111615</v>
      </c>
    </row>
    <row r="579" spans="30:34">
      <c r="AD579">
        <v>1182</v>
      </c>
      <c r="AE579">
        <v>20643603.706583999</v>
      </c>
      <c r="AG579">
        <v>1177</v>
      </c>
      <c r="AH579">
        <v>129833.923375616</v>
      </c>
    </row>
    <row r="580" spans="30:34">
      <c r="AD580">
        <v>1182.5</v>
      </c>
      <c r="AE580">
        <v>20710222.403997</v>
      </c>
      <c r="AG580">
        <v>1177.5</v>
      </c>
      <c r="AH580">
        <v>130139.882810239</v>
      </c>
    </row>
    <row r="581" spans="30:34">
      <c r="AD581">
        <v>1183</v>
      </c>
      <c r="AE581">
        <v>20776987.057673398</v>
      </c>
      <c r="AG581">
        <v>1178</v>
      </c>
      <c r="AH581">
        <v>130489.589271819</v>
      </c>
    </row>
    <row r="582" spans="30:34">
      <c r="AD582">
        <v>1183.5</v>
      </c>
      <c r="AE582">
        <v>20843911.985618901</v>
      </c>
      <c r="AG582">
        <v>1178.5</v>
      </c>
      <c r="AH582">
        <v>130795.107788897</v>
      </c>
    </row>
    <row r="583" spans="30:34">
      <c r="AD583">
        <v>1184</v>
      </c>
      <c r="AE583">
        <v>20910985.065239199</v>
      </c>
      <c r="AG583">
        <v>1179</v>
      </c>
      <c r="AH583">
        <v>131158.29837576</v>
      </c>
    </row>
    <row r="584" spans="30:34">
      <c r="AD584">
        <v>1184.5</v>
      </c>
      <c r="AE584">
        <v>20978218.539681699</v>
      </c>
      <c r="AG584">
        <v>1179.5</v>
      </c>
      <c r="AH584">
        <v>131459.75364861</v>
      </c>
    </row>
    <row r="585" spans="30:34">
      <c r="AD585">
        <v>1185</v>
      </c>
      <c r="AE585">
        <v>21045591.480060901</v>
      </c>
      <c r="AG585">
        <v>1180</v>
      </c>
      <c r="AH585">
        <v>131791.78388832</v>
      </c>
    </row>
    <row r="586" spans="30:34">
      <c r="AD586">
        <v>1185.5</v>
      </c>
      <c r="AE586">
        <v>21113142.578393798</v>
      </c>
      <c r="AG586">
        <v>1180.5</v>
      </c>
      <c r="AH586">
        <v>132080.87260036901</v>
      </c>
    </row>
    <row r="587" spans="30:34">
      <c r="AD587">
        <v>1186</v>
      </c>
      <c r="AE587">
        <v>21180851.024483301</v>
      </c>
      <c r="AG587">
        <v>1181</v>
      </c>
      <c r="AH587">
        <v>132402.35274624199</v>
      </c>
    </row>
    <row r="588" spans="30:34">
      <c r="AD588">
        <v>1186.5</v>
      </c>
      <c r="AE588">
        <v>21248730.337134201</v>
      </c>
      <c r="AG588">
        <v>1181.5</v>
      </c>
      <c r="AH588">
        <v>132693.906418981</v>
      </c>
    </row>
    <row r="589" spans="30:34">
      <c r="AD589">
        <v>1187</v>
      </c>
      <c r="AE589">
        <v>21316767.159035701</v>
      </c>
      <c r="AG589">
        <v>1182</v>
      </c>
      <c r="AH589">
        <v>133085.740606926</v>
      </c>
    </row>
    <row r="590" spans="30:34">
      <c r="AD590">
        <v>1187.5</v>
      </c>
      <c r="AE590">
        <v>21384972.465217799</v>
      </c>
      <c r="AG590">
        <v>1182.5</v>
      </c>
      <c r="AH590">
        <v>133380.36274360499</v>
      </c>
    </row>
    <row r="591" spans="30:34">
      <c r="AD591">
        <v>1188</v>
      </c>
      <c r="AE591">
        <v>21453331.086750198</v>
      </c>
      <c r="AG591">
        <v>1183</v>
      </c>
      <c r="AH591">
        <v>133699.33697650701</v>
      </c>
    </row>
    <row r="592" spans="30:34">
      <c r="AD592">
        <v>1188.5</v>
      </c>
      <c r="AE592">
        <v>21521871.1730543</v>
      </c>
      <c r="AG592">
        <v>1183.5</v>
      </c>
      <c r="AH592">
        <v>133992.44931240199</v>
      </c>
    </row>
    <row r="593" spans="30:34">
      <c r="AD593">
        <v>1189</v>
      </c>
      <c r="AE593">
        <v>21590568.370629899</v>
      </c>
      <c r="AG593">
        <v>1184</v>
      </c>
      <c r="AH593">
        <v>134311.76993367399</v>
      </c>
    </row>
    <row r="594" spans="30:34">
      <c r="AD594">
        <v>1189.5</v>
      </c>
      <c r="AE594">
        <v>21659432.805852499</v>
      </c>
      <c r="AG594">
        <v>1184.5</v>
      </c>
      <c r="AH594">
        <v>134615.19719420199</v>
      </c>
    </row>
    <row r="595" spans="30:34">
      <c r="AD595">
        <v>1190</v>
      </c>
      <c r="AE595">
        <v>21728468.618142501</v>
      </c>
      <c r="AG595">
        <v>1185</v>
      </c>
      <c r="AH595">
        <v>134923.27619796901</v>
      </c>
    </row>
    <row r="596" spans="30:34">
      <c r="AD596">
        <v>1190.5</v>
      </c>
      <c r="AE596">
        <v>21797669.2682872</v>
      </c>
      <c r="AG596">
        <v>1185.5</v>
      </c>
      <c r="AH596">
        <v>135256.345842234</v>
      </c>
    </row>
    <row r="597" spans="30:34">
      <c r="AD597">
        <v>1191</v>
      </c>
      <c r="AE597">
        <v>21867021.759743501</v>
      </c>
      <c r="AG597">
        <v>1186</v>
      </c>
      <c r="AH597">
        <v>135597.95229220501</v>
      </c>
    </row>
    <row r="598" spans="30:34">
      <c r="AD598">
        <v>1191.5</v>
      </c>
      <c r="AE598">
        <v>21936522.5242383</v>
      </c>
      <c r="AG598">
        <v>1186.5</v>
      </c>
      <c r="AH598">
        <v>135912.31758571</v>
      </c>
    </row>
    <row r="599" spans="30:34">
      <c r="AD599">
        <v>1192</v>
      </c>
      <c r="AE599">
        <v>22006193.914674699</v>
      </c>
      <c r="AG599">
        <v>1187</v>
      </c>
      <c r="AH599">
        <v>136249.37223940401</v>
      </c>
    </row>
    <row r="600" spans="30:34">
      <c r="AD600">
        <v>1192.5</v>
      </c>
      <c r="AE600">
        <v>22076036.4411535</v>
      </c>
      <c r="AG600">
        <v>1187.5</v>
      </c>
      <c r="AH600">
        <v>136567.13317919901</v>
      </c>
    </row>
    <row r="601" spans="30:34">
      <c r="AD601">
        <v>1193</v>
      </c>
      <c r="AE601">
        <v>22146040.282208499</v>
      </c>
      <c r="AG601">
        <v>1188</v>
      </c>
      <c r="AH601">
        <v>136896.572917071</v>
      </c>
    </row>
    <row r="602" spans="30:34">
      <c r="AD602">
        <v>1193.5</v>
      </c>
      <c r="AE602">
        <v>22216214.886539999</v>
      </c>
      <c r="AG602">
        <v>1188.5</v>
      </c>
      <c r="AH602">
        <v>137232.55636325301</v>
      </c>
    </row>
    <row r="603" spans="30:34">
      <c r="AD603">
        <v>1194</v>
      </c>
      <c r="AE603">
        <v>22286551.8997485</v>
      </c>
      <c r="AG603">
        <v>1189</v>
      </c>
      <c r="AH603">
        <v>137569.812261299</v>
      </c>
    </row>
    <row r="604" spans="30:34">
      <c r="AD604">
        <v>1194.5</v>
      </c>
      <c r="AE604">
        <v>22357051.8761186</v>
      </c>
      <c r="AG604">
        <v>1189.5</v>
      </c>
      <c r="AH604">
        <v>137909.76736135699</v>
      </c>
    </row>
    <row r="605" spans="30:34">
      <c r="AD605">
        <v>1195</v>
      </c>
      <c r="AE605">
        <v>22427735.8263366</v>
      </c>
      <c r="AG605">
        <v>1190</v>
      </c>
      <c r="AH605">
        <v>138245.642805437</v>
      </c>
    </row>
    <row r="606" spans="30:34">
      <c r="AD606">
        <v>1195.5</v>
      </c>
      <c r="AE606">
        <v>22498597.8607333</v>
      </c>
      <c r="AG606">
        <v>1190.5</v>
      </c>
      <c r="AH606">
        <v>138549.03915555301</v>
      </c>
    </row>
    <row r="607" spans="30:34">
      <c r="AD607">
        <v>1196</v>
      </c>
      <c r="AE607">
        <v>22569624.080360599</v>
      </c>
      <c r="AG607">
        <v>1191</v>
      </c>
      <c r="AH607">
        <v>138873.096543589</v>
      </c>
    </row>
    <row r="608" spans="30:34">
      <c r="AD608">
        <v>1196.5</v>
      </c>
      <c r="AE608">
        <v>22640816.4640074</v>
      </c>
      <c r="AG608">
        <v>1191.5</v>
      </c>
      <c r="AH608">
        <v>139178.99941134299</v>
      </c>
    </row>
    <row r="609" spans="30:34">
      <c r="AD609">
        <v>1197</v>
      </c>
      <c r="AE609">
        <v>22712165.759814601</v>
      </c>
      <c r="AG609">
        <v>1192</v>
      </c>
      <c r="AH609">
        <v>139519.05176417201</v>
      </c>
    </row>
    <row r="610" spans="30:34">
      <c r="AD610">
        <v>1197.5</v>
      </c>
      <c r="AE610">
        <v>22783668.333273899</v>
      </c>
      <c r="AG610">
        <v>1192.5</v>
      </c>
      <c r="AH610">
        <v>139842.360985315</v>
      </c>
    </row>
    <row r="611" spans="30:34">
      <c r="AD611">
        <v>1198</v>
      </c>
      <c r="AE611">
        <v>22855346.373524401</v>
      </c>
      <c r="AG611">
        <v>1193</v>
      </c>
      <c r="AH611">
        <v>140183.33291339199</v>
      </c>
    </row>
    <row r="612" spans="30:34">
      <c r="AD612">
        <v>1198.5</v>
      </c>
      <c r="AE612">
        <v>22927195.6834228</v>
      </c>
      <c r="AG612">
        <v>1193.5</v>
      </c>
      <c r="AH612">
        <v>140506.72496796501</v>
      </c>
    </row>
    <row r="613" spans="30:34">
      <c r="AD613">
        <v>1199</v>
      </c>
      <c r="AE613">
        <v>22999205.030294601</v>
      </c>
      <c r="AG613">
        <v>1194</v>
      </c>
      <c r="AH613">
        <v>140854.93015414401</v>
      </c>
    </row>
    <row r="614" spans="30:34">
      <c r="AD614">
        <v>1199.5</v>
      </c>
      <c r="AE614">
        <v>23071381.296202999</v>
      </c>
      <c r="AG614">
        <v>1194.5</v>
      </c>
      <c r="AH614">
        <v>141193.47181067901</v>
      </c>
    </row>
    <row r="615" spans="30:34">
      <c r="AD615">
        <v>1200</v>
      </c>
      <c r="AE615">
        <v>23143713.5704077</v>
      </c>
      <c r="AG615">
        <v>1195</v>
      </c>
      <c r="AH615">
        <v>141553.99366214001</v>
      </c>
    </row>
    <row r="616" spans="30:34">
      <c r="AD616">
        <v>1200.5</v>
      </c>
      <c r="AE616">
        <v>23216210.375206899</v>
      </c>
      <c r="AG616">
        <v>1195.5</v>
      </c>
      <c r="AH616">
        <v>141885.120832499</v>
      </c>
    </row>
    <row r="617" spans="30:34">
      <c r="AD617">
        <v>1201</v>
      </c>
      <c r="AE617">
        <v>23288848.896807</v>
      </c>
      <c r="AG617">
        <v>1196</v>
      </c>
      <c r="AH617">
        <v>142223.746490285</v>
      </c>
    </row>
    <row r="618" spans="30:34">
      <c r="AD618">
        <v>1201.5</v>
      </c>
      <c r="AE618">
        <v>23361678.530827802</v>
      </c>
      <c r="AG618">
        <v>1196.5</v>
      </c>
      <c r="AH618">
        <v>142536.32829872199</v>
      </c>
    </row>
    <row r="619" spans="30:34">
      <c r="AD619">
        <v>1202</v>
      </c>
      <c r="AE619">
        <v>23434687.955335502</v>
      </c>
      <c r="AG619">
        <v>1197</v>
      </c>
      <c r="AH619">
        <v>142870.39796018001</v>
      </c>
    </row>
    <row r="620" spans="30:34">
      <c r="AD620">
        <v>1202.5</v>
      </c>
      <c r="AE620">
        <v>23507875.030695699</v>
      </c>
      <c r="AG620">
        <v>1197.5</v>
      </c>
      <c r="AH620">
        <v>143189.34828514201</v>
      </c>
    </row>
    <row r="621" spans="30:34">
      <c r="AD621">
        <v>1203</v>
      </c>
      <c r="AE621">
        <v>23581326.434552699</v>
      </c>
      <c r="AG621">
        <v>1198</v>
      </c>
      <c r="AH621">
        <v>143531.31916193001</v>
      </c>
    </row>
    <row r="622" spans="30:34">
      <c r="AD622">
        <v>1203.5</v>
      </c>
      <c r="AE622">
        <v>23654986.152056701</v>
      </c>
      <c r="AG622">
        <v>1198.5</v>
      </c>
      <c r="AH622">
        <v>143855.38641391799</v>
      </c>
    </row>
    <row r="623" spans="30:34">
      <c r="AD623">
        <v>1204</v>
      </c>
      <c r="AE623">
        <v>23728794.510662898</v>
      </c>
      <c r="AG623">
        <v>1199</v>
      </c>
      <c r="AH623">
        <v>144191.484273104</v>
      </c>
    </row>
    <row r="624" spans="30:34">
      <c r="AD624">
        <v>1204.5</v>
      </c>
      <c r="AE624">
        <v>23802788.0942907</v>
      </c>
      <c r="AG624">
        <v>1199.5</v>
      </c>
      <c r="AH624">
        <v>144503.710890783</v>
      </c>
    </row>
    <row r="625" spans="30:34">
      <c r="AD625">
        <v>1205</v>
      </c>
      <c r="AE625">
        <v>23876949.508521099</v>
      </c>
      <c r="AG625">
        <v>1200</v>
      </c>
      <c r="AH625">
        <v>144834.116038245</v>
      </c>
    </row>
    <row r="626" spans="30:34">
      <c r="AD626">
        <v>1205.5</v>
      </c>
      <c r="AE626">
        <v>23951313.973572601</v>
      </c>
      <c r="AG626">
        <v>1200.5</v>
      </c>
      <c r="AH626">
        <v>145144.152293561</v>
      </c>
    </row>
    <row r="627" spans="30:34">
      <c r="AD627">
        <v>1206</v>
      </c>
      <c r="AE627">
        <v>24025868.872964501</v>
      </c>
      <c r="AG627">
        <v>1201</v>
      </c>
      <c r="AH627">
        <v>145458.023426712</v>
      </c>
    </row>
    <row r="628" spans="30:34">
      <c r="AD628">
        <v>1206.5</v>
      </c>
      <c r="AE628">
        <v>24100601.711579502</v>
      </c>
      <c r="AG628">
        <v>1201.5</v>
      </c>
      <c r="AH628">
        <v>145852.82971392199</v>
      </c>
    </row>
    <row r="629" spans="30:34">
      <c r="AD629">
        <v>1207</v>
      </c>
      <c r="AE629">
        <v>24175487.388926499</v>
      </c>
      <c r="AG629">
        <v>1202</v>
      </c>
      <c r="AH629">
        <v>146196.88841941301</v>
      </c>
    </row>
    <row r="630" spans="30:34">
      <c r="AD630">
        <v>1207.5</v>
      </c>
      <c r="AE630">
        <v>24250561.023804002</v>
      </c>
      <c r="AG630">
        <v>1202.5</v>
      </c>
      <c r="AH630">
        <v>146560.86930859101</v>
      </c>
    </row>
    <row r="631" spans="30:34">
      <c r="AD631">
        <v>1208</v>
      </c>
      <c r="AE631">
        <v>24325795.0972821</v>
      </c>
      <c r="AG631">
        <v>1203</v>
      </c>
      <c r="AH631">
        <v>147143.769026986</v>
      </c>
    </row>
    <row r="632" spans="30:34">
      <c r="AD632">
        <v>1208.5</v>
      </c>
      <c r="AE632">
        <v>24401198.677998699</v>
      </c>
      <c r="AG632">
        <v>1203.5</v>
      </c>
      <c r="AH632">
        <v>147480.398454326</v>
      </c>
    </row>
    <row r="633" spans="30:34">
      <c r="AD633">
        <v>1209</v>
      </c>
      <c r="AE633">
        <v>24476760.1889694</v>
      </c>
      <c r="AG633">
        <v>1204</v>
      </c>
      <c r="AH633">
        <v>147803.16864893201</v>
      </c>
    </row>
    <row r="634" spans="30:34">
      <c r="AD634">
        <v>1209.5</v>
      </c>
      <c r="AE634">
        <v>24552489.726735201</v>
      </c>
      <c r="AG634">
        <v>1204.5</v>
      </c>
      <c r="AH634">
        <v>148147.67184461799</v>
      </c>
    </row>
    <row r="635" spans="30:34">
      <c r="AD635">
        <v>1210</v>
      </c>
      <c r="AE635">
        <v>24628375.1208697</v>
      </c>
      <c r="AG635">
        <v>1205</v>
      </c>
      <c r="AH635">
        <v>148511.01850249799</v>
      </c>
    </row>
    <row r="636" spans="30:34">
      <c r="AD636">
        <v>1210.5</v>
      </c>
      <c r="AE636">
        <v>24704411.035339601</v>
      </c>
      <c r="AG636">
        <v>1205.5</v>
      </c>
      <c r="AH636">
        <v>148937.65563606299</v>
      </c>
    </row>
    <row r="637" spans="30:34">
      <c r="AD637">
        <v>1211</v>
      </c>
      <c r="AE637">
        <v>24780617.330267299</v>
      </c>
      <c r="AG637">
        <v>1206</v>
      </c>
      <c r="AH637">
        <v>149292.45340132399</v>
      </c>
    </row>
    <row r="638" spans="30:34">
      <c r="AD638">
        <v>1211.5</v>
      </c>
      <c r="AE638">
        <v>24856985.701274101</v>
      </c>
      <c r="AG638">
        <v>1206.5</v>
      </c>
      <c r="AH638">
        <v>149631.10982545899</v>
      </c>
    </row>
    <row r="639" spans="30:34">
      <c r="AD639">
        <v>1212</v>
      </c>
      <c r="AE639">
        <v>24933504.313082501</v>
      </c>
      <c r="AG639">
        <v>1207</v>
      </c>
      <c r="AH639">
        <v>149961.590096664</v>
      </c>
    </row>
    <row r="640" spans="30:34">
      <c r="AD640">
        <v>1212.5</v>
      </c>
      <c r="AE640">
        <v>25010178.226974901</v>
      </c>
      <c r="AG640">
        <v>1207.5</v>
      </c>
      <c r="AH640">
        <v>150302.99506086099</v>
      </c>
    </row>
    <row r="641" spans="30:34">
      <c r="AD641">
        <v>1213</v>
      </c>
      <c r="AE641">
        <v>25086998.123803198</v>
      </c>
      <c r="AG641">
        <v>1208</v>
      </c>
      <c r="AH641">
        <v>150642.933301907</v>
      </c>
    </row>
    <row r="642" spans="30:34">
      <c r="AD642">
        <v>1213.5</v>
      </c>
      <c r="AE642">
        <v>25163954.092517499</v>
      </c>
      <c r="AG642">
        <v>1208.5</v>
      </c>
      <c r="AH642">
        <v>150961.18853623499</v>
      </c>
    </row>
    <row r="643" spans="30:34">
      <c r="AD643">
        <v>1214</v>
      </c>
      <c r="AE643">
        <v>25241070.289938901</v>
      </c>
      <c r="AG643">
        <v>1209</v>
      </c>
      <c r="AH643">
        <v>151297.726551881</v>
      </c>
    </row>
    <row r="644" spans="30:34">
      <c r="AD644">
        <v>1214.5</v>
      </c>
      <c r="AE644">
        <v>25318337.044502199</v>
      </c>
      <c r="AG644">
        <v>1209.5</v>
      </c>
      <c r="AH644">
        <v>151609.704196804</v>
      </c>
    </row>
    <row r="645" spans="30:34">
      <c r="AD645">
        <v>1215</v>
      </c>
      <c r="AE645">
        <v>25395747.1698834</v>
      </c>
      <c r="AG645">
        <v>1210</v>
      </c>
      <c r="AH645">
        <v>151940.85465906901</v>
      </c>
    </row>
    <row r="646" spans="30:34">
      <c r="AD646">
        <v>1215.5</v>
      </c>
      <c r="AE646">
        <v>25473302.1825216</v>
      </c>
      <c r="AG646">
        <v>1210.5</v>
      </c>
      <c r="AH646">
        <v>152254.152130159</v>
      </c>
    </row>
    <row r="647" spans="30:34">
      <c r="AD647">
        <v>1216</v>
      </c>
      <c r="AE647">
        <v>25550991.900264401</v>
      </c>
      <c r="AG647">
        <v>1211</v>
      </c>
      <c r="AH647">
        <v>152579.70266802999</v>
      </c>
    </row>
    <row r="648" spans="30:34">
      <c r="AD648">
        <v>1216.5</v>
      </c>
      <c r="AE648">
        <v>25628819.463571601</v>
      </c>
      <c r="AG648">
        <v>1211.5</v>
      </c>
      <c r="AH648">
        <v>152883.61467320801</v>
      </c>
    </row>
    <row r="649" spans="30:34">
      <c r="AD649">
        <v>1217</v>
      </c>
      <c r="AE649">
        <v>25706763.598356102</v>
      </c>
      <c r="AG649">
        <v>1212</v>
      </c>
      <c r="AH649">
        <v>153196.467880204</v>
      </c>
    </row>
    <row r="650" spans="30:34">
      <c r="AD650">
        <v>1217.5</v>
      </c>
      <c r="AE650">
        <v>25784860.2749083</v>
      </c>
      <c r="AG650">
        <v>1212.5</v>
      </c>
      <c r="AH650">
        <v>153489.53056076699</v>
      </c>
    </row>
    <row r="651" spans="30:34">
      <c r="AD651">
        <v>1218</v>
      </c>
      <c r="AE651">
        <v>25863089.953418899</v>
      </c>
      <c r="AG651">
        <v>1213</v>
      </c>
      <c r="AH651">
        <v>153793.125086927</v>
      </c>
    </row>
    <row r="652" spans="30:34">
      <c r="AD652">
        <v>1218.5</v>
      </c>
      <c r="AE652">
        <v>25941458.096797701</v>
      </c>
      <c r="AG652">
        <v>1213.5</v>
      </c>
      <c r="AH652">
        <v>154082.10887926701</v>
      </c>
    </row>
    <row r="653" spans="30:34">
      <c r="AD653">
        <v>1219</v>
      </c>
      <c r="AE653">
        <v>26019960.1524846</v>
      </c>
      <c r="AG653">
        <v>1214</v>
      </c>
      <c r="AH653">
        <v>154385.31062055199</v>
      </c>
    </row>
    <row r="654" spans="30:34">
      <c r="AD654">
        <v>1219.5</v>
      </c>
      <c r="AE654">
        <v>26098601.137416199</v>
      </c>
      <c r="AG654">
        <v>1214.5</v>
      </c>
      <c r="AH654">
        <v>154672.072025423</v>
      </c>
    </row>
    <row r="655" spans="30:34">
      <c r="AD655">
        <v>1220</v>
      </c>
      <c r="AE655">
        <v>26177361.3303455</v>
      </c>
      <c r="AG655">
        <v>1215</v>
      </c>
      <c r="AH655">
        <v>154967.79023928801</v>
      </c>
    </row>
    <row r="656" spans="30:34">
      <c r="AD656">
        <v>1220.5</v>
      </c>
      <c r="AE656">
        <v>26256279.734927401</v>
      </c>
      <c r="AG656">
        <v>1215.5</v>
      </c>
      <c r="AH656">
        <v>155241.25707341501</v>
      </c>
    </row>
    <row r="657" spans="30:34">
      <c r="AD657">
        <v>1221</v>
      </c>
      <c r="AE657">
        <v>26335338.448912099</v>
      </c>
      <c r="AG657">
        <v>1216</v>
      </c>
      <c r="AH657">
        <v>155517.106307359</v>
      </c>
    </row>
    <row r="658" spans="30:34">
      <c r="AD658">
        <v>1221.5</v>
      </c>
      <c r="AE658">
        <v>26414542.661431599</v>
      </c>
      <c r="AG658">
        <v>1216.5</v>
      </c>
      <c r="AH658">
        <v>155782.47257907901</v>
      </c>
    </row>
    <row r="659" spans="30:34">
      <c r="AD659">
        <v>1222</v>
      </c>
      <c r="AE659">
        <v>26493891.876248199</v>
      </c>
      <c r="AG659">
        <v>1217</v>
      </c>
      <c r="AH659">
        <v>156056.573085057</v>
      </c>
    </row>
    <row r="660" spans="30:34">
      <c r="AD660">
        <v>1222.5</v>
      </c>
      <c r="AE660">
        <v>26573396.689707801</v>
      </c>
      <c r="AG660">
        <v>1217.5</v>
      </c>
      <c r="AH660">
        <v>156321.02223800399</v>
      </c>
    </row>
    <row r="661" spans="30:34">
      <c r="AD661">
        <v>1223</v>
      </c>
      <c r="AE661">
        <v>26653037.725846101</v>
      </c>
      <c r="AG661">
        <v>1218</v>
      </c>
      <c r="AH661">
        <v>156597.729648181</v>
      </c>
    </row>
    <row r="662" spans="30:34">
      <c r="AD662">
        <v>1223.5</v>
      </c>
      <c r="AE662">
        <v>26732851.609847602</v>
      </c>
      <c r="AG662">
        <v>1218.5</v>
      </c>
      <c r="AH662">
        <v>156865.59984342699</v>
      </c>
    </row>
    <row r="663" spans="30:34">
      <c r="AD663">
        <v>1224</v>
      </c>
      <c r="AE663">
        <v>26812815.841827001</v>
      </c>
      <c r="AG663">
        <v>1219</v>
      </c>
      <c r="AH663">
        <v>157142.03816325599</v>
      </c>
    </row>
    <row r="664" spans="30:34">
      <c r="AD664">
        <v>1224.5</v>
      </c>
      <c r="AE664">
        <v>26892930.109416399</v>
      </c>
      <c r="AG664">
        <v>1219.5</v>
      </c>
      <c r="AH664">
        <v>157411.95591570099</v>
      </c>
    </row>
    <row r="665" spans="30:34">
      <c r="AD665">
        <v>1225</v>
      </c>
      <c r="AE665">
        <v>26973186.650766701</v>
      </c>
      <c r="AG665">
        <v>1220</v>
      </c>
      <c r="AH665">
        <v>157682.93854333501</v>
      </c>
    </row>
    <row r="666" spans="30:34">
      <c r="AD666">
        <v>1225.5</v>
      </c>
      <c r="AE666">
        <v>27053585.979626901</v>
      </c>
      <c r="AG666">
        <v>1220.5</v>
      </c>
      <c r="AH666">
        <v>157972.24093654999</v>
      </c>
    </row>
    <row r="667" spans="30:34">
      <c r="AD667">
        <v>1226</v>
      </c>
      <c r="AE667">
        <v>27134123.5505712</v>
      </c>
      <c r="AG667">
        <v>1221</v>
      </c>
      <c r="AH667">
        <v>158262.41940878399</v>
      </c>
    </row>
    <row r="668" spans="30:34">
      <c r="AD668">
        <v>1226.5</v>
      </c>
      <c r="AE668">
        <v>27214787.504487101</v>
      </c>
      <c r="AG668">
        <v>1221.5</v>
      </c>
      <c r="AH668">
        <v>158545.363280146</v>
      </c>
    </row>
    <row r="669" spans="30:34">
      <c r="AD669">
        <v>1227</v>
      </c>
      <c r="AE669">
        <v>27295605.903563101</v>
      </c>
      <c r="AG669">
        <v>1222</v>
      </c>
      <c r="AH669">
        <v>158853.27847973199</v>
      </c>
    </row>
    <row r="670" spans="30:34">
      <c r="AD670">
        <v>1227.5</v>
      </c>
      <c r="AE670">
        <v>27376565.713639099</v>
      </c>
      <c r="AG670">
        <v>1222.5</v>
      </c>
      <c r="AH670">
        <v>159156.668647271</v>
      </c>
    </row>
    <row r="671" spans="30:34">
      <c r="AD671">
        <v>1228</v>
      </c>
      <c r="AE671">
        <v>27457664.410235099</v>
      </c>
      <c r="AG671">
        <v>1223</v>
      </c>
      <c r="AH671">
        <v>159461.08498736701</v>
      </c>
    </row>
    <row r="672" spans="30:34">
      <c r="AD672">
        <v>1228.5</v>
      </c>
      <c r="AE672">
        <v>27538908.649549801</v>
      </c>
      <c r="AG672">
        <v>1223.5</v>
      </c>
      <c r="AH672">
        <v>159773.79995397601</v>
      </c>
    </row>
    <row r="673" spans="30:34">
      <c r="AD673">
        <v>1229</v>
      </c>
      <c r="AE673">
        <v>27620294.123777401</v>
      </c>
      <c r="AG673">
        <v>1224</v>
      </c>
      <c r="AH673">
        <v>160079.090974967</v>
      </c>
    </row>
    <row r="674" spans="30:34">
      <c r="AD674">
        <v>1229.5</v>
      </c>
      <c r="AE674">
        <v>27701810.300456598</v>
      </c>
      <c r="AG674">
        <v>1224.5</v>
      </c>
      <c r="AH674">
        <v>160367.378501192</v>
      </c>
    </row>
    <row r="675" spans="30:34">
      <c r="AD675">
        <v>1230</v>
      </c>
      <c r="AE675">
        <v>27783488.287057701</v>
      </c>
      <c r="AG675">
        <v>1225</v>
      </c>
      <c r="AH675">
        <v>160654.956177424</v>
      </c>
    </row>
    <row r="676" spans="30:34">
      <c r="AD676">
        <v>1250</v>
      </c>
      <c r="AE676">
        <v>30809525.000027299</v>
      </c>
      <c r="AG676">
        <v>1225.5</v>
      </c>
      <c r="AH676">
        <v>160931.24398067099</v>
      </c>
    </row>
    <row r="677" spans="30:34">
      <c r="AG677">
        <v>1226</v>
      </c>
      <c r="AH677">
        <v>161217.73053022599</v>
      </c>
    </row>
    <row r="678" spans="30:34">
      <c r="AG678">
        <v>1226.5</v>
      </c>
      <c r="AH678">
        <v>161493.20362974901</v>
      </c>
    </row>
    <row r="679" spans="30:34">
      <c r="AG679">
        <v>1227</v>
      </c>
      <c r="AH679">
        <v>161777.410099648</v>
      </c>
    </row>
    <row r="680" spans="30:34">
      <c r="AG680">
        <v>1227.5</v>
      </c>
      <c r="AH680">
        <v>162052.72404007701</v>
      </c>
    </row>
    <row r="681" spans="30:34">
      <c r="AG681">
        <v>1228</v>
      </c>
      <c r="AH681">
        <v>162341.39403947</v>
      </c>
    </row>
    <row r="682" spans="30:34">
      <c r="AG682">
        <v>1228.5</v>
      </c>
      <c r="AH682">
        <v>162624.468344172</v>
      </c>
    </row>
    <row r="683" spans="30:34">
      <c r="AG683">
        <v>1229</v>
      </c>
      <c r="AH683">
        <v>162915.78763819899</v>
      </c>
    </row>
    <row r="684" spans="30:34">
      <c r="AG684">
        <v>1229.5</v>
      </c>
      <c r="AH684">
        <v>163204.87738907899</v>
      </c>
    </row>
    <row r="685" spans="30:34">
      <c r="AG685">
        <v>1230</v>
      </c>
      <c r="AH685">
        <v>163503.98694737701</v>
      </c>
    </row>
    <row r="686" spans="30:34">
      <c r="AG686">
        <v>1250</v>
      </c>
      <c r="AH686">
        <v>175800.00000001999</v>
      </c>
    </row>
  </sheetData>
  <conditionalFormatting sqref="B5:G76">
    <cfRule type="cellIs" dxfId="2" priority="1" stopIfTrue="1" operator="lessThan">
      <formula>0</formula>
    </cfRule>
  </conditionalFormatting>
  <conditionalFormatting sqref="H7:I7">
    <cfRule type="cellIs" dxfId="1" priority="7" stopIfTrue="1" operator="lessThan">
      <formula>0</formula>
    </cfRule>
  </conditionalFormatting>
  <conditionalFormatting sqref="K7">
    <cfRule type="cellIs" dxfId="0" priority="6" stopIfTrue="1" operator="lessThan">
      <formula>0</formula>
    </cfRule>
  </conditionalFormatting>
  <hyperlinks>
    <hyperlink ref="M1" r:id="rId1" display="https://www.usbr.gov/lc/region/g4000/hourly/mead-elv.html" xr:uid="{5DA8B284-2C30-4A4A-AB35-06343F07E8F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ReadMe</vt:lpstr>
      <vt:lpstr>Tables</vt:lpstr>
      <vt:lpstr>Figures</vt:lpstr>
      <vt:lpstr>Mainbody</vt:lpstr>
      <vt:lpstr>ungage area Powell and Mead</vt:lpstr>
      <vt:lpstr>CompareUSGStoNatFlow</vt:lpstr>
      <vt:lpstr>USGS gage-NFD (annual)</vt:lpstr>
      <vt:lpstr>BoR-GCD-HD releases</vt:lpstr>
      <vt:lpstr>Mead water budget</vt:lpstr>
      <vt:lpstr>Mead precipitation</vt:lpstr>
      <vt:lpstr>Mead bank storage</vt:lpstr>
      <vt:lpstr>Mead Evap Rate</vt:lpstr>
      <vt:lpstr>09380000-CR@LF-2010to2015</vt:lpstr>
      <vt:lpstr>09382000-PR@LF</vt:lpstr>
      <vt:lpstr>09402000-LCRnrC</vt:lpstr>
      <vt:lpstr>09402500-CRnrGC</vt:lpstr>
      <vt:lpstr>09404200-CRnrPS</vt:lpstr>
      <vt:lpstr>09415250-VRnrO</vt:lpstr>
      <vt:lpstr>90404208-DCnrPS</vt:lpstr>
      <vt:lpstr>90419800LVWnrBC</vt:lpstr>
      <vt:lpstr>09421500-CRblwHD </vt:lpstr>
      <vt:lpstr>PowellEvapPrecipBank</vt:lpstr>
      <vt:lpstr>09180500-CRnrCisco </vt:lpstr>
      <vt:lpstr>09185600-CR@Potash</vt:lpstr>
      <vt:lpstr>09315000-GR@GR </vt:lpstr>
      <vt:lpstr>09328500-SRnrGR </vt:lpstr>
      <vt:lpstr>09328920-GR@MB</vt:lpstr>
      <vt:lpstr>09333500-DDRabPoison</vt:lpstr>
      <vt:lpstr>09337500-Escalante </vt:lpstr>
      <vt:lpstr>09379500-SJnrBluff </vt:lpstr>
      <vt:lpstr>09380000-CR@LF-2016to2019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 WANG</dc:creator>
  <cp:lastModifiedBy>david</cp:lastModifiedBy>
  <dcterms:created xsi:type="dcterms:W3CDTF">2015-06-05T18:17:20Z</dcterms:created>
  <dcterms:modified xsi:type="dcterms:W3CDTF">2023-08-28T21:58:33Z</dcterms:modified>
</cp:coreProperties>
</file>