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531AEBE7-C771-874C-A5C7-1442C2D49AC2}" xr6:coauthVersionLast="47" xr6:coauthVersionMax="47" xr10:uidLastSave="{00000000-0000-0000-0000-000000000000}"/>
  <bookViews>
    <workbookView xWindow="0" yWindow="500" windowWidth="28800" windowHeight="158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47" l="1"/>
  <c r="C120" i="47"/>
  <c r="C121" i="47"/>
  <c r="C122" i="47"/>
  <c r="C123" i="47"/>
  <c r="C124" i="47"/>
  <c r="C119"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C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11" i="47" l="1"/>
  <c r="M93" i="47"/>
  <c r="M84" i="47"/>
  <c r="M66" i="47"/>
  <c r="M75"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J124" i="47" s="1"/>
  <c r="A123" i="47"/>
  <c r="G123" i="47" s="1"/>
  <c r="A122" i="47"/>
  <c r="J122" i="47" s="1"/>
  <c r="A121" i="47"/>
  <c r="I121" i="47" s="1"/>
  <c r="A120" i="47"/>
  <c r="E120" i="47" s="1"/>
  <c r="A119" i="47"/>
  <c r="K119" i="47" s="1"/>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A82" i="47" l="1"/>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A73" i="47"/>
  <c r="A74" i="47" s="1"/>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9" i="47" l="1"/>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<sst xmlns="http://schemas.openxmlformats.org/spreadsheetml/2006/main" count="663" uniqueCount="469">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</sst>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65" zoomScale="134" zoomScaleNormal="160" workbookViewId="0">
      <selection activeCell="E70" sqref="E70"/>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46" t="s">
        <v>296</v>
      </c>
      <c r="B1" s="346"/>
      <c r="C1" s="346"/>
      <c r="D1" s="346"/>
      <c r="E1" s="346"/>
      <c r="F1" s="346"/>
      <c r="G1" s="346"/>
      <c r="H1" s="346"/>
      <c r="I1" s="346"/>
      <c r="J1" s="346"/>
      <c r="K1" s="346"/>
      <c r="L1" s="346"/>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47" t="s">
        <v>297</v>
      </c>
      <c r="B4" s="348"/>
      <c r="C4" s="348"/>
      <c r="D4" s="348"/>
      <c r="E4" s="348"/>
      <c r="F4" s="348"/>
      <c r="G4" s="348"/>
      <c r="H4" s="348"/>
      <c r="I4" s="348"/>
      <c r="J4" s="348"/>
      <c r="K4" s="348"/>
      <c r="L4" s="349"/>
      <c r="N4" s="350"/>
      <c r="O4" s="350"/>
      <c r="P4" s="350"/>
      <c r="Q4" s="350"/>
      <c r="R4" s="350"/>
    </row>
    <row r="5" spans="1:18" s="52" customFormat="1" ht="35" customHeight="1" x14ac:dyDescent="0.2">
      <c r="A5" s="351" t="s">
        <v>281</v>
      </c>
      <c r="B5" s="352"/>
      <c r="C5" s="352"/>
      <c r="D5" s="352"/>
      <c r="E5" s="352"/>
      <c r="F5" s="352"/>
      <c r="G5" s="352"/>
      <c r="H5" s="352"/>
      <c r="I5" s="352"/>
      <c r="J5" s="352"/>
      <c r="K5" s="352"/>
      <c r="L5" s="353"/>
      <c r="N5" s="110"/>
      <c r="O5" s="110"/>
      <c r="P5" s="110"/>
      <c r="Q5" s="110"/>
      <c r="R5" s="110"/>
    </row>
    <row r="6" spans="1:18" s="52" customFormat="1" ht="14" customHeight="1" x14ac:dyDescent="0.2">
      <c r="A6" s="351" t="s">
        <v>298</v>
      </c>
      <c r="B6" s="352"/>
      <c r="C6" s="352"/>
      <c r="D6" s="352"/>
      <c r="E6" s="352"/>
      <c r="F6" s="352"/>
      <c r="G6" s="352"/>
      <c r="H6" s="352"/>
      <c r="I6" s="352"/>
      <c r="J6" s="352"/>
      <c r="K6" s="352"/>
      <c r="L6" s="353"/>
      <c r="N6" s="110"/>
      <c r="O6" s="110"/>
      <c r="P6" s="110"/>
      <c r="Q6" s="110"/>
      <c r="R6" s="110"/>
    </row>
    <row r="7" spans="1:18" s="52" customFormat="1" ht="14" customHeight="1" x14ac:dyDescent="0.2">
      <c r="A7" s="216"/>
      <c r="B7" s="352" t="s">
        <v>299</v>
      </c>
      <c r="C7" s="352"/>
      <c r="D7" s="352"/>
      <c r="E7" s="352"/>
      <c r="F7" s="352"/>
      <c r="G7" s="352"/>
      <c r="H7" s="352"/>
      <c r="I7" s="352"/>
      <c r="J7" s="352"/>
      <c r="K7" s="352"/>
      <c r="L7" s="353"/>
      <c r="N7" s="110"/>
      <c r="O7" s="110"/>
      <c r="P7" s="110"/>
      <c r="Q7" s="110"/>
      <c r="R7" s="110"/>
    </row>
    <row r="8" spans="1:18" s="52" customFormat="1" ht="14" customHeight="1" x14ac:dyDescent="0.2">
      <c r="A8" s="217"/>
      <c r="B8" s="368" t="s">
        <v>300</v>
      </c>
      <c r="C8" s="368"/>
      <c r="D8" s="368"/>
      <c r="E8" s="368"/>
      <c r="F8" s="368"/>
      <c r="G8" s="368"/>
      <c r="H8" s="368"/>
      <c r="I8" s="368"/>
      <c r="J8" s="368"/>
      <c r="K8" s="368"/>
      <c r="L8" s="369"/>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70" t="s">
        <v>335</v>
      </c>
      <c r="B10" s="371"/>
      <c r="C10" s="371"/>
      <c r="D10" s="371"/>
      <c r="E10" s="371"/>
      <c r="F10" s="371"/>
      <c r="G10" s="371"/>
      <c r="H10" s="371"/>
      <c r="I10" s="371"/>
      <c r="J10" s="371"/>
      <c r="K10" s="371"/>
      <c r="L10" s="372"/>
    </row>
    <row r="11" spans="1:18" s="56" customFormat="1" ht="14.5" customHeight="1" x14ac:dyDescent="0.2">
      <c r="A11" s="237" t="s">
        <v>336</v>
      </c>
      <c r="B11" s="373" t="s">
        <v>339</v>
      </c>
      <c r="C11" s="373"/>
      <c r="D11" s="373"/>
      <c r="E11" s="373"/>
      <c r="F11" s="373"/>
      <c r="G11" s="373"/>
      <c r="H11" s="373"/>
      <c r="I11" s="373"/>
      <c r="J11" s="373"/>
      <c r="K11" s="373"/>
      <c r="L11" s="374"/>
    </row>
    <row r="12" spans="1:18" s="57" customFormat="1" ht="161.5" customHeight="1" x14ac:dyDescent="0.2">
      <c r="A12" s="229"/>
      <c r="B12" s="235"/>
      <c r="C12" s="235"/>
      <c r="D12" s="235"/>
      <c r="E12" s="235"/>
      <c r="F12" s="235"/>
      <c r="G12" s="235"/>
      <c r="H12" s="235"/>
      <c r="I12" s="235"/>
      <c r="J12" s="235"/>
      <c r="K12" s="235"/>
      <c r="L12" s="236"/>
    </row>
    <row r="13" spans="1:18" s="56" customFormat="1" ht="14.5" customHeight="1" x14ac:dyDescent="0.2">
      <c r="A13" s="237" t="s">
        <v>337</v>
      </c>
      <c r="B13" s="373" t="s">
        <v>340</v>
      </c>
      <c r="C13" s="373"/>
      <c r="D13" s="373"/>
      <c r="E13" s="373"/>
      <c r="F13" s="373"/>
      <c r="G13" s="373"/>
      <c r="H13" s="373"/>
      <c r="I13" s="373"/>
      <c r="J13" s="373"/>
      <c r="K13" s="373"/>
      <c r="L13" s="374"/>
    </row>
    <row r="14" spans="1:18" s="57" customFormat="1" ht="90.5" customHeight="1" x14ac:dyDescent="0.2">
      <c r="A14" s="229"/>
      <c r="B14" s="384"/>
      <c r="C14" s="384"/>
      <c r="D14" s="384"/>
      <c r="E14" s="384"/>
      <c r="F14" s="384"/>
      <c r="G14" s="384"/>
      <c r="H14" s="384"/>
      <c r="I14" s="384"/>
      <c r="J14" s="384"/>
      <c r="K14" s="384"/>
      <c r="L14" s="385"/>
    </row>
    <row r="15" spans="1:18" s="56" customFormat="1" ht="29" customHeight="1" x14ac:dyDescent="0.2">
      <c r="A15" s="237" t="s">
        <v>338</v>
      </c>
      <c r="B15" s="373" t="s">
        <v>467</v>
      </c>
      <c r="C15" s="373"/>
      <c r="D15" s="373"/>
      <c r="E15" s="373"/>
      <c r="F15" s="373"/>
      <c r="G15" s="373"/>
      <c r="H15" s="373"/>
      <c r="I15" s="373"/>
      <c r="J15" s="373"/>
      <c r="K15" s="373"/>
      <c r="L15" s="374"/>
    </row>
    <row r="16" spans="1:18" s="57" customFormat="1" ht="269" customHeight="1" x14ac:dyDescent="0.2">
      <c r="A16" s="229"/>
      <c r="B16" s="235"/>
      <c r="C16" s="235"/>
      <c r="D16" s="235"/>
      <c r="E16" s="235"/>
      <c r="F16" s="235"/>
      <c r="G16" s="235"/>
      <c r="H16" s="235"/>
      <c r="I16" s="235"/>
      <c r="J16" s="235"/>
      <c r="K16" s="235"/>
      <c r="L16" s="236"/>
    </row>
    <row r="17" spans="1:14" s="57" customFormat="1" ht="14.5" customHeight="1" x14ac:dyDescent="0.2">
      <c r="A17" s="382" t="s">
        <v>344</v>
      </c>
      <c r="B17" s="383"/>
      <c r="C17" s="383"/>
      <c r="D17" s="383"/>
      <c r="E17" s="234" t="s">
        <v>345</v>
      </c>
      <c r="F17" s="232"/>
      <c r="G17" s="232"/>
      <c r="H17" s="232"/>
      <c r="I17" s="232"/>
      <c r="J17" s="232"/>
      <c r="K17" s="232"/>
      <c r="L17" s="233"/>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54" t="s">
        <v>165</v>
      </c>
      <c r="B19" s="355"/>
      <c r="C19" s="355"/>
      <c r="D19" s="355"/>
      <c r="E19" s="355"/>
      <c r="F19" s="355"/>
      <c r="G19" s="355"/>
      <c r="H19" s="355"/>
      <c r="I19" s="355"/>
      <c r="J19" s="355"/>
      <c r="K19" s="355"/>
      <c r="L19" s="356"/>
    </row>
    <row r="20" spans="1:14" s="57" customFormat="1" ht="14.5" customHeight="1" x14ac:dyDescent="0.2">
      <c r="A20" s="357" t="s">
        <v>282</v>
      </c>
      <c r="B20" s="358"/>
      <c r="C20" s="358"/>
      <c r="D20" s="358"/>
      <c r="E20" s="358"/>
      <c r="F20" s="358"/>
      <c r="G20" s="358"/>
      <c r="H20" s="358"/>
      <c r="I20" s="358"/>
      <c r="J20" s="358"/>
      <c r="K20" s="358"/>
      <c r="L20" s="359"/>
    </row>
    <row r="21" spans="1:14" s="57" customFormat="1" ht="14.5" customHeight="1" x14ac:dyDescent="0.2">
      <c r="A21" s="360" t="s">
        <v>283</v>
      </c>
      <c r="B21" s="340"/>
      <c r="C21" s="340"/>
      <c r="D21" s="340"/>
      <c r="E21" s="340"/>
      <c r="F21" s="340"/>
      <c r="G21" s="340"/>
      <c r="H21" s="340"/>
      <c r="I21" s="340"/>
      <c r="J21" s="340"/>
      <c r="K21" s="340"/>
      <c r="L21" s="361"/>
    </row>
    <row r="22" spans="1:14" s="57" customFormat="1" ht="14.5" customHeight="1" x14ac:dyDescent="0.2">
      <c r="A22" s="360" t="s">
        <v>166</v>
      </c>
      <c r="B22" s="340"/>
      <c r="C22" s="340"/>
      <c r="D22" s="340"/>
      <c r="E22" s="340"/>
      <c r="F22" s="340"/>
      <c r="G22" s="340"/>
      <c r="H22" s="340"/>
      <c r="I22" s="340"/>
      <c r="J22" s="340"/>
      <c r="K22" s="340"/>
      <c r="L22" s="361"/>
    </row>
    <row r="23" spans="1:14" s="57" customFormat="1" ht="14.5" customHeight="1" x14ac:dyDescent="0.2">
      <c r="A23" s="362" t="s">
        <v>284</v>
      </c>
      <c r="B23" s="363"/>
      <c r="C23" s="363"/>
      <c r="D23" s="363"/>
      <c r="E23" s="363"/>
      <c r="F23" s="363"/>
      <c r="G23" s="363"/>
      <c r="H23" s="363"/>
      <c r="I23" s="363"/>
      <c r="J23" s="363"/>
      <c r="K23" s="363"/>
      <c r="L23" s="364"/>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65" t="s">
        <v>280</v>
      </c>
      <c r="B25" s="366"/>
      <c r="C25" s="366"/>
      <c r="D25" s="366"/>
      <c r="E25" s="366"/>
      <c r="F25" s="366"/>
      <c r="G25" s="366"/>
      <c r="H25" s="366"/>
      <c r="I25" s="366"/>
      <c r="J25" s="366"/>
      <c r="K25" s="366"/>
      <c r="L25" s="367"/>
      <c r="N25" s="1"/>
    </row>
    <row r="26" spans="1:14" s="57" customFormat="1" ht="16.5" customHeight="1" x14ac:dyDescent="0.2">
      <c r="A26" s="343" t="s">
        <v>175</v>
      </c>
      <c r="B26" s="344"/>
      <c r="C26" s="344"/>
      <c r="D26" s="344"/>
      <c r="E26" s="344"/>
      <c r="F26" s="344"/>
      <c r="G26" s="344"/>
      <c r="H26" s="344"/>
      <c r="I26" s="344"/>
      <c r="J26" s="344"/>
      <c r="K26" s="344"/>
      <c r="L26" s="345"/>
      <c r="N26" s="1"/>
    </row>
    <row r="27" spans="1:14" s="57" customFormat="1" ht="15" customHeight="1" x14ac:dyDescent="0.2">
      <c r="A27" s="211">
        <v>1</v>
      </c>
      <c r="B27" s="377" t="s">
        <v>174</v>
      </c>
      <c r="C27" s="377"/>
      <c r="D27" s="377"/>
      <c r="E27" s="377"/>
      <c r="F27" s="377"/>
      <c r="G27" s="377"/>
      <c r="H27" s="377"/>
      <c r="I27" s="377"/>
      <c r="J27" s="377"/>
      <c r="K27" s="377"/>
      <c r="L27" s="378"/>
    </row>
    <row r="28" spans="1:14" s="57" customFormat="1" ht="30" customHeight="1" x14ac:dyDescent="0.2">
      <c r="A28" s="211">
        <v>2</v>
      </c>
      <c r="B28" s="377" t="s">
        <v>276</v>
      </c>
      <c r="C28" s="377"/>
      <c r="D28" s="377"/>
      <c r="E28" s="377"/>
      <c r="F28" s="377"/>
      <c r="G28" s="377"/>
      <c r="H28" s="377"/>
      <c r="I28" s="377"/>
      <c r="J28" s="377"/>
      <c r="K28" s="377"/>
      <c r="L28" s="378"/>
      <c r="N28" s="104"/>
    </row>
    <row r="29" spans="1:14" s="57" customFormat="1" ht="15" customHeight="1" x14ac:dyDescent="0.2">
      <c r="A29" s="211">
        <v>3</v>
      </c>
      <c r="B29" s="377" t="s">
        <v>167</v>
      </c>
      <c r="C29" s="377"/>
      <c r="D29" s="377"/>
      <c r="E29" s="377"/>
      <c r="F29" s="377"/>
      <c r="G29" s="377"/>
      <c r="H29" s="377"/>
      <c r="I29" s="377"/>
      <c r="J29" s="377"/>
      <c r="K29" s="377"/>
      <c r="L29" s="378"/>
      <c r="N29" s="104"/>
    </row>
    <row r="30" spans="1:14" s="57" customFormat="1" ht="15" customHeight="1" x14ac:dyDescent="0.2">
      <c r="A30" s="211">
        <v>4</v>
      </c>
      <c r="B30" s="377" t="s">
        <v>285</v>
      </c>
      <c r="C30" s="377"/>
      <c r="D30" s="377"/>
      <c r="E30" s="377"/>
      <c r="F30" s="377"/>
      <c r="G30" s="377"/>
      <c r="H30" s="377"/>
      <c r="I30" s="377"/>
      <c r="J30" s="377"/>
      <c r="K30" s="377"/>
      <c r="L30" s="378"/>
      <c r="N30" s="104"/>
    </row>
    <row r="31" spans="1:14" s="57" customFormat="1" ht="15" customHeight="1" x14ac:dyDescent="0.2">
      <c r="A31" s="211">
        <v>5</v>
      </c>
      <c r="B31" s="377" t="s">
        <v>168</v>
      </c>
      <c r="C31" s="377"/>
      <c r="D31" s="377"/>
      <c r="E31" s="377"/>
      <c r="F31" s="377"/>
      <c r="G31" s="377"/>
      <c r="H31" s="377"/>
      <c r="I31" s="377"/>
      <c r="J31" s="377"/>
      <c r="K31" s="377"/>
      <c r="L31" s="378"/>
      <c r="N31" s="104"/>
    </row>
    <row r="32" spans="1:14" s="57" customFormat="1" ht="15" customHeight="1" x14ac:dyDescent="0.2">
      <c r="A32" s="211"/>
      <c r="B32" s="377" t="s">
        <v>169</v>
      </c>
      <c r="C32" s="377"/>
      <c r="D32" s="377"/>
      <c r="E32" s="377"/>
      <c r="F32" s="377"/>
      <c r="G32" s="377"/>
      <c r="H32" s="377"/>
      <c r="I32" s="377"/>
      <c r="J32" s="377"/>
      <c r="K32" s="377"/>
      <c r="L32" s="378"/>
      <c r="N32" s="104"/>
    </row>
    <row r="33" spans="1:14" s="57" customFormat="1" ht="15" customHeight="1" x14ac:dyDescent="0.2">
      <c r="A33" s="211"/>
      <c r="B33" s="377" t="s">
        <v>170</v>
      </c>
      <c r="C33" s="377"/>
      <c r="D33" s="377"/>
      <c r="E33" s="377"/>
      <c r="F33" s="377"/>
      <c r="G33" s="377"/>
      <c r="H33" s="377"/>
      <c r="I33" s="377"/>
      <c r="J33" s="377"/>
      <c r="K33" s="377"/>
      <c r="L33" s="378"/>
      <c r="N33" s="104"/>
    </row>
    <row r="34" spans="1:14" s="57" customFormat="1" ht="15" customHeight="1" x14ac:dyDescent="0.2">
      <c r="A34" s="379" t="s">
        <v>176</v>
      </c>
      <c r="B34" s="380"/>
      <c r="C34" s="380"/>
      <c r="D34" s="380"/>
      <c r="E34" s="380"/>
      <c r="F34" s="380"/>
      <c r="G34" s="380"/>
      <c r="H34" s="380"/>
      <c r="I34" s="380"/>
      <c r="J34" s="380"/>
      <c r="K34" s="380"/>
      <c r="L34" s="381"/>
      <c r="N34" s="104"/>
    </row>
    <row r="35" spans="1:14" s="57" customFormat="1" ht="15" customHeight="1" x14ac:dyDescent="0.2">
      <c r="A35" s="211">
        <v>1</v>
      </c>
      <c r="B35" s="377" t="s">
        <v>171</v>
      </c>
      <c r="C35" s="377"/>
      <c r="D35" s="377"/>
      <c r="E35" s="377"/>
      <c r="F35" s="377"/>
      <c r="G35" s="377"/>
      <c r="H35" s="377"/>
      <c r="I35" s="377"/>
      <c r="J35" s="377"/>
      <c r="K35" s="377"/>
      <c r="L35" s="378"/>
      <c r="N35" s="104"/>
    </row>
    <row r="36" spans="1:14" s="57" customFormat="1" ht="30.75" customHeight="1" x14ac:dyDescent="0.2">
      <c r="A36" s="211"/>
      <c r="B36" s="375" t="s">
        <v>427</v>
      </c>
      <c r="C36" s="375"/>
      <c r="D36" s="375"/>
      <c r="E36" s="375"/>
      <c r="F36" s="375"/>
      <c r="G36" s="375"/>
      <c r="H36" s="375"/>
      <c r="I36" s="375"/>
      <c r="J36" s="375"/>
      <c r="K36" s="375"/>
      <c r="L36" s="376"/>
      <c r="N36" s="104"/>
    </row>
    <row r="37" spans="1:14" s="57" customFormat="1" ht="29.5" customHeight="1" x14ac:dyDescent="0.2">
      <c r="A37" s="211">
        <v>2</v>
      </c>
      <c r="B37" s="377" t="s">
        <v>279</v>
      </c>
      <c r="C37" s="377"/>
      <c r="D37" s="377"/>
      <c r="E37" s="377"/>
      <c r="F37" s="377"/>
      <c r="G37" s="377"/>
      <c r="H37" s="377"/>
      <c r="I37" s="377"/>
      <c r="J37" s="377"/>
      <c r="K37" s="377"/>
      <c r="L37" s="378"/>
      <c r="N37" s="104"/>
    </row>
    <row r="38" spans="1:14" s="57" customFormat="1" ht="26.5" customHeight="1" x14ac:dyDescent="0.2">
      <c r="A38" s="211">
        <v>3</v>
      </c>
      <c r="B38" s="377" t="s">
        <v>269</v>
      </c>
      <c r="C38" s="377"/>
      <c r="D38" s="377"/>
      <c r="E38" s="377"/>
      <c r="F38" s="377"/>
      <c r="G38" s="377"/>
      <c r="H38" s="377"/>
      <c r="I38" s="377"/>
      <c r="J38" s="377"/>
      <c r="K38" s="377"/>
      <c r="L38" s="378"/>
      <c r="N38" s="104"/>
    </row>
    <row r="39" spans="1:14" s="57" customFormat="1" ht="26.5" customHeight="1" x14ac:dyDescent="0.2">
      <c r="A39" s="211">
        <v>4</v>
      </c>
      <c r="B39" s="377" t="s">
        <v>286</v>
      </c>
      <c r="C39" s="377"/>
      <c r="D39" s="377"/>
      <c r="E39" s="377"/>
      <c r="F39" s="377"/>
      <c r="G39" s="377"/>
      <c r="H39" s="377"/>
      <c r="I39" s="377"/>
      <c r="J39" s="377"/>
      <c r="K39" s="377"/>
      <c r="L39" s="378"/>
      <c r="N39" s="104"/>
    </row>
    <row r="40" spans="1:14" s="57" customFormat="1" ht="15" customHeight="1" x14ac:dyDescent="0.2">
      <c r="A40" s="211">
        <v>5</v>
      </c>
      <c r="B40" s="375" t="s">
        <v>270</v>
      </c>
      <c r="C40" s="375"/>
      <c r="D40" s="375"/>
      <c r="E40" s="375"/>
      <c r="F40" s="375"/>
      <c r="G40" s="375"/>
      <c r="H40" s="375"/>
      <c r="I40" s="375"/>
      <c r="J40" s="375"/>
      <c r="K40" s="375"/>
      <c r="L40" s="376"/>
      <c r="N40" s="104"/>
    </row>
    <row r="41" spans="1:14" s="57" customFormat="1" ht="28.5" customHeight="1" x14ac:dyDescent="0.2">
      <c r="A41" s="211">
        <v>6</v>
      </c>
      <c r="B41" s="375" t="s">
        <v>466</v>
      </c>
      <c r="C41" s="375"/>
      <c r="D41" s="375"/>
      <c r="E41" s="375"/>
      <c r="F41" s="375"/>
      <c r="G41" s="375"/>
      <c r="H41" s="375"/>
      <c r="I41" s="375"/>
      <c r="J41" s="375"/>
      <c r="K41" s="375"/>
      <c r="L41" s="376"/>
      <c r="N41" s="104"/>
    </row>
    <row r="42" spans="1:14" s="57" customFormat="1" ht="16.5" customHeight="1" x14ac:dyDescent="0.2">
      <c r="A42" s="211">
        <v>7</v>
      </c>
      <c r="B42" s="377" t="s">
        <v>271</v>
      </c>
      <c r="C42" s="377"/>
      <c r="D42" s="377"/>
      <c r="E42" s="377"/>
      <c r="F42" s="377"/>
      <c r="G42" s="377"/>
      <c r="H42" s="377"/>
      <c r="I42" s="377"/>
      <c r="J42" s="377"/>
      <c r="K42" s="377"/>
      <c r="L42" s="378"/>
    </row>
    <row r="43" spans="1:14" s="57" customFormat="1" ht="17.5" customHeight="1" x14ac:dyDescent="0.2">
      <c r="A43" s="211"/>
      <c r="B43" s="212"/>
      <c r="C43" s="212"/>
      <c r="D43" s="212"/>
      <c r="E43" s="212"/>
      <c r="F43" s="212"/>
      <c r="G43" s="212"/>
      <c r="H43" s="212"/>
      <c r="I43" s="212"/>
      <c r="J43" s="212"/>
      <c r="K43" s="212"/>
      <c r="L43" s="213"/>
    </row>
    <row r="44" spans="1:14" s="57" customFormat="1" ht="16.5" customHeight="1" x14ac:dyDescent="0.2">
      <c r="A44" s="379" t="s">
        <v>274</v>
      </c>
      <c r="B44" s="380"/>
      <c r="C44" s="380"/>
      <c r="D44" s="380"/>
      <c r="E44" s="380"/>
      <c r="F44" s="380"/>
      <c r="G44" s="380"/>
      <c r="H44" s="380"/>
      <c r="I44" s="380"/>
      <c r="J44" s="380"/>
      <c r="K44" s="380"/>
      <c r="L44" s="381"/>
    </row>
    <row r="45" spans="1:14" s="57" customFormat="1" ht="15" customHeight="1" x14ac:dyDescent="0.2">
      <c r="A45" s="214" t="s">
        <v>272</v>
      </c>
      <c r="B45" s="377" t="s">
        <v>172</v>
      </c>
      <c r="C45" s="377"/>
      <c r="D45" s="377"/>
      <c r="E45" s="377"/>
      <c r="F45" s="377"/>
      <c r="G45" s="377"/>
      <c r="H45" s="377"/>
      <c r="I45" s="377"/>
      <c r="J45" s="377"/>
      <c r="K45" s="377"/>
      <c r="L45" s="378"/>
    </row>
    <row r="46" spans="1:14" s="57" customFormat="1" ht="30.75" customHeight="1" x14ac:dyDescent="0.2">
      <c r="A46" s="215" t="s">
        <v>273</v>
      </c>
      <c r="B46" s="387" t="s">
        <v>275</v>
      </c>
      <c r="C46" s="387"/>
      <c r="D46" s="387"/>
      <c r="E46" s="387"/>
      <c r="F46" s="387"/>
      <c r="G46" s="387"/>
      <c r="H46" s="387"/>
      <c r="I46" s="387"/>
      <c r="J46" s="387"/>
      <c r="K46" s="387"/>
      <c r="L46" s="388"/>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89" t="s">
        <v>200</v>
      </c>
      <c r="B48" s="390"/>
      <c r="C48" s="390"/>
      <c r="D48" s="390"/>
      <c r="E48" s="390"/>
      <c r="F48" s="390"/>
      <c r="G48" s="390"/>
      <c r="H48" s="390"/>
      <c r="I48" s="390"/>
      <c r="J48" s="390"/>
      <c r="K48" s="390"/>
      <c r="L48" s="391"/>
    </row>
    <row r="49" spans="1:12" s="1" customFormat="1" ht="16.5" customHeight="1" x14ac:dyDescent="0.2">
      <c r="A49" s="218"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40" t="s">
        <v>262</v>
      </c>
      <c r="D54" s="340"/>
      <c r="E54" s="340"/>
      <c r="F54" s="340"/>
      <c r="G54" s="340"/>
      <c r="H54" s="340"/>
      <c r="I54" s="340"/>
      <c r="J54" s="340"/>
      <c r="K54" s="340"/>
      <c r="L54" s="361"/>
    </row>
    <row r="55" spans="1:12" s="56" customFormat="1" ht="33.75" customHeight="1" x14ac:dyDescent="0.2">
      <c r="A55" s="164"/>
      <c r="B55" s="165" t="s">
        <v>263</v>
      </c>
      <c r="C55" s="340" t="s">
        <v>264</v>
      </c>
      <c r="D55" s="340"/>
      <c r="E55" s="340"/>
      <c r="F55" s="340"/>
      <c r="G55" s="340"/>
      <c r="H55" s="340"/>
      <c r="I55" s="340"/>
      <c r="J55" s="340"/>
      <c r="K55" s="340"/>
      <c r="L55" s="361"/>
    </row>
    <row r="56" spans="1:12" s="56" customFormat="1" ht="33.75" customHeight="1" x14ac:dyDescent="0.2">
      <c r="A56" s="164"/>
      <c r="B56" s="165" t="s">
        <v>328</v>
      </c>
      <c r="C56" s="340" t="s">
        <v>329</v>
      </c>
      <c r="D56" s="340"/>
      <c r="E56" s="340"/>
      <c r="F56" s="340"/>
      <c r="G56" s="340"/>
      <c r="H56" s="340"/>
      <c r="I56" s="340"/>
      <c r="J56" s="340"/>
      <c r="K56" s="340"/>
      <c r="L56" s="361"/>
    </row>
    <row r="57" spans="1:12" ht="30.75" customHeight="1" x14ac:dyDescent="0.2">
      <c r="A57" s="164"/>
      <c r="B57" s="165" t="s">
        <v>98</v>
      </c>
      <c r="C57" s="340" t="s">
        <v>99</v>
      </c>
      <c r="D57" s="340"/>
      <c r="E57" s="340"/>
      <c r="F57" s="340"/>
      <c r="G57" s="340"/>
      <c r="H57" s="340"/>
      <c r="I57" s="340"/>
      <c r="J57" s="340"/>
      <c r="K57" s="340"/>
      <c r="L57" s="361"/>
    </row>
    <row r="58" spans="1:12" ht="30.75" customHeight="1" x14ac:dyDescent="0.2">
      <c r="A58" s="164"/>
      <c r="B58" s="165" t="s">
        <v>198</v>
      </c>
      <c r="C58" s="340" t="s">
        <v>199</v>
      </c>
      <c r="D58" s="340"/>
      <c r="E58" s="340"/>
      <c r="F58" s="340"/>
      <c r="G58" s="340"/>
      <c r="H58" s="340"/>
      <c r="I58" s="340"/>
      <c r="J58" s="340"/>
      <c r="K58" s="340"/>
      <c r="L58" s="361"/>
    </row>
    <row r="59" spans="1:12" ht="31" customHeight="1" x14ac:dyDescent="0.2">
      <c r="A59" s="164"/>
      <c r="B59" s="165" t="s">
        <v>163</v>
      </c>
      <c r="C59" s="340" t="s">
        <v>468</v>
      </c>
      <c r="D59" s="341"/>
      <c r="E59" s="341"/>
      <c r="F59" s="341"/>
      <c r="G59" s="341"/>
      <c r="H59" s="341"/>
      <c r="I59" s="341"/>
      <c r="J59" s="341"/>
      <c r="K59" s="341"/>
      <c r="L59" s="342"/>
    </row>
    <row r="60" spans="1:12" ht="14.5" customHeight="1" x14ac:dyDescent="0.2">
      <c r="A60" s="164"/>
      <c r="B60" s="165" t="s">
        <v>394</v>
      </c>
      <c r="C60" s="340" t="s">
        <v>395</v>
      </c>
      <c r="D60" s="340"/>
      <c r="E60" s="340"/>
      <c r="F60" s="340"/>
      <c r="G60" s="340"/>
      <c r="H60" s="340"/>
      <c r="I60" s="340"/>
      <c r="J60" s="340"/>
      <c r="K60" s="340"/>
      <c r="L60" s="361"/>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31" t="s">
        <v>341</v>
      </c>
    </row>
    <row r="75" spans="1:1" x14ac:dyDescent="0.2">
      <c r="A75" s="230"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86" t="s">
        <v>398</v>
      </c>
      <c r="B82" s="386"/>
      <c r="C82" s="386"/>
      <c r="D82" s="386"/>
      <c r="E82" s="386"/>
      <c r="F82" s="386"/>
      <c r="G82" s="386"/>
      <c r="H82" s="386"/>
      <c r="I82" s="386"/>
      <c r="J82" s="386"/>
      <c r="K82" s="386"/>
      <c r="L82" s="386"/>
    </row>
    <row r="87" spans="1:12" ht="16" customHeight="1" x14ac:dyDescent="0.2"/>
    <row r="88" spans="1:12" ht="29.25" customHeight="1" x14ac:dyDescent="0.2"/>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6" t="s">
        <v>116</v>
      </c>
      <c r="B3" s="436"/>
      <c r="C3" s="436"/>
      <c r="D3" s="125" t="s">
        <v>115</v>
      </c>
    </row>
    <row r="4" spans="1:4" ht="30" customHeight="1" x14ac:dyDescent="0.2">
      <c r="A4" s="437" t="s">
        <v>112</v>
      </c>
      <c r="B4" s="437"/>
      <c r="C4" s="437"/>
      <c r="D4" s="172" t="s">
        <v>182</v>
      </c>
    </row>
    <row r="5" spans="1:4" ht="48" x14ac:dyDescent="0.2">
      <c r="A5" s="441" t="s">
        <v>183</v>
      </c>
      <c r="B5" s="438"/>
      <c r="C5" s="438"/>
      <c r="D5" s="173" t="s">
        <v>201</v>
      </c>
    </row>
    <row r="6" spans="1:4" ht="57.5" customHeight="1" x14ac:dyDescent="0.2">
      <c r="A6" s="439" t="s">
        <v>184</v>
      </c>
      <c r="B6" s="439"/>
      <c r="C6" s="439"/>
      <c r="D6" s="174" t="s">
        <v>185</v>
      </c>
    </row>
    <row r="7" spans="1:4" ht="32" x14ac:dyDescent="0.2">
      <c r="A7" s="440" t="s">
        <v>21</v>
      </c>
      <c r="B7" s="440"/>
      <c r="C7" s="440"/>
      <c r="D7" s="175" t="s">
        <v>186</v>
      </c>
    </row>
    <row r="11" spans="1:4" x14ac:dyDescent="0.2">
      <c r="A11" s="437" t="s">
        <v>112</v>
      </c>
      <c r="B11" s="437"/>
      <c r="C11" s="437"/>
    </row>
    <row r="12" spans="1:4" x14ac:dyDescent="0.2">
      <c r="A12" s="438" t="s">
        <v>113</v>
      </c>
      <c r="B12" s="438"/>
      <c r="C12" s="438"/>
    </row>
    <row r="13" spans="1:4" x14ac:dyDescent="0.2">
      <c r="A13" s="439" t="s">
        <v>114</v>
      </c>
      <c r="B13" s="439"/>
      <c r="C13" s="439"/>
    </row>
    <row r="14" spans="1:4" x14ac:dyDescent="0.2">
      <c r="A14" s="440" t="s">
        <v>21</v>
      </c>
      <c r="B14" s="440"/>
      <c r="C14" s="440"/>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3"/>
    </row>
    <row r="4" spans="1:6" ht="17.5" customHeight="1" x14ac:dyDescent="0.2">
      <c r="A4" s="325" t="s">
        <v>448</v>
      </c>
      <c r="B4" s="324"/>
      <c r="C4" s="324"/>
      <c r="D4" s="324"/>
      <c r="E4" s="324"/>
      <c r="F4" s="323"/>
    </row>
    <row r="5" spans="1:6" ht="17.5" customHeight="1" x14ac:dyDescent="0.2">
      <c r="A5" s="321" t="s">
        <v>456</v>
      </c>
      <c r="B5" s="322"/>
      <c r="C5" s="322"/>
      <c r="D5" s="322"/>
      <c r="E5" s="321"/>
      <c r="F5" s="323"/>
    </row>
    <row r="6" spans="1:6" ht="17.5" customHeight="1" x14ac:dyDescent="0.2">
      <c r="A6" s="37" t="s">
        <v>455</v>
      </c>
      <c r="B6" s="38" t="s">
        <v>454</v>
      </c>
      <c r="C6" s="313">
        <v>0.17499999999999999</v>
      </c>
      <c r="D6" s="38" t="s">
        <v>453</v>
      </c>
      <c r="E6" s="311">
        <v>29.8</v>
      </c>
      <c r="F6" s="323"/>
    </row>
    <row r="7" spans="1:6" ht="17.5" customHeight="1" x14ac:dyDescent="0.2">
      <c r="A7" s="37" t="s">
        <v>451</v>
      </c>
      <c r="B7" s="38">
        <v>2023</v>
      </c>
      <c r="C7" s="313">
        <f>(2517+4633+15091+15571)/1000000</f>
        <v>3.7811999999999998E-2</v>
      </c>
      <c r="D7" s="38" t="s">
        <v>452</v>
      </c>
      <c r="E7" s="311">
        <f>0.992+1.205+5.344+8.335</f>
        <v>15.876000000000001</v>
      </c>
      <c r="F7" s="323"/>
    </row>
    <row r="8" spans="1:6" ht="17.5" customHeight="1" x14ac:dyDescent="0.2">
      <c r="A8" s="37" t="s">
        <v>451</v>
      </c>
      <c r="B8" s="38" t="s">
        <v>450</v>
      </c>
      <c r="C8" s="313">
        <v>2.2116E-2</v>
      </c>
      <c r="D8" s="38" t="s">
        <v>449</v>
      </c>
      <c r="E8" s="311">
        <v>4.5599999999999996</v>
      </c>
      <c r="F8" s="323"/>
    </row>
    <row r="9" spans="1:6" s="57" customFormat="1" x14ac:dyDescent="0.2">
      <c r="A9" s="321" t="s">
        <v>448</v>
      </c>
      <c r="B9" s="322"/>
      <c r="C9" s="322"/>
      <c r="D9" s="322"/>
      <c r="E9" s="321"/>
    </row>
    <row r="10" spans="1:6" s="57" customFormat="1" ht="16" x14ac:dyDescent="0.2">
      <c r="A10" s="37" t="s">
        <v>447</v>
      </c>
      <c r="B10" s="38" t="s">
        <v>446</v>
      </c>
      <c r="C10" s="313">
        <v>4.0999999999999996</v>
      </c>
      <c r="D10" s="38" t="s">
        <v>443</v>
      </c>
      <c r="E10" s="311" t="s">
        <v>443</v>
      </c>
      <c r="F10" s="320"/>
    </row>
    <row r="11" spans="1:6" s="57" customFormat="1" ht="16" x14ac:dyDescent="0.2">
      <c r="A11" s="37" t="s">
        <v>445</v>
      </c>
      <c r="B11" s="38" t="s">
        <v>444</v>
      </c>
      <c r="C11" s="313">
        <v>0.63121000000000005</v>
      </c>
      <c r="D11" s="38" t="s">
        <v>443</v>
      </c>
      <c r="E11" s="311" t="s">
        <v>443</v>
      </c>
      <c r="F11" s="320"/>
    </row>
    <row r="12" spans="1:6" s="56" customFormat="1" ht="16" x14ac:dyDescent="0.2">
      <c r="A12" s="319" t="s">
        <v>442</v>
      </c>
      <c r="B12" s="317"/>
      <c r="C12" s="318"/>
      <c r="D12" s="317"/>
      <c r="E12" s="316"/>
      <c r="F12" s="315"/>
    </row>
    <row r="13" spans="1:6" ht="16" x14ac:dyDescent="0.2">
      <c r="A13" s="37" t="s">
        <v>441</v>
      </c>
      <c r="B13" s="21">
        <v>2021</v>
      </c>
      <c r="C13" s="21" t="s">
        <v>438</v>
      </c>
      <c r="D13" s="38" t="s">
        <v>440</v>
      </c>
      <c r="E13" s="21" t="s">
        <v>438</v>
      </c>
    </row>
    <row r="14" spans="1:6" ht="16" x14ac:dyDescent="0.2">
      <c r="A14" s="37" t="s">
        <v>439</v>
      </c>
      <c r="B14" s="21">
        <v>2021</v>
      </c>
      <c r="C14" s="21" t="s">
        <v>438</v>
      </c>
      <c r="D14" s="314">
        <v>2000</v>
      </c>
      <c r="E14" s="21" t="s">
        <v>438</v>
      </c>
    </row>
    <row r="15" spans="1:6" ht="16" x14ac:dyDescent="0.2">
      <c r="A15" s="37" t="s">
        <v>437</v>
      </c>
      <c r="B15" s="38" t="s">
        <v>436</v>
      </c>
      <c r="C15" s="313">
        <v>1</v>
      </c>
      <c r="D15" s="312">
        <v>200</v>
      </c>
      <c r="E15" s="311">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393</v>
      </c>
    </row>
    <row r="2" spans="1:20" ht="33" customHeight="1" x14ac:dyDescent="0.2">
      <c r="A2" s="442" t="s">
        <v>421</v>
      </c>
      <c r="B2" s="443"/>
      <c r="C2" s="443"/>
      <c r="D2" s="443"/>
      <c r="E2" s="443"/>
      <c r="F2" s="443"/>
      <c r="G2" s="443"/>
      <c r="H2" s="443"/>
      <c r="I2" s="443"/>
      <c r="J2" s="443"/>
      <c r="K2" s="443"/>
      <c r="L2" s="443"/>
      <c r="M2" s="443"/>
      <c r="N2" s="443"/>
      <c r="O2" s="443"/>
      <c r="P2" s="443"/>
      <c r="Q2" s="443"/>
      <c r="R2" s="443"/>
      <c r="S2" s="443"/>
      <c r="T2" s="443"/>
    </row>
    <row r="3" spans="1:20" ht="16" thickBot="1" x14ac:dyDescent="0.25"/>
    <row r="4" spans="1:20" ht="32" x14ac:dyDescent="0.2">
      <c r="A4" s="264" t="s">
        <v>352</v>
      </c>
      <c r="B4" s="265" t="s">
        <v>353</v>
      </c>
      <c r="C4" s="266" t="s">
        <v>420</v>
      </c>
      <c r="D4" s="267" t="s">
        <v>354</v>
      </c>
      <c r="E4" s="267" t="s">
        <v>355</v>
      </c>
      <c r="F4" s="267" t="s">
        <v>356</v>
      </c>
      <c r="G4" s="267" t="s">
        <v>357</v>
      </c>
      <c r="H4" s="267" t="s">
        <v>358</v>
      </c>
      <c r="I4" s="268" t="s">
        <v>359</v>
      </c>
    </row>
    <row r="5" spans="1:20" x14ac:dyDescent="0.2">
      <c r="A5" s="269" t="s">
        <v>360</v>
      </c>
      <c r="B5" s="239">
        <v>64</v>
      </c>
      <c r="C5">
        <v>0</v>
      </c>
      <c r="D5" s="2">
        <v>8</v>
      </c>
      <c r="E5">
        <v>122</v>
      </c>
      <c r="F5">
        <v>0</v>
      </c>
      <c r="G5">
        <v>0</v>
      </c>
      <c r="H5">
        <v>0</v>
      </c>
      <c r="I5" s="240">
        <f t="shared" ref="I5:I26" si="0">AVERAGE(F5:H5)</f>
        <v>0</v>
      </c>
    </row>
    <row r="6" spans="1:20" x14ac:dyDescent="0.2">
      <c r="A6" s="270" t="s">
        <v>361</v>
      </c>
      <c r="B6" s="239">
        <v>112</v>
      </c>
      <c r="C6" s="239">
        <v>11.6</v>
      </c>
      <c r="D6" s="2" t="s">
        <v>362</v>
      </c>
      <c r="E6">
        <v>81</v>
      </c>
      <c r="F6">
        <v>2.8</v>
      </c>
      <c r="G6">
        <v>4.7</v>
      </c>
      <c r="H6">
        <v>4.2</v>
      </c>
      <c r="I6" s="240">
        <f t="shared" si="0"/>
        <v>3.9</v>
      </c>
    </row>
    <row r="7" spans="1:20" x14ac:dyDescent="0.2">
      <c r="A7" s="270" t="s">
        <v>363</v>
      </c>
      <c r="B7" s="239">
        <v>100</v>
      </c>
      <c r="C7">
        <v>14.1</v>
      </c>
      <c r="D7" s="2" t="s">
        <v>362</v>
      </c>
      <c r="E7">
        <v>13</v>
      </c>
      <c r="F7">
        <v>10</v>
      </c>
      <c r="G7">
        <v>-1.3</v>
      </c>
      <c r="H7">
        <v>5.4</v>
      </c>
      <c r="I7" s="240">
        <f t="shared" si="0"/>
        <v>4.7</v>
      </c>
    </row>
    <row r="8" spans="1:20" x14ac:dyDescent="0.2">
      <c r="A8" s="270" t="s">
        <v>364</v>
      </c>
      <c r="B8" s="239">
        <v>97</v>
      </c>
      <c r="C8">
        <v>14.1</v>
      </c>
      <c r="D8" s="2" t="s">
        <v>365</v>
      </c>
      <c r="E8">
        <v>147</v>
      </c>
      <c r="F8">
        <v>3.8</v>
      </c>
      <c r="G8">
        <v>6.3</v>
      </c>
      <c r="H8">
        <v>4</v>
      </c>
      <c r="I8" s="240">
        <f t="shared" si="0"/>
        <v>4.7</v>
      </c>
      <c r="J8" s="272" t="s">
        <v>423</v>
      </c>
    </row>
    <row r="9" spans="1:20" x14ac:dyDescent="0.2">
      <c r="A9" s="270" t="s">
        <v>366</v>
      </c>
      <c r="B9" s="239">
        <v>112</v>
      </c>
      <c r="C9">
        <v>16.5</v>
      </c>
      <c r="D9" s="2" t="s">
        <v>367</v>
      </c>
      <c r="E9">
        <v>103</v>
      </c>
      <c r="F9">
        <v>5.9</v>
      </c>
      <c r="G9">
        <v>5.0999999999999996</v>
      </c>
      <c r="H9">
        <v>5.5</v>
      </c>
      <c r="I9" s="240">
        <f t="shared" si="0"/>
        <v>5.5</v>
      </c>
      <c r="J9" s="272" t="s">
        <v>422</v>
      </c>
    </row>
    <row r="10" spans="1:20" x14ac:dyDescent="0.2">
      <c r="A10" s="270" t="s">
        <v>368</v>
      </c>
      <c r="B10" s="239">
        <v>100</v>
      </c>
      <c r="C10">
        <v>16.600000000000001</v>
      </c>
      <c r="D10" s="2" t="s">
        <v>369</v>
      </c>
      <c r="E10">
        <v>26</v>
      </c>
      <c r="F10">
        <v>5.5</v>
      </c>
      <c r="G10">
        <v>5.5</v>
      </c>
      <c r="H10">
        <v>5.5</v>
      </c>
      <c r="I10" s="240">
        <f t="shared" si="0"/>
        <v>5.5</v>
      </c>
    </row>
    <row r="11" spans="1:20" x14ac:dyDescent="0.2">
      <c r="A11" s="270" t="s">
        <v>370</v>
      </c>
      <c r="B11" s="239">
        <v>112</v>
      </c>
      <c r="C11" s="239">
        <v>16.600000000000001</v>
      </c>
      <c r="D11" s="2" t="s">
        <v>362</v>
      </c>
      <c r="E11">
        <v>81</v>
      </c>
      <c r="F11">
        <v>3.8</v>
      </c>
      <c r="G11">
        <v>6.6</v>
      </c>
      <c r="H11">
        <v>6.1</v>
      </c>
      <c r="I11" s="240">
        <f t="shared" si="0"/>
        <v>5.5</v>
      </c>
      <c r="J11" s="272" t="s">
        <v>422</v>
      </c>
    </row>
    <row r="12" spans="1:20" x14ac:dyDescent="0.2">
      <c r="A12" s="270" t="s">
        <v>371</v>
      </c>
      <c r="B12" s="239">
        <v>100</v>
      </c>
      <c r="C12" s="239">
        <v>17.8</v>
      </c>
      <c r="D12" s="2" t="s">
        <v>372</v>
      </c>
      <c r="E12">
        <v>31</v>
      </c>
      <c r="F12">
        <v>5.9</v>
      </c>
      <c r="G12">
        <v>5.9</v>
      </c>
      <c r="H12">
        <v>5.9</v>
      </c>
      <c r="I12" s="240">
        <f t="shared" si="0"/>
        <v>5.9000000000000012</v>
      </c>
    </row>
    <row r="13" spans="1:20" x14ac:dyDescent="0.2">
      <c r="A13" s="270" t="s">
        <v>373</v>
      </c>
      <c r="B13" s="239">
        <v>100</v>
      </c>
      <c r="C13">
        <v>18</v>
      </c>
      <c r="D13" s="2" t="s">
        <v>374</v>
      </c>
      <c r="E13">
        <v>18</v>
      </c>
      <c r="F13">
        <v>11</v>
      </c>
      <c r="G13">
        <v>5.6</v>
      </c>
      <c r="H13">
        <v>8.1</v>
      </c>
      <c r="I13" s="240">
        <f t="shared" si="0"/>
        <v>8.2333333333333343</v>
      </c>
    </row>
    <row r="14" spans="1:20" x14ac:dyDescent="0.2">
      <c r="A14" s="270" t="s">
        <v>375</v>
      </c>
      <c r="B14" s="239">
        <v>112</v>
      </c>
      <c r="C14" s="239">
        <v>19.3</v>
      </c>
      <c r="D14" s="2" t="s">
        <v>362</v>
      </c>
      <c r="E14">
        <v>81</v>
      </c>
      <c r="F14">
        <v>4.4000000000000004</v>
      </c>
      <c r="G14">
        <v>7.8</v>
      </c>
      <c r="H14">
        <v>7.2</v>
      </c>
      <c r="I14" s="240">
        <f t="shared" si="0"/>
        <v>6.4666666666666659</v>
      </c>
    </row>
    <row r="15" spans="1:20" x14ac:dyDescent="0.2">
      <c r="A15" s="270" t="s">
        <v>376</v>
      </c>
      <c r="B15" s="239">
        <v>100</v>
      </c>
      <c r="C15">
        <v>20.399999999999999</v>
      </c>
      <c r="D15" s="2" t="s">
        <v>377</v>
      </c>
      <c r="E15">
        <v>48</v>
      </c>
      <c r="F15">
        <v>5.9</v>
      </c>
      <c r="G15">
        <v>5.9</v>
      </c>
      <c r="H15">
        <v>8.5</v>
      </c>
      <c r="I15" s="240">
        <f t="shared" si="0"/>
        <v>6.7666666666666666</v>
      </c>
    </row>
    <row r="16" spans="1:20" x14ac:dyDescent="0.2">
      <c r="A16" s="270" t="s">
        <v>378</v>
      </c>
      <c r="B16" s="239">
        <v>100</v>
      </c>
      <c r="C16" s="239">
        <v>20.399999999999999</v>
      </c>
      <c r="D16" s="2" t="s">
        <v>379</v>
      </c>
      <c r="E16">
        <v>45</v>
      </c>
      <c r="F16">
        <v>8.3000000000000007</v>
      </c>
      <c r="G16">
        <v>6.6</v>
      </c>
      <c r="H16">
        <v>5.5</v>
      </c>
      <c r="I16" s="240">
        <f t="shared" si="0"/>
        <v>6.8</v>
      </c>
    </row>
    <row r="17" spans="1:9" x14ac:dyDescent="0.2">
      <c r="A17" s="270" t="s">
        <v>380</v>
      </c>
      <c r="B17" s="239">
        <v>100</v>
      </c>
      <c r="C17" s="239">
        <v>20.5</v>
      </c>
      <c r="D17" s="2" t="s">
        <v>381</v>
      </c>
      <c r="E17">
        <v>2</v>
      </c>
      <c r="F17">
        <v>8.6</v>
      </c>
      <c r="G17">
        <v>5.9</v>
      </c>
      <c r="H17">
        <v>5.9</v>
      </c>
      <c r="I17" s="240">
        <f t="shared" si="0"/>
        <v>6.8</v>
      </c>
    </row>
    <row r="18" spans="1:9" x14ac:dyDescent="0.2">
      <c r="A18" s="270" t="s">
        <v>382</v>
      </c>
      <c r="B18" s="239">
        <v>1</v>
      </c>
      <c r="C18">
        <v>20.9</v>
      </c>
      <c r="D18" s="2" t="s">
        <v>372</v>
      </c>
      <c r="E18">
        <v>430</v>
      </c>
      <c r="F18">
        <v>6.4</v>
      </c>
      <c r="G18">
        <v>8.4</v>
      </c>
      <c r="H18">
        <v>6.1</v>
      </c>
      <c r="I18" s="240">
        <f t="shared" si="0"/>
        <v>6.9666666666666659</v>
      </c>
    </row>
    <row r="19" spans="1:9" x14ac:dyDescent="0.2">
      <c r="A19" s="270" t="s">
        <v>383</v>
      </c>
      <c r="B19" s="239">
        <v>1</v>
      </c>
      <c r="C19">
        <v>20.9</v>
      </c>
      <c r="D19" s="2" t="s">
        <v>372</v>
      </c>
      <c r="E19">
        <v>430</v>
      </c>
      <c r="F19">
        <v>6.4</v>
      </c>
      <c r="G19">
        <v>8.4</v>
      </c>
      <c r="H19">
        <v>6.1</v>
      </c>
      <c r="I19" s="240">
        <f t="shared" si="0"/>
        <v>6.9666666666666659</v>
      </c>
    </row>
    <row r="20" spans="1:9" x14ac:dyDescent="0.2">
      <c r="A20" s="270" t="s">
        <v>384</v>
      </c>
      <c r="B20" s="239">
        <v>112</v>
      </c>
      <c r="C20" s="239">
        <v>21.7</v>
      </c>
      <c r="D20" s="2" t="s">
        <v>362</v>
      </c>
      <c r="E20">
        <v>81</v>
      </c>
      <c r="F20">
        <v>4.9000000000000004</v>
      </c>
      <c r="G20">
        <v>8.6999999999999993</v>
      </c>
      <c r="H20">
        <v>8.1</v>
      </c>
      <c r="I20" s="240">
        <f t="shared" si="0"/>
        <v>7.2333333333333334</v>
      </c>
    </row>
    <row r="21" spans="1:9" x14ac:dyDescent="0.2">
      <c r="A21" s="270" t="s">
        <v>385</v>
      </c>
      <c r="B21" s="239">
        <v>112</v>
      </c>
      <c r="C21" s="239">
        <v>21.8</v>
      </c>
      <c r="D21" s="2" t="s">
        <v>362</v>
      </c>
      <c r="E21">
        <v>81</v>
      </c>
      <c r="F21">
        <v>5</v>
      </c>
      <c r="G21">
        <v>8.6999999999999993</v>
      </c>
      <c r="H21">
        <v>8.1</v>
      </c>
      <c r="I21" s="240">
        <f t="shared" si="0"/>
        <v>7.2666666666666657</v>
      </c>
    </row>
    <row r="22" spans="1:9" x14ac:dyDescent="0.2">
      <c r="A22" s="270" t="s">
        <v>386</v>
      </c>
      <c r="B22" s="239">
        <v>112</v>
      </c>
      <c r="C22" s="239">
        <v>24.2</v>
      </c>
      <c r="D22" s="2" t="s">
        <v>387</v>
      </c>
      <c r="E22">
        <v>80</v>
      </c>
      <c r="F22">
        <v>5.5</v>
      </c>
      <c r="G22">
        <v>9.6999999999999993</v>
      </c>
      <c r="H22">
        <v>9</v>
      </c>
      <c r="I22" s="240">
        <f t="shared" si="0"/>
        <v>8.0666666666666664</v>
      </c>
    </row>
    <row r="23" spans="1:9" x14ac:dyDescent="0.2">
      <c r="A23" s="270" t="s">
        <v>388</v>
      </c>
      <c r="B23" s="239">
        <v>100</v>
      </c>
      <c r="C23" s="239">
        <v>24.8</v>
      </c>
      <c r="D23" s="2" t="s">
        <v>389</v>
      </c>
      <c r="E23">
        <v>5</v>
      </c>
      <c r="F23">
        <v>8.4</v>
      </c>
      <c r="G23">
        <v>5.9</v>
      </c>
      <c r="H23">
        <v>10.5</v>
      </c>
      <c r="I23" s="240">
        <f t="shared" si="0"/>
        <v>8.2666666666666675</v>
      </c>
    </row>
    <row r="24" spans="1:9" x14ac:dyDescent="0.2">
      <c r="A24" s="270" t="s">
        <v>390</v>
      </c>
      <c r="B24" s="239">
        <v>1</v>
      </c>
      <c r="C24" s="239">
        <v>26.1</v>
      </c>
      <c r="D24" s="241" t="s">
        <v>372</v>
      </c>
      <c r="E24" s="239">
        <v>97</v>
      </c>
      <c r="F24" s="239">
        <v>5.9</v>
      </c>
      <c r="G24" s="239">
        <v>10.5</v>
      </c>
      <c r="H24" s="239">
        <v>9.6</v>
      </c>
      <c r="I24" s="240">
        <f t="shared" si="0"/>
        <v>8.6666666666666661</v>
      </c>
    </row>
    <row r="25" spans="1:9" x14ac:dyDescent="0.2">
      <c r="A25" s="270" t="s">
        <v>391</v>
      </c>
      <c r="B25" s="239">
        <v>1</v>
      </c>
      <c r="C25">
        <v>26.1</v>
      </c>
      <c r="D25" s="2" t="s">
        <v>372</v>
      </c>
      <c r="E25">
        <v>72</v>
      </c>
      <c r="F25">
        <v>5.9</v>
      </c>
      <c r="G25">
        <v>10.5</v>
      </c>
      <c r="H25">
        <v>9.6</v>
      </c>
      <c r="I25" s="240">
        <f t="shared" si="0"/>
        <v>8.6666666666666661</v>
      </c>
    </row>
    <row r="26" spans="1:9" ht="16" thickBot="1" x14ac:dyDescent="0.25">
      <c r="A26" s="271" t="s">
        <v>392</v>
      </c>
      <c r="B26" s="242">
        <v>1</v>
      </c>
      <c r="C26" s="243">
        <v>26.1</v>
      </c>
      <c r="D26" s="244" t="s">
        <v>372</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A13" sqref="A13"/>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93" zoomScale="125" zoomScaleNormal="150" workbookViewId="0">
      <selection activeCell="C112" sqref="C112"/>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2" t="str">
        <f>'ReadMe-Directions'!A1</f>
        <v>Immersive Model for Lake Mead based on the Principle of Divide Reservoir Inflow</v>
      </c>
      <c r="B1" s="392"/>
      <c r="C1" s="392"/>
      <c r="D1" s="392"/>
      <c r="E1" s="392"/>
      <c r="F1" s="392"/>
      <c r="G1" s="392"/>
    </row>
    <row r="2" spans="1:14" x14ac:dyDescent="0.2">
      <c r="A2" s="1" t="s">
        <v>178</v>
      </c>
      <c r="B2" s="1"/>
    </row>
    <row r="3" spans="1:14" ht="32.25" customHeight="1" x14ac:dyDescent="0.2">
      <c r="A3" s="400" t="s">
        <v>190</v>
      </c>
      <c r="B3" s="400"/>
      <c r="C3" s="400"/>
      <c r="D3" s="400"/>
      <c r="E3" s="400"/>
      <c r="F3" s="400"/>
      <c r="G3" s="400"/>
      <c r="H3" s="82"/>
      <c r="I3" s="82"/>
      <c r="J3" s="82"/>
      <c r="K3" s="82"/>
      <c r="N3" s="134" t="s">
        <v>156</v>
      </c>
    </row>
    <row r="4" spans="1:14" x14ac:dyDescent="0.2">
      <c r="A4" s="124" t="s">
        <v>258</v>
      </c>
      <c r="B4" s="124" t="s">
        <v>19</v>
      </c>
      <c r="C4" s="401" t="s">
        <v>259</v>
      </c>
      <c r="D4" s="402"/>
      <c r="E4" s="402"/>
      <c r="F4" s="402"/>
      <c r="G4" s="403"/>
      <c r="N4" s="138" t="s">
        <v>330</v>
      </c>
    </row>
    <row r="5" spans="1:14" x14ac:dyDescent="0.2">
      <c r="A5" s="88" t="s">
        <v>238</v>
      </c>
      <c r="B5" s="111"/>
      <c r="C5" s="404"/>
      <c r="D5" s="399"/>
      <c r="E5" s="399"/>
      <c r="F5" s="399"/>
      <c r="G5" s="399"/>
      <c r="N5" s="138"/>
    </row>
    <row r="6" spans="1:14" x14ac:dyDescent="0.2">
      <c r="A6" s="88" t="s">
        <v>202</v>
      </c>
      <c r="B6" s="111"/>
      <c r="C6" s="404"/>
      <c r="D6" s="399"/>
      <c r="E6" s="399"/>
      <c r="F6" s="399"/>
      <c r="G6" s="399"/>
      <c r="N6" s="139"/>
    </row>
    <row r="7" spans="1:14" x14ac:dyDescent="0.2">
      <c r="A7" s="88" t="s">
        <v>203</v>
      </c>
      <c r="B7" s="111"/>
      <c r="C7" s="404"/>
      <c r="D7" s="399"/>
      <c r="E7" s="399"/>
      <c r="F7" s="399"/>
      <c r="G7" s="399"/>
      <c r="N7" s="139"/>
    </row>
    <row r="8" spans="1:14" x14ac:dyDescent="0.2">
      <c r="A8" s="111" t="s">
        <v>204</v>
      </c>
      <c r="B8" s="88"/>
      <c r="C8" s="399"/>
      <c r="D8" s="399"/>
      <c r="E8" s="399"/>
      <c r="F8" s="399"/>
      <c r="G8" s="399"/>
      <c r="N8" s="139"/>
    </row>
    <row r="9" spans="1:14" x14ac:dyDescent="0.2">
      <c r="A9" s="111" t="s">
        <v>18</v>
      </c>
      <c r="B9" s="88"/>
      <c r="C9" s="405"/>
      <c r="D9" s="405"/>
      <c r="E9" s="405"/>
      <c r="F9" s="405"/>
      <c r="G9" s="405"/>
      <c r="N9" s="139"/>
    </row>
    <row r="10" spans="1:14" x14ac:dyDescent="0.2">
      <c r="A10" s="88" t="s">
        <v>278</v>
      </c>
      <c r="B10" s="88"/>
      <c r="C10" s="399"/>
      <c r="D10" s="399"/>
      <c r="E10" s="399"/>
      <c r="F10" s="399"/>
      <c r="G10" s="399"/>
      <c r="N10" s="139"/>
    </row>
    <row r="11" spans="1:14" x14ac:dyDescent="0.2">
      <c r="A11" s="13"/>
      <c r="B11" s="2"/>
      <c r="C11"/>
      <c r="N11" s="139"/>
    </row>
    <row r="12" spans="1:14" x14ac:dyDescent="0.2">
      <c r="A12" s="15" t="s">
        <v>110</v>
      </c>
      <c r="B12" s="406" t="s">
        <v>112</v>
      </c>
      <c r="C12" s="407"/>
      <c r="D12" s="408"/>
      <c r="N12" s="138" t="s">
        <v>129</v>
      </c>
    </row>
    <row r="13" spans="1:14" x14ac:dyDescent="0.2">
      <c r="B13" s="409" t="s">
        <v>189</v>
      </c>
      <c r="C13" s="410"/>
      <c r="D13" s="411"/>
    </row>
    <row r="14" spans="1:14" x14ac:dyDescent="0.2">
      <c r="B14" s="393" t="s">
        <v>184</v>
      </c>
      <c r="C14" s="394"/>
      <c r="D14" s="395"/>
      <c r="N14" s="139"/>
    </row>
    <row r="15" spans="1:14" x14ac:dyDescent="0.2">
      <c r="B15" s="396" t="s">
        <v>21</v>
      </c>
      <c r="C15" s="397"/>
      <c r="D15" s="398"/>
      <c r="N15" s="139"/>
    </row>
    <row r="16" spans="1:14" x14ac:dyDescent="0.2">
      <c r="N16" s="139"/>
    </row>
    <row r="17" spans="1:14" ht="32" x14ac:dyDescent="0.2">
      <c r="A17" s="1" t="s">
        <v>253</v>
      </c>
      <c r="B17" s="210" t="s">
        <v>205</v>
      </c>
      <c r="C17" s="210" t="s">
        <v>206</v>
      </c>
      <c r="N17" s="138" t="s">
        <v>130</v>
      </c>
    </row>
    <row r="18" spans="1:14" x14ac:dyDescent="0.2">
      <c r="A18" t="s">
        <v>254</v>
      </c>
      <c r="B18" s="209">
        <v>6</v>
      </c>
      <c r="D18" s="16"/>
      <c r="N18" s="138" t="s">
        <v>132</v>
      </c>
    </row>
    <row r="19" spans="1:14" x14ac:dyDescent="0.2">
      <c r="A19" t="s">
        <v>255</v>
      </c>
      <c r="B19" s="204">
        <v>1063.29</v>
      </c>
      <c r="C19" s="12">
        <f>VLOOKUP(B19,'Mead-Elevation-Area'!$A$5:$B$676,2)/1000000</f>
        <v>8.6522179999999995</v>
      </c>
      <c r="D19" s="126" t="s">
        <v>349</v>
      </c>
      <c r="F19" s="238"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288</v>
      </c>
    </row>
    <row r="22" spans="1:14" x14ac:dyDescent="0.2">
      <c r="A22" t="s">
        <v>257</v>
      </c>
      <c r="C22" s="182">
        <v>3.5339999999999998</v>
      </c>
      <c r="D22" s="109" t="s">
        <v>210</v>
      </c>
      <c r="E22" s="27"/>
      <c r="F22" s="27"/>
      <c r="N22" s="138" t="s">
        <v>287</v>
      </c>
    </row>
    <row r="23" spans="1:14" x14ac:dyDescent="0.2">
      <c r="A23" t="s">
        <v>277</v>
      </c>
      <c r="C23" s="12">
        <f>C21-C22</f>
        <v>5.1182179999999997</v>
      </c>
      <c r="D23" s="109"/>
      <c r="E23" s="27"/>
      <c r="N23" s="138" t="s">
        <v>289</v>
      </c>
    </row>
    <row r="24" spans="1:14" x14ac:dyDescent="0.2">
      <c r="A24" t="s">
        <v>305</v>
      </c>
      <c r="B24" s="92">
        <f>TribalWater!H7</f>
        <v>0.16438105840220965</v>
      </c>
      <c r="C24"/>
      <c r="D24" s="109"/>
      <c r="E24" s="27"/>
      <c r="N24" s="138" t="s">
        <v>331</v>
      </c>
    </row>
    <row r="25" spans="1:14" x14ac:dyDescent="0.2">
      <c r="A25" t="s">
        <v>304</v>
      </c>
      <c r="B25" s="219">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2">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2">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2">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2">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2">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200">
        <f>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2">
      <c r="A56" t="str">
        <f>IF(A7="","","       To "&amp;A7)</f>
        <v xml:space="preserve">       To Arizona</v>
      </c>
      <c r="B56" s="200">
        <f>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2">
      <c r="A57" t="str">
        <f>IF(A8="","","       To "&amp;A8)</f>
        <v xml:space="preserve">       To Nevada</v>
      </c>
      <c r="B57" s="200">
        <f>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2">
      <c r="A58" t="str">
        <f>IF(A9="","","       To "&amp;A9)</f>
        <v xml:space="preserve">       To Mexico</v>
      </c>
      <c r="B58" s="200">
        <f>DivideInflow!U8</f>
        <v>0.16666666666666666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2">
      <c r="A59" t="str">
        <f>IF(A10="","","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30">
        <f>SUM(C64:G64)</f>
        <v>0</v>
      </c>
      <c r="N64" s="141" t="s">
        <v>147</v>
      </c>
    </row>
    <row r="65" spans="1:14" x14ac:dyDescent="0.2">
      <c r="A65" s="123" t="str">
        <f>IF(A64="","","   Enter price per acre-foot to Buy(-) or Sell(+)")</f>
        <v xml:space="preserve">   Enter price per acre-foot to Buy(-) or Sell(+)</v>
      </c>
      <c r="C65" s="90"/>
      <c r="D65" s="90"/>
      <c r="E65" s="90"/>
      <c r="F65" s="89"/>
      <c r="G65" s="90"/>
      <c r="H65" s="90"/>
      <c r="I65" s="90"/>
      <c r="J65" s="90"/>
      <c r="K65" s="90"/>
      <c r="L65" s="327"/>
      <c r="M65" s="328"/>
      <c r="N65" s="142" t="s">
        <v>148</v>
      </c>
    </row>
    <row r="66" spans="1:14" x14ac:dyDescent="0.2">
      <c r="A66" t="s">
        <v>465</v>
      </c>
      <c r="C66" s="326" t="str">
        <f>IF(OR(C64="",C65=""),"",IF(C65&gt;0,ABS(C64*C65),C64*C65)
)</f>
        <v/>
      </c>
      <c r="D66" s="326" t="str">
        <f>IF(OR(D64="",D65=""),"",IF(D65&gt;0,ABS(D64*D65),D64*D65)
)</f>
        <v/>
      </c>
      <c r="E66" s="326" t="str">
        <f t="shared" ref="E66:G66" si="46">IF(OR(E64="",E65=""),"",IF(E65&gt;0,ABS(E64*E65),E64*E65)
)</f>
        <v/>
      </c>
      <c r="F66" s="326" t="str">
        <f t="shared" si="46"/>
        <v/>
      </c>
      <c r="G66" s="326" t="str">
        <f t="shared" si="46"/>
        <v/>
      </c>
      <c r="H66" s="326"/>
      <c r="I66" s="326"/>
      <c r="J66" s="326"/>
      <c r="K66" s="326"/>
      <c r="L66" s="326"/>
      <c r="M66" s="329">
        <f>SUM(C66:G66)</f>
        <v>0</v>
      </c>
      <c r="N66" s="142"/>
    </row>
    <row r="67" spans="1:14" x14ac:dyDescent="0.2">
      <c r="A67" t="str">
        <f>IF(A65="","","   Net trade volume all participants (should be zero)")</f>
        <v xml:space="preserve">   Net trade volume all participants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31">
        <f>SUM(C73:L73)</f>
        <v>0</v>
      </c>
      <c r="N73" s="141" t="s">
        <v>147</v>
      </c>
    </row>
    <row r="74" spans="1:14" x14ac:dyDescent="0.2">
      <c r="A74" s="123" t="str">
        <f>IF(A73="","","   Enter price per acre-foot to Buy(-) or Sell(+)")</f>
        <v xml:space="preserve">   Enter price per acre-foot to Buy(-) or Sell(+)</v>
      </c>
      <c r="C74" s="90"/>
      <c r="D74" s="90"/>
      <c r="E74" s="90"/>
      <c r="F74" s="89"/>
      <c r="G74" s="90"/>
      <c r="H74" s="90"/>
      <c r="I74" s="90"/>
      <c r="J74" s="90"/>
      <c r="K74" s="90"/>
      <c r="L74" s="327"/>
      <c r="M74" s="328"/>
      <c r="N74" s="142" t="s">
        <v>148</v>
      </c>
    </row>
    <row r="75" spans="1:14" x14ac:dyDescent="0.2">
      <c r="A75" t="s">
        <v>465</v>
      </c>
      <c r="C75" s="326" t="str">
        <f>IF(OR(C73="",C74=""),"",IF(C74&gt;0,ABS(C73*C74),C73*C74)
)</f>
        <v/>
      </c>
      <c r="D75" s="326" t="str">
        <f t="shared" ref="D75:G75" si="50">IF(OR(D73="",D74=""),"",IF(D74&gt;0,ABS(D73*D74),D73*D74)
)</f>
        <v/>
      </c>
      <c r="E75" s="326" t="str">
        <f t="shared" si="50"/>
        <v/>
      </c>
      <c r="F75" s="326" t="str">
        <f t="shared" si="50"/>
        <v/>
      </c>
      <c r="G75" s="326" t="str">
        <f t="shared" si="50"/>
        <v/>
      </c>
      <c r="H75" s="90"/>
      <c r="I75" s="90"/>
      <c r="J75" s="90"/>
      <c r="K75" s="90"/>
      <c r="L75" s="90"/>
      <c r="M75" s="332">
        <f>SUM(C75:L75)</f>
        <v>0</v>
      </c>
      <c r="N75" s="142"/>
    </row>
    <row r="76" spans="1:14" x14ac:dyDescent="0.2">
      <c r="A76" s="128" t="str">
        <f>IF(A74="","",$A$67)</f>
        <v xml:space="preserve">   Net trade volume all participants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2">
      <c r="A77" s="1" t="str">
        <f>IF(A74="","","   Available Water [maf]")</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31">
        <f>SUM(C82:L82)</f>
        <v>0</v>
      </c>
      <c r="N82" s="141" t="s">
        <v>147</v>
      </c>
    </row>
    <row r="83" spans="1:14" x14ac:dyDescent="0.2">
      <c r="A83" s="123" t="str">
        <f>IF(A82="","","   Enter price per acre-foot to Buy(-) or Sell(+)")</f>
        <v xml:space="preserve">   Enter price per acre-foot to Buy(-) or Sell(+)</v>
      </c>
      <c r="C83" s="90"/>
      <c r="D83" s="90"/>
      <c r="E83" s="90"/>
      <c r="F83" s="89"/>
      <c r="G83" s="90"/>
      <c r="H83" s="90"/>
      <c r="I83" s="90"/>
      <c r="J83" s="90"/>
      <c r="K83" s="90"/>
      <c r="L83" s="327"/>
      <c r="M83" s="328"/>
      <c r="N83" s="142" t="s">
        <v>148</v>
      </c>
    </row>
    <row r="84" spans="1:14" x14ac:dyDescent="0.2">
      <c r="A84" t="s">
        <v>465</v>
      </c>
      <c r="C84" s="326" t="str">
        <f>IF(OR(C$82="",C$83=""),"",C82*C83)</f>
        <v/>
      </c>
      <c r="D84" s="326" t="str">
        <f t="shared" ref="D84:G84" si="54">IF(OR(D$82="",D$83=""),"",D82*D83)</f>
        <v/>
      </c>
      <c r="E84" s="326" t="str">
        <f t="shared" si="54"/>
        <v/>
      </c>
      <c r="F84" s="326" t="str">
        <f t="shared" si="54"/>
        <v/>
      </c>
      <c r="G84" s="326" t="str">
        <f t="shared" si="54"/>
        <v/>
      </c>
      <c r="H84" s="90"/>
      <c r="I84" s="90"/>
      <c r="J84" s="90"/>
      <c r="K84" s="90"/>
      <c r="L84" s="90"/>
      <c r="M84" s="332">
        <f>SUM(C84:L84)</f>
        <v>0</v>
      </c>
      <c r="N84" s="142"/>
    </row>
    <row r="85" spans="1:14" x14ac:dyDescent="0.2">
      <c r="A85" s="128" t="str">
        <f>IF(A83="","",$A$67)</f>
        <v xml:space="preserve">   Net trade volume all participants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2">
      <c r="A86" s="1" t="str">
        <f>IF(A83="","","   Available Water [maf]")</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31">
        <f>SUM(C91:L91)</f>
        <v>0</v>
      </c>
      <c r="N91" s="141" t="s">
        <v>147</v>
      </c>
    </row>
    <row r="92" spans="1:14" x14ac:dyDescent="0.2">
      <c r="A92" s="123" t="str">
        <f>IF(A91="","","   Enter price per acre-foot to Buy(-) or Sell(+)")</f>
        <v xml:space="preserve">   Enter price per acre-foot to Buy(-) or Sell(+)</v>
      </c>
      <c r="C92" s="90"/>
      <c r="D92" s="90"/>
      <c r="E92" s="90"/>
      <c r="F92" s="89"/>
      <c r="G92" s="90"/>
      <c r="H92" s="90"/>
      <c r="I92" s="90"/>
      <c r="J92" s="90"/>
      <c r="K92" s="90"/>
      <c r="L92" s="327"/>
      <c r="M92" s="328"/>
      <c r="N92" s="142" t="s">
        <v>148</v>
      </c>
    </row>
    <row r="93" spans="1:14" x14ac:dyDescent="0.2">
      <c r="A93" t="s">
        <v>465</v>
      </c>
      <c r="C93" s="326" t="str">
        <f>IF(OR(C$91="",C$92=""),"",C91*C92)</f>
        <v/>
      </c>
      <c r="D93" s="326" t="str">
        <f t="shared" ref="D93:G93" si="58">IF(OR(D$91="",D$92=""),"",D91*D92)</f>
        <v/>
      </c>
      <c r="E93" s="326" t="str">
        <f t="shared" si="58"/>
        <v/>
      </c>
      <c r="F93" s="326" t="str">
        <f t="shared" si="58"/>
        <v/>
      </c>
      <c r="G93" s="326" t="str">
        <f t="shared" si="58"/>
        <v/>
      </c>
      <c r="H93" s="90"/>
      <c r="I93" s="90"/>
      <c r="J93" s="90"/>
      <c r="K93" s="90"/>
      <c r="L93" s="90"/>
      <c r="M93" s="332">
        <f>SUM(C93:L93)</f>
        <v>0</v>
      </c>
      <c r="N93" s="142"/>
    </row>
    <row r="94" spans="1:14" x14ac:dyDescent="0.2">
      <c r="A94" s="128" t="str">
        <f>IF(A92="","",$A$67)</f>
        <v xml:space="preserve">   Net trade volume all participants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2">
      <c r="A95" s="1" t="str">
        <f>IF(A92="","","   Available Water [maf]")</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9"/>
      <c r="C100" s="89"/>
      <c r="D100" s="89"/>
      <c r="E100" s="89"/>
      <c r="F100" s="89"/>
      <c r="G100" s="89"/>
      <c r="H100" s="333">
        <v>0</v>
      </c>
      <c r="I100" s="89"/>
      <c r="J100" s="89"/>
      <c r="K100" s="89"/>
      <c r="L100" s="89"/>
      <c r="M100" s="331">
        <f>SUM(C100:L100)</f>
        <v>0</v>
      </c>
      <c r="N100" s="141" t="s">
        <v>147</v>
      </c>
    </row>
    <row r="101" spans="1:14" x14ac:dyDescent="0.2">
      <c r="A101" s="123" t="s">
        <v>464</v>
      </c>
      <c r="B101" s="239"/>
      <c r="C101" s="90"/>
      <c r="D101" s="90"/>
      <c r="E101" s="90"/>
      <c r="F101" s="89"/>
      <c r="G101" s="90"/>
      <c r="H101" s="334"/>
      <c r="I101" s="90"/>
      <c r="J101" s="90"/>
      <c r="K101" s="90"/>
      <c r="L101" s="90"/>
      <c r="M101" s="328"/>
      <c r="N101" s="142" t="s">
        <v>148</v>
      </c>
    </row>
    <row r="102" spans="1:14" x14ac:dyDescent="0.2">
      <c r="A102" t="s">
        <v>465</v>
      </c>
      <c r="B102" s="239"/>
      <c r="C102" s="326" t="str">
        <f>IF(OR(C$100="",C$101=""),"",C100*C101)</f>
        <v/>
      </c>
      <c r="D102" s="326" t="str">
        <f t="shared" ref="D102:G102" si="62">IF(OR(D$100="",D$101=""),"",D100*D101)</f>
        <v/>
      </c>
      <c r="E102" s="326" t="str">
        <f t="shared" si="62"/>
        <v/>
      </c>
      <c r="F102" s="326" t="str">
        <f t="shared" si="62"/>
        <v/>
      </c>
      <c r="G102" s="326" t="str">
        <f t="shared" si="62"/>
        <v/>
      </c>
      <c r="H102" s="335">
        <v>0</v>
      </c>
      <c r="I102" s="90"/>
      <c r="J102" s="90"/>
      <c r="K102" s="90"/>
      <c r="L102" s="90"/>
      <c r="M102" s="332">
        <f>SUM(C102:L102)</f>
        <v>0</v>
      </c>
      <c r="N102" s="142"/>
    </row>
    <row r="103" spans="1:14" x14ac:dyDescent="0.2">
      <c r="A103" s="128" t="str">
        <f>IF(A101="","",$A$67)</f>
        <v xml:space="preserve">   Net trade volume all participants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2">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9"/>
      <c r="C109" s="89"/>
      <c r="D109" s="89"/>
      <c r="E109" s="89"/>
      <c r="F109" s="89"/>
      <c r="G109" s="89"/>
      <c r="H109" s="333">
        <v>0</v>
      </c>
      <c r="I109" s="89"/>
      <c r="J109" s="89"/>
      <c r="K109" s="89"/>
      <c r="L109" s="89"/>
      <c r="M109" s="331">
        <f>SUM(C109:L109)</f>
        <v>0</v>
      </c>
      <c r="N109" s="141" t="s">
        <v>147</v>
      </c>
    </row>
    <row r="110" spans="1:14" x14ac:dyDescent="0.2">
      <c r="A110" s="123" t="s">
        <v>464</v>
      </c>
      <c r="B110" s="239"/>
      <c r="C110" s="90"/>
      <c r="D110" s="90"/>
      <c r="E110" s="90"/>
      <c r="F110" s="89"/>
      <c r="G110" s="90"/>
      <c r="H110" s="334"/>
      <c r="I110" s="90"/>
      <c r="J110" s="90"/>
      <c r="K110" s="90"/>
      <c r="L110" s="90"/>
      <c r="M110" s="328"/>
      <c r="N110" s="142" t="s">
        <v>148</v>
      </c>
    </row>
    <row r="111" spans="1:14" x14ac:dyDescent="0.2">
      <c r="A111" t="s">
        <v>465</v>
      </c>
      <c r="B111" s="239"/>
      <c r="C111" s="326" t="str">
        <f>IF(OR(C$109="",C$110=""),"",C109*C110)</f>
        <v/>
      </c>
      <c r="D111" s="326" t="str">
        <f t="shared" ref="D111:G111" si="66">IF(OR(D$109="",D$110=""),"",D109*D110)</f>
        <v/>
      </c>
      <c r="E111" s="326" t="str">
        <f t="shared" si="66"/>
        <v/>
      </c>
      <c r="F111" s="326" t="str">
        <f t="shared" si="66"/>
        <v/>
      </c>
      <c r="G111" s="326" t="str">
        <f t="shared" si="66"/>
        <v/>
      </c>
      <c r="H111" s="335">
        <v>0</v>
      </c>
      <c r="I111" s="90"/>
      <c r="J111" s="90"/>
      <c r="K111" s="90"/>
      <c r="L111" s="90"/>
      <c r="M111" s="332">
        <f>SUM(C111:L111)</f>
        <v>0</v>
      </c>
      <c r="N111" s="142"/>
    </row>
    <row r="112" spans="1:14" x14ac:dyDescent="0.2">
      <c r="A112" s="128" t="str">
        <f>IF(A110="","",$A$67)</f>
        <v xml:space="preserve">   Net trade volume all participants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2">
      <c r="A113" s="1" t="str">
        <f>IF(A110="","","   Available Water [maf]")</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70">IF(A5="","","    "&amp;A5)</f>
        <v xml:space="preserve">    Reclamation - Protect Zone</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2">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2">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2">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2">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2">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2">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2">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2">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2">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2">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2">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2">
      <c r="A133" s="1" t="s">
        <v>252</v>
      </c>
      <c r="B133" s="1"/>
      <c r="D133" s="2"/>
      <c r="E133" s="2"/>
      <c r="F133" s="2"/>
      <c r="G133" s="2"/>
      <c r="H133" s="2"/>
      <c r="I133" s="2"/>
      <c r="J133" s="2"/>
      <c r="K133" s="2"/>
      <c r="L133" s="2"/>
      <c r="N133" s="139"/>
    </row>
    <row r="134" spans="1:14" x14ac:dyDescent="0.2">
      <c r="A134" t="str">
        <f t="shared" ref="A134:A139" si="86">IF(A5="","","    "&amp;A5)</f>
        <v xml:space="preserve">    Reclamation - Protect Zone</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2">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2">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2">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2">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2">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2">
      <c r="A140" s="1" t="s">
        <v>247</v>
      </c>
      <c r="H140" s="12" t="str">
        <f t="shared" ref="H140:L140" si="93">IF(H$28&lt;&gt;"",SUM(H134:H139),"")</f>
        <v/>
      </c>
      <c r="I140" s="12" t="str">
        <f t="shared" si="93"/>
        <v/>
      </c>
      <c r="J140" s="12" t="str">
        <f t="shared" si="93"/>
        <v/>
      </c>
      <c r="K140" s="12" t="str">
        <f t="shared" si="93"/>
        <v/>
      </c>
      <c r="L140" s="12" t="str">
        <f t="shared" si="93"/>
        <v/>
      </c>
      <c r="N140" s="138" t="s">
        <v>295</v>
      </c>
    </row>
    <row r="141" spans="1:14" x14ac:dyDescent="0.2">
      <c r="A141" t="s">
        <v>248</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2">
      <c r="A142" t="s">
        <v>249</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abSelected="1" topLeftCell="J17" zoomScale="132" zoomScaleNormal="279" workbookViewId="0">
      <selection activeCell="W20" sqref="W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6" t="s">
        <v>217</v>
      </c>
      <c r="C5" s="186" t="s">
        <v>203</v>
      </c>
      <c r="D5" s="186" t="s">
        <v>204</v>
      </c>
      <c r="E5" s="186" t="s">
        <v>202</v>
      </c>
      <c r="F5" s="186" t="s">
        <v>18</v>
      </c>
      <c r="G5" s="186" t="s">
        <v>25</v>
      </c>
      <c r="I5" s="420" t="s">
        <v>424</v>
      </c>
      <c r="J5" s="421"/>
      <c r="K5" s="421"/>
      <c r="L5" s="421"/>
      <c r="M5" s="421"/>
      <c r="N5" s="421"/>
      <c r="O5" s="421"/>
      <c r="P5" s="421"/>
      <c r="Q5" s="421"/>
      <c r="R5" s="421"/>
      <c r="S5" s="421"/>
      <c r="T5" s="421"/>
      <c r="U5" s="421"/>
      <c r="V5" s="421"/>
      <c r="W5" s="422"/>
      <c r="Y5" s="193"/>
      <c r="Z5" s="193"/>
      <c r="AA5" s="193"/>
      <c r="AB5" s="336"/>
    </row>
    <row r="6" spans="1:53" s="185" customFormat="1" ht="27.5" customHeight="1" x14ac:dyDescent="0.15">
      <c r="B6" s="412" t="s">
        <v>228</v>
      </c>
      <c r="C6" s="413"/>
      <c r="D6" s="413"/>
      <c r="E6" s="413"/>
      <c r="F6" s="413"/>
      <c r="G6" s="414"/>
      <c r="I6" s="423" t="s">
        <v>13</v>
      </c>
      <c r="J6" s="425" t="s">
        <v>410</v>
      </c>
      <c r="K6" s="425" t="s">
        <v>409</v>
      </c>
      <c r="L6" s="426" t="s">
        <v>215</v>
      </c>
      <c r="M6" s="427"/>
      <c r="N6" s="427"/>
      <c r="O6" s="427"/>
      <c r="P6" s="427"/>
      <c r="Q6" s="428"/>
      <c r="R6" s="429" t="s">
        <v>216</v>
      </c>
      <c r="S6" s="430"/>
      <c r="T6" s="430"/>
      <c r="U6" s="430"/>
      <c r="V6" s="430"/>
      <c r="W6" s="431"/>
      <c r="Y6" s="309"/>
      <c r="Z6" s="309"/>
      <c r="AA6" s="309"/>
      <c r="AB6" s="337"/>
    </row>
    <row r="7" spans="1:53" s="185" customFormat="1" ht="44" customHeight="1" x14ac:dyDescent="0.15">
      <c r="B7" s="194">
        <v>0</v>
      </c>
      <c r="C7" s="195">
        <v>0</v>
      </c>
      <c r="D7" s="195">
        <v>0</v>
      </c>
      <c r="E7" s="195">
        <v>0</v>
      </c>
      <c r="F7" s="195">
        <v>0</v>
      </c>
      <c r="G7" s="195">
        <f>SUM(C7:F7)</f>
        <v>0</v>
      </c>
      <c r="I7" s="424"/>
      <c r="J7" s="424"/>
      <c r="K7" s="424"/>
      <c r="L7" s="187" t="s">
        <v>411</v>
      </c>
      <c r="M7" s="187" t="s">
        <v>412</v>
      </c>
      <c r="N7" s="187" t="s">
        <v>413</v>
      </c>
      <c r="O7" s="187" t="s">
        <v>407</v>
      </c>
      <c r="P7" s="187" t="s">
        <v>408</v>
      </c>
      <c r="Q7" s="263" t="s">
        <v>222</v>
      </c>
      <c r="R7" s="188" t="s">
        <v>414</v>
      </c>
      <c r="S7" s="188" t="s">
        <v>415</v>
      </c>
      <c r="T7" s="188" t="s">
        <v>416</v>
      </c>
      <c r="U7" s="188" t="s">
        <v>417</v>
      </c>
      <c r="V7" s="188" t="s">
        <v>408</v>
      </c>
      <c r="W7" s="249" t="s">
        <v>227</v>
      </c>
      <c r="Y7" s="310"/>
      <c r="Z7" s="339"/>
      <c r="AA7" s="339"/>
      <c r="AB7" s="339"/>
    </row>
    <row r="8" spans="1:53" s="193" customFormat="1" x14ac:dyDescent="0.15">
      <c r="B8" s="194" t="s">
        <v>230</v>
      </c>
      <c r="C8" s="198">
        <v>0.8</v>
      </c>
      <c r="D8" s="198">
        <v>3.3300000000000003E-2</v>
      </c>
      <c r="E8" s="198">
        <v>0</v>
      </c>
      <c r="F8" s="198">
        <v>0.16669999999999999</v>
      </c>
      <c r="G8" s="198">
        <f t="shared" ref="G8:G9" si="0">SUM(C8:F8)</f>
        <v>1</v>
      </c>
      <c r="I8" s="299" t="s">
        <v>402</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432</v>
      </c>
      <c r="Y8" s="310"/>
    </row>
    <row r="9" spans="1:53" s="193" customFormat="1" ht="14" x14ac:dyDescent="0.15">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15">
      <c r="B10" s="415" t="s">
        <v>237</v>
      </c>
      <c r="C10" s="415"/>
      <c r="D10" s="415"/>
      <c r="E10" s="415"/>
      <c r="F10" s="415"/>
      <c r="G10" s="415"/>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15">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15">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431</v>
      </c>
      <c r="AP12" s="279"/>
      <c r="AQ12" s="279"/>
      <c r="AR12" s="279"/>
      <c r="AT12" s="279"/>
      <c r="AU12" s="279"/>
      <c r="AV12" s="279"/>
      <c r="AX12" s="288"/>
      <c r="AY12" s="288"/>
      <c r="AZ12" s="288"/>
    </row>
    <row r="13" spans="1:53" s="193" customFormat="1" ht="14" x14ac:dyDescent="0.15">
      <c r="B13" s="194">
        <v>0.4</v>
      </c>
      <c r="C13" s="197">
        <f t="shared" si="8"/>
        <v>0.17332000000000003</v>
      </c>
      <c r="D13" s="197">
        <f t="shared" si="8"/>
        <v>1.3320000000000002E-2</v>
      </c>
      <c r="E13" s="197">
        <f t="shared" si="8"/>
        <v>0.14668</v>
      </c>
      <c r="F13" s="197">
        <f t="shared" si="8"/>
        <v>6.6680000000000003E-2</v>
      </c>
      <c r="G13" s="197">
        <f>SUM(C13:F13)</f>
        <v>0.40000000000000008</v>
      </c>
      <c r="I13" s="246" t="s">
        <v>426</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15">
      <c r="B14" s="194">
        <v>1</v>
      </c>
      <c r="C14" s="197">
        <f t="shared" si="8"/>
        <v>0.43330000000000002</v>
      </c>
      <c r="D14" s="197">
        <f t="shared" si="8"/>
        <v>3.3300000000000003E-2</v>
      </c>
      <c r="E14" s="197">
        <f t="shared" si="8"/>
        <v>0.36670000000000003</v>
      </c>
      <c r="F14" s="197">
        <f t="shared" si="8"/>
        <v>0.16669999999999999</v>
      </c>
      <c r="G14" s="197">
        <f>SUM(C14:F14)</f>
        <v>1</v>
      </c>
      <c r="I14" s="246" t="s">
        <v>403</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15">
      <c r="B15" s="194">
        <v>1.5</v>
      </c>
      <c r="C15" s="197">
        <f t="shared" si="8"/>
        <v>0.64995000000000003</v>
      </c>
      <c r="D15" s="197">
        <f t="shared" si="8"/>
        <v>4.9950000000000008E-2</v>
      </c>
      <c r="E15" s="197">
        <f t="shared" si="8"/>
        <v>0.55005000000000004</v>
      </c>
      <c r="F15" s="197">
        <f t="shared" si="8"/>
        <v>0.25004999999999999</v>
      </c>
      <c r="G15" s="197">
        <f>SUM(C15:F15)</f>
        <v>1.5</v>
      </c>
      <c r="I15" s="246" t="s">
        <v>404</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15">
      <c r="B16" s="194" t="s">
        <v>234</v>
      </c>
      <c r="C16" s="416" t="s">
        <v>235</v>
      </c>
      <c r="D16" s="417"/>
      <c r="E16" s="417"/>
      <c r="F16" s="417"/>
      <c r="G16" s="418"/>
      <c r="I16" s="246" t="s">
        <v>405</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15">
      <c r="I17" s="246" t="s">
        <v>406</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15"/>
    <row r="19" spans="2:58" s="193" customFormat="1" ht="19" customHeight="1" x14ac:dyDescent="0.15">
      <c r="I19" s="419" t="s">
        <v>425</v>
      </c>
      <c r="J19" s="419"/>
      <c r="K19" s="419"/>
      <c r="L19" s="419"/>
      <c r="M19" s="419"/>
      <c r="N19" s="419"/>
      <c r="O19" s="419"/>
      <c r="P19" s="419"/>
      <c r="Q19" s="419"/>
      <c r="R19" s="419"/>
      <c r="S19" s="419"/>
      <c r="T19" s="419"/>
      <c r="U19" s="419"/>
      <c r="Z19" s="252"/>
      <c r="AA19" s="252"/>
      <c r="AB19" s="252"/>
      <c r="AC19" s="252"/>
    </row>
    <row r="20" spans="2:58" s="193" customFormat="1" ht="27" customHeight="1" x14ac:dyDescent="0.15">
      <c r="I20" s="425" t="s">
        <v>13</v>
      </c>
      <c r="J20" s="425" t="s">
        <v>213</v>
      </c>
      <c r="K20" s="425" t="s">
        <v>214</v>
      </c>
      <c r="L20" s="412" t="s">
        <v>215</v>
      </c>
      <c r="M20" s="413"/>
      <c r="N20" s="413"/>
      <c r="O20" s="413"/>
      <c r="P20" s="414"/>
      <c r="Q20" s="429" t="s">
        <v>216</v>
      </c>
      <c r="R20" s="430"/>
      <c r="S20" s="430"/>
      <c r="T20" s="430"/>
      <c r="U20" s="431"/>
      <c r="Z20" s="256"/>
      <c r="AA20" s="256"/>
      <c r="AB20" s="256"/>
      <c r="AC20" s="256"/>
    </row>
    <row r="21" spans="2:58" s="193" customFormat="1" ht="35" customHeight="1" x14ac:dyDescent="0.15">
      <c r="I21" s="432"/>
      <c r="J21" s="432"/>
      <c r="K21" s="432"/>
      <c r="L21" s="187" t="s">
        <v>218</v>
      </c>
      <c r="M21" s="187" t="s">
        <v>219</v>
      </c>
      <c r="N21" s="187" t="s">
        <v>220</v>
      </c>
      <c r="O21" s="187" t="s">
        <v>221</v>
      </c>
      <c r="P21" s="187" t="s">
        <v>222</v>
      </c>
      <c r="Q21" s="188" t="s">
        <v>223</v>
      </c>
      <c r="R21" s="188" t="s">
        <v>224</v>
      </c>
      <c r="S21" s="188" t="s">
        <v>225</v>
      </c>
      <c r="T21" s="188" t="s">
        <v>226</v>
      </c>
      <c r="U21" s="188" t="s">
        <v>227</v>
      </c>
      <c r="Z21" s="307"/>
      <c r="AA21" s="307"/>
      <c r="AB21" s="307"/>
    </row>
    <row r="22" spans="2:58" s="193" customFormat="1" ht="17" customHeight="1" x14ac:dyDescent="0.15">
      <c r="I22" s="299" t="s">
        <v>402</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193" t="s">
        <v>432</v>
      </c>
      <c r="W22" s="260"/>
      <c r="AF22" s="338"/>
    </row>
    <row r="23" spans="2:58" s="193" customFormat="1" ht="15" customHeight="1" x14ac:dyDescent="0.15">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8"/>
    </row>
    <row r="24" spans="2:58" s="193" customFormat="1" ht="14" customHeight="1" x14ac:dyDescent="0.15">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8"/>
    </row>
    <row r="25" spans="2:58" s="193" customFormat="1" ht="14" customHeight="1" x14ac:dyDescent="0.15">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281"/>
      <c r="W25" s="258"/>
    </row>
    <row r="26" spans="2:58" s="193" customFormat="1" ht="14" x14ac:dyDescent="0.15">
      <c r="C26" s="289"/>
      <c r="D26" s="289"/>
      <c r="E26" s="289"/>
      <c r="F26" s="289"/>
      <c r="G26" s="289"/>
      <c r="I26" s="246" t="s">
        <v>236</v>
      </c>
      <c r="J26" s="189">
        <f>B15</f>
        <v>1.5</v>
      </c>
      <c r="K26" s="196">
        <f>K$22-J26</f>
        <v>7.5</v>
      </c>
      <c r="L26" s="197">
        <f t="shared" si="13"/>
        <v>2.1500499999999998</v>
      </c>
      <c r="M26" s="197">
        <f t="shared" si="13"/>
        <v>0.25004999999999999</v>
      </c>
      <c r="N26" s="197">
        <f t="shared" si="13"/>
        <v>3.8499500000000002</v>
      </c>
      <c r="O26" s="197">
        <f t="shared" si="13"/>
        <v>1.2499500000000001</v>
      </c>
      <c r="P26" s="190">
        <f t="shared" si="14"/>
        <v>7.5</v>
      </c>
      <c r="Q26" s="298">
        <f t="shared" si="9"/>
        <v>0.28667333333333328</v>
      </c>
      <c r="R26" s="298">
        <f t="shared" si="10"/>
        <v>3.3340000000000002E-2</v>
      </c>
      <c r="S26" s="298">
        <f t="shared" si="11"/>
        <v>0.51332666666666671</v>
      </c>
      <c r="T26" s="298">
        <f t="shared" si="12"/>
        <v>0.16666</v>
      </c>
      <c r="U26" s="192">
        <f t="shared" si="15"/>
        <v>1</v>
      </c>
      <c r="V26" s="281"/>
      <c r="W26" s="258"/>
    </row>
    <row r="27" spans="2:58" s="193" customFormat="1" ht="14" x14ac:dyDescent="0.15">
      <c r="C27" s="289"/>
      <c r="D27" s="289"/>
      <c r="E27" s="289"/>
      <c r="F27" s="289"/>
      <c r="G27" s="289"/>
      <c r="I27" s="246" t="s">
        <v>426</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281"/>
      <c r="W27" s="258"/>
    </row>
    <row r="28" spans="2:58" s="193" customFormat="1" ht="14" x14ac:dyDescent="0.15">
      <c r="I28" s="246" t="s">
        <v>403</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08" t="s">
        <v>429</v>
      </c>
      <c r="W28" s="258"/>
    </row>
    <row r="29" spans="2:58" s="193" customFormat="1" ht="14" x14ac:dyDescent="0.15">
      <c r="C29" s="289"/>
      <c r="D29" s="289"/>
      <c r="E29" s="289"/>
      <c r="F29" s="289"/>
      <c r="G29" s="289"/>
      <c r="I29" s="246" t="s">
        <v>404</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281"/>
      <c r="W29" s="258"/>
    </row>
    <row r="30" spans="2:58" s="193" customFormat="1" ht="14" x14ac:dyDescent="0.15">
      <c r="C30" s="289"/>
      <c r="D30" s="289"/>
      <c r="E30" s="289"/>
      <c r="F30" s="289"/>
      <c r="G30" s="289"/>
      <c r="I30" s="246" t="s">
        <v>405</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281"/>
      <c r="W30" s="258"/>
    </row>
    <row r="31" spans="2:58" s="193" customFormat="1" ht="14" x14ac:dyDescent="0.15">
      <c r="C31" s="289"/>
      <c r="D31" s="289"/>
      <c r="E31" s="289"/>
      <c r="F31" s="289"/>
      <c r="G31" s="289"/>
      <c r="I31" s="246" t="s">
        <v>406</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06" t="s">
        <v>430</v>
      </c>
      <c r="W31" s="258"/>
    </row>
    <row r="32" spans="2:58" s="193" customFormat="1" ht="14" x14ac:dyDescent="0.15">
      <c r="C32" s="289"/>
      <c r="D32" s="289"/>
      <c r="E32" s="289"/>
      <c r="F32" s="289"/>
      <c r="G32" s="289"/>
      <c r="V32" s="281"/>
      <c r="W32" s="258"/>
      <c r="BC32" s="287"/>
      <c r="BD32" s="287"/>
      <c r="BE32" s="287"/>
      <c r="BF32" s="287"/>
    </row>
    <row r="33" spans="1:39" x14ac:dyDescent="0.2">
      <c r="V33" s="281"/>
      <c r="W33" s="258"/>
    </row>
    <row r="36" spans="1:39" x14ac:dyDescent="0.2">
      <c r="AB36" s="113"/>
      <c r="AC36" s="113"/>
      <c r="AD36" s="113"/>
      <c r="AF36" s="113"/>
      <c r="AG36" s="113"/>
    </row>
    <row r="37" spans="1:39" ht="14" customHeight="1" x14ac:dyDescent="0.2">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2">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2">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2">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2">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2">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2">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2">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2">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2">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2">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2">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2">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2">
      <c r="A50" s="252"/>
      <c r="B50" s="193"/>
      <c r="C50" s="193"/>
      <c r="D50" s="193"/>
      <c r="E50" s="193"/>
      <c r="F50" s="193"/>
      <c r="G50" s="193"/>
    </row>
    <row r="51" spans="1:39" x14ac:dyDescent="0.2">
      <c r="B51" s="252"/>
      <c r="C51" s="193"/>
      <c r="D51" s="193"/>
      <c r="E51" s="193"/>
      <c r="F51" s="193"/>
      <c r="G51" s="193"/>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20" t="s">
        <v>308</v>
      </c>
      <c r="B4" s="220" t="s">
        <v>309</v>
      </c>
      <c r="C4" s="221" t="s">
        <v>310</v>
      </c>
      <c r="D4" s="221" t="s">
        <v>311</v>
      </c>
      <c r="F4" s="221" t="s">
        <v>309</v>
      </c>
      <c r="G4" s="221" t="s">
        <v>318</v>
      </c>
      <c r="H4" s="221" t="s">
        <v>319</v>
      </c>
    </row>
    <row r="5" spans="1:14" x14ac:dyDescent="0.2">
      <c r="A5" s="22" t="s">
        <v>312</v>
      </c>
      <c r="B5" s="22" t="s">
        <v>204</v>
      </c>
      <c r="C5" s="23">
        <v>12534</v>
      </c>
      <c r="D5" s="23"/>
      <c r="F5" s="21" t="s">
        <v>204</v>
      </c>
      <c r="G5" s="30">
        <f>SUMIFS($C$5:$C$13,$B$5:$B$13,F5)</f>
        <v>12534</v>
      </c>
      <c r="H5" s="224">
        <f>G5/G$8</f>
        <v>1.3163339249519528E-2</v>
      </c>
    </row>
    <row r="6" spans="1:14" x14ac:dyDescent="0.2">
      <c r="A6" s="22" t="s">
        <v>312</v>
      </c>
      <c r="B6" s="22" t="s">
        <v>203</v>
      </c>
      <c r="C6" s="23">
        <v>103535</v>
      </c>
      <c r="D6" s="23"/>
      <c r="F6" s="21" t="s">
        <v>203</v>
      </c>
      <c r="G6" s="30">
        <f t="shared" ref="G6:G7" si="0">SUMIFS($C$5:$C$13,$B$5:$B$13,F6)</f>
        <v>783134</v>
      </c>
      <c r="H6" s="224">
        <f t="shared" ref="H6:H8" si="1">G6/G$8</f>
        <v>0.82245560234827086</v>
      </c>
    </row>
    <row r="7" spans="1:14" x14ac:dyDescent="0.2">
      <c r="A7" s="22" t="s">
        <v>312</v>
      </c>
      <c r="B7" s="22" t="s">
        <v>202</v>
      </c>
      <c r="C7" s="23">
        <v>16720</v>
      </c>
      <c r="D7" s="23"/>
      <c r="F7" s="21" t="s">
        <v>202</v>
      </c>
      <c r="G7" s="30">
        <f t="shared" si="0"/>
        <v>156522</v>
      </c>
      <c r="H7" s="224">
        <f t="shared" si="1"/>
        <v>0.16438105840220965</v>
      </c>
    </row>
    <row r="8" spans="1:14" x14ac:dyDescent="0.2">
      <c r="A8" s="22" t="s">
        <v>314</v>
      </c>
      <c r="B8" s="22" t="s">
        <v>202</v>
      </c>
      <c r="C8" s="23">
        <v>11340</v>
      </c>
      <c r="D8" s="23"/>
      <c r="F8" s="227" t="s">
        <v>25</v>
      </c>
      <c r="G8" s="225">
        <f>SUM(G5:G7)</f>
        <v>952190</v>
      </c>
      <c r="H8" s="226">
        <f t="shared" si="1"/>
        <v>1</v>
      </c>
    </row>
    <row r="9" spans="1:14" x14ac:dyDescent="0.2">
      <c r="A9" s="22" t="s">
        <v>315</v>
      </c>
      <c r="B9" s="22" t="s">
        <v>203</v>
      </c>
      <c r="C9" s="23">
        <v>662402</v>
      </c>
      <c r="D9" s="23"/>
    </row>
    <row r="10" spans="1:14" x14ac:dyDescent="0.2">
      <c r="A10" s="22" t="s">
        <v>315</v>
      </c>
      <c r="B10" s="22" t="s">
        <v>202</v>
      </c>
      <c r="C10" s="23">
        <v>56846</v>
      </c>
      <c r="D10" s="23"/>
      <c r="G10" s="250"/>
    </row>
    <row r="11" spans="1:14" x14ac:dyDescent="0.2">
      <c r="A11" s="22" t="s">
        <v>316</v>
      </c>
      <c r="B11" s="22" t="s">
        <v>203</v>
      </c>
      <c r="C11" s="23">
        <v>6350</v>
      </c>
      <c r="D11" s="23"/>
    </row>
    <row r="12" spans="1:14" x14ac:dyDescent="0.2">
      <c r="A12" s="22" t="s">
        <v>316</v>
      </c>
      <c r="B12" s="22" t="s">
        <v>202</v>
      </c>
      <c r="C12" s="23">
        <v>71616</v>
      </c>
      <c r="D12" s="23"/>
      <c r="I12" s="277"/>
      <c r="J12" s="277"/>
      <c r="K12" s="277"/>
      <c r="L12" s="277"/>
      <c r="M12" s="277"/>
      <c r="N12" s="277"/>
    </row>
    <row r="13" spans="1:14" x14ac:dyDescent="0.2">
      <c r="A13" s="22" t="s">
        <v>317</v>
      </c>
      <c r="B13" s="22" t="s">
        <v>203</v>
      </c>
      <c r="C13" s="23">
        <v>10847</v>
      </c>
      <c r="D13" s="23">
        <v>22928</v>
      </c>
    </row>
    <row r="14" spans="1:14" s="1" customFormat="1" x14ac:dyDescent="0.2">
      <c r="A14" s="222" t="s">
        <v>25</v>
      </c>
      <c r="B14" s="222"/>
      <c r="C14" s="223">
        <f>SUM(C5:C13)</f>
        <v>952190</v>
      </c>
      <c r="D14" s="223">
        <f>SUM(D5:D13)</f>
        <v>22928</v>
      </c>
    </row>
    <row r="17" spans="1:3" x14ac:dyDescent="0.2">
      <c r="A17" s="1" t="s">
        <v>320</v>
      </c>
    </row>
    <row r="18" spans="1:3" x14ac:dyDescent="0.2">
      <c r="A18" s="220" t="s">
        <v>321</v>
      </c>
      <c r="B18" s="228" t="s">
        <v>322</v>
      </c>
      <c r="C18" s="228"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3" t="e">
        <f>#REF!</f>
        <v>#REF!</v>
      </c>
      <c r="B1" s="433"/>
      <c r="C1" s="433"/>
      <c r="D1" s="433"/>
      <c r="E1" s="433"/>
      <c r="F1" s="433"/>
      <c r="G1" s="433"/>
    </row>
    <row r="2" spans="1:14" x14ac:dyDescent="0.2">
      <c r="A2" s="1" t="s">
        <v>181</v>
      </c>
      <c r="B2" s="1"/>
    </row>
    <row r="3" spans="1:14" ht="32.25" customHeight="1" x14ac:dyDescent="0.2">
      <c r="A3" s="400" t="s">
        <v>177</v>
      </c>
      <c r="B3" s="400"/>
      <c r="C3" s="400"/>
      <c r="D3" s="400"/>
      <c r="E3" s="400"/>
      <c r="F3" s="400"/>
      <c r="G3" s="400"/>
      <c r="H3" s="82"/>
      <c r="I3" s="82"/>
      <c r="J3" s="82"/>
      <c r="K3" s="82"/>
      <c r="N3" s="134" t="s">
        <v>156</v>
      </c>
    </row>
    <row r="4" spans="1:14" x14ac:dyDescent="0.2">
      <c r="A4" s="124" t="s">
        <v>109</v>
      </c>
      <c r="B4" s="124" t="s">
        <v>19</v>
      </c>
      <c r="C4" s="401" t="s">
        <v>20</v>
      </c>
      <c r="D4" s="402"/>
      <c r="E4" s="402"/>
      <c r="F4" s="402"/>
      <c r="G4" s="403"/>
      <c r="N4" s="136" t="s">
        <v>128</v>
      </c>
    </row>
    <row r="5" spans="1:14" x14ac:dyDescent="0.2">
      <c r="A5" s="88" t="s">
        <v>16</v>
      </c>
      <c r="B5" s="111"/>
      <c r="C5" s="404"/>
      <c r="D5" s="399"/>
      <c r="E5" s="399"/>
      <c r="F5" s="399"/>
      <c r="G5" s="399"/>
      <c r="N5" s="139"/>
    </row>
    <row r="6" spans="1:14" x14ac:dyDescent="0.2">
      <c r="A6" s="88" t="s">
        <v>17</v>
      </c>
      <c r="B6" s="111"/>
      <c r="C6" s="404"/>
      <c r="D6" s="399"/>
      <c r="E6" s="399"/>
      <c r="F6" s="399"/>
      <c r="G6" s="399"/>
      <c r="N6" s="139"/>
    </row>
    <row r="7" spans="1:14" x14ac:dyDescent="0.2">
      <c r="A7" s="88" t="s">
        <v>18</v>
      </c>
      <c r="B7" s="111"/>
      <c r="C7" s="404"/>
      <c r="D7" s="399"/>
      <c r="E7" s="399"/>
      <c r="F7" s="399"/>
      <c r="G7" s="399"/>
      <c r="N7" s="139"/>
    </row>
    <row r="8" spans="1:14" x14ac:dyDescent="0.2">
      <c r="A8" s="111" t="s">
        <v>39</v>
      </c>
      <c r="B8" s="88"/>
      <c r="C8" s="399"/>
      <c r="D8" s="399"/>
      <c r="E8" s="399"/>
      <c r="F8" s="399"/>
      <c r="G8" s="399"/>
      <c r="N8" s="139"/>
    </row>
    <row r="9" spans="1:14" x14ac:dyDescent="0.2">
      <c r="A9" s="111" t="s">
        <v>162</v>
      </c>
      <c r="B9" s="88"/>
      <c r="C9" s="405"/>
      <c r="D9" s="405"/>
      <c r="E9" s="405"/>
      <c r="F9" s="405"/>
      <c r="G9" s="405"/>
      <c r="N9" s="139"/>
    </row>
    <row r="10" spans="1:14" x14ac:dyDescent="0.2">
      <c r="A10" s="112" t="s">
        <v>40</v>
      </c>
      <c r="B10" s="112"/>
      <c r="C10" s="434"/>
      <c r="D10" s="434"/>
      <c r="E10" s="434"/>
      <c r="F10" s="434"/>
      <c r="G10" s="434"/>
      <c r="N10" s="139"/>
    </row>
    <row r="11" spans="1:14" x14ac:dyDescent="0.2">
      <c r="A11" s="13"/>
      <c r="B11" s="2"/>
      <c r="C11"/>
      <c r="N11" s="139"/>
    </row>
    <row r="12" spans="1:14" x14ac:dyDescent="0.2">
      <c r="A12" s="15" t="s">
        <v>110</v>
      </c>
      <c r="B12" s="406" t="s">
        <v>112</v>
      </c>
      <c r="C12" s="407"/>
      <c r="D12" s="408"/>
      <c r="N12" s="138" t="s">
        <v>129</v>
      </c>
    </row>
    <row r="13" spans="1:14" x14ac:dyDescent="0.2">
      <c r="B13" s="409" t="s">
        <v>113</v>
      </c>
      <c r="C13" s="410"/>
      <c r="D13" s="411"/>
      <c r="N13" s="139"/>
    </row>
    <row r="14" spans="1:14" x14ac:dyDescent="0.2">
      <c r="B14" s="393" t="s">
        <v>114</v>
      </c>
      <c r="C14" s="394"/>
      <c r="D14" s="395"/>
      <c r="N14" s="139"/>
    </row>
    <row r="15" spans="1:14" x14ac:dyDescent="0.2">
      <c r="B15" s="396" t="s">
        <v>21</v>
      </c>
      <c r="C15" s="397"/>
      <c r="D15" s="398"/>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5" t="s">
        <v>59</v>
      </c>
      <c r="E3" s="435"/>
      <c r="F3" s="435" t="s">
        <v>60</v>
      </c>
      <c r="G3" s="435"/>
      <c r="H3" s="435"/>
      <c r="I3" s="435" t="s">
        <v>61</v>
      </c>
      <c r="J3" s="435"/>
      <c r="K3" s="435"/>
      <c r="L3" s="131"/>
      <c r="M3" s="435" t="s">
        <v>18</v>
      </c>
      <c r="N3" s="435"/>
      <c r="O3" s="435"/>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2025-06-23T20:04:06Z</dcterms:modified>
</cp:coreProperties>
</file>