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67DCA645-9EC6-7244-A903-7E9969535464}"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definedNames>
    <definedName name="_xlchart.v1.0" hidden="1">(DivideInflow!$Z$20:$AB$20,DivideInflow!$N$22,DivideInflow!$M$22,DivideInflow!$L$22)</definedName>
    <definedName name="_xlchart.v1.1" hidden="1">(DivideInflow!$Z$20:$AB$20,DivideInflow!$N$22,DivideInflow!$M$22,DivideInflow!$L$22)</definedName>
    <definedName name="_xlchart.v1.2" hidden="1">(DivideInflow!$Z$20:$AB$20,DivideInflow!$N$22,DivideInflow!$M$22,DivideInflow!$L$22)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 i="61" l="1"/>
  <c r="AB20" i="61"/>
  <c r="O8" i="61"/>
  <c r="C52" i="47"/>
  <c r="D54" i="47"/>
  <c r="D53" i="47"/>
  <c r="B36" i="47"/>
  <c r="D59" i="47"/>
  <c r="E59" i="47"/>
  <c r="F59" i="47"/>
  <c r="G59" i="47"/>
  <c r="D58" i="47"/>
  <c r="E58" i="47"/>
  <c r="F58" i="47"/>
  <c r="G58" i="47"/>
  <c r="D57" i="47"/>
  <c r="E57" i="47"/>
  <c r="F57" i="47"/>
  <c r="G57" i="47"/>
  <c r="D56" i="47"/>
  <c r="E56" i="47"/>
  <c r="F56" i="47"/>
  <c r="G56" i="47"/>
  <c r="D55" i="47"/>
  <c r="E55" i="47"/>
  <c r="F55" i="47"/>
  <c r="G55" i="47"/>
  <c r="P10" i="61"/>
  <c r="P11" i="61"/>
  <c r="P12" i="61"/>
  <c r="P13" i="61"/>
  <c r="P14" i="61"/>
  <c r="P15" i="61"/>
  <c r="P16" i="61"/>
  <c r="P17" i="61"/>
  <c r="P9" i="61"/>
  <c r="P8" i="61"/>
  <c r="Z20" i="61" s="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AA20" i="61" l="1"/>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60" i="47" l="1"/>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107" i="47" l="1"/>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91" i="47" l="1"/>
  <c r="G93" i="47" s="1"/>
  <c r="G131" i="47" s="1"/>
  <c r="G83" i="47"/>
  <c r="G85" i="47" s="1"/>
  <c r="G130" i="47" s="1"/>
  <c r="G75" i="47"/>
  <c r="G77" i="47" s="1"/>
  <c r="G129" i="47" s="1"/>
  <c r="G99" i="47"/>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115" i="47"/>
  <c r="M115" i="47" s="1"/>
  <c r="C117" i="47"/>
  <c r="M117" i="47" s="1"/>
  <c r="C113" i="47"/>
  <c r="C114" i="47"/>
  <c r="M114" i="47" s="1"/>
  <c r="M39" i="60" l="1"/>
  <c r="C119" i="47"/>
  <c r="C106" i="47" s="1"/>
  <c r="M113" i="47"/>
  <c r="C46" i="47"/>
  <c r="C53" i="47" s="1"/>
  <c r="C54" i="47" s="1"/>
  <c r="C49" i="47"/>
  <c r="C50" i="47"/>
  <c r="C48" i="47"/>
  <c r="C51" i="47"/>
  <c r="C47" i="47"/>
  <c r="C57" i="47" l="1"/>
  <c r="C55" i="47"/>
  <c r="M55" i="47" s="1"/>
  <c r="C56" i="47"/>
  <c r="M56" i="47" s="1"/>
  <c r="C58" i="47"/>
  <c r="C59" i="47"/>
  <c r="C98" i="47"/>
  <c r="C66" i="47"/>
  <c r="C82" i="47"/>
  <c r="C90" i="47"/>
  <c r="C74" i="47"/>
  <c r="M40" i="60"/>
  <c r="C67" i="47"/>
  <c r="C69" i="47" s="1"/>
  <c r="C128" i="47" s="1"/>
  <c r="M42" i="60" l="1"/>
  <c r="C83" i="47"/>
  <c r="C85" i="47" s="1"/>
  <c r="C130" i="47" s="1"/>
  <c r="M57" i="47"/>
  <c r="M43" i="60"/>
  <c r="C91" i="47"/>
  <c r="C93" i="47" s="1"/>
  <c r="C131" i="47" s="1"/>
  <c r="M58" i="47"/>
  <c r="M44" i="60"/>
  <c r="C99" i="47"/>
  <c r="C101" i="47" s="1"/>
  <c r="C132" i="47" s="1"/>
  <c r="C75" i="47"/>
  <c r="C77" i="47" s="1"/>
  <c r="C129" i="47" s="1"/>
  <c r="M53" i="47"/>
  <c r="M41" i="60"/>
  <c r="M59" i="47"/>
  <c r="C107" i="47"/>
  <c r="C109" i="47" s="1"/>
  <c r="C133" i="47" s="1"/>
  <c r="M45" i="60"/>
  <c r="C60" i="47"/>
  <c r="M46" i="60" s="1"/>
  <c r="M54" i="47" l="1"/>
  <c r="C135" i="47"/>
  <c r="C136" i="47" s="1"/>
  <c r="U8" i="61"/>
  <c r="Q8" i="61"/>
  <c r="S9" i="61"/>
  <c r="B58" i="47" l="1"/>
  <c r="W8" i="61"/>
  <c r="L9" i="61"/>
  <c r="R9" i="61" l="1"/>
  <c r="W9" i="61" s="1"/>
  <c r="L14" i="61"/>
  <c r="S14" i="61"/>
  <c r="S16" i="61"/>
  <c r="S15" i="61"/>
  <c r="L15" i="61"/>
  <c r="R15" i="61" s="1"/>
  <c r="S13" i="61"/>
  <c r="S10" i="61"/>
  <c r="L10" i="61"/>
  <c r="R10" i="61" s="1"/>
  <c r="L17" i="61"/>
  <c r="S17" i="61"/>
  <c r="L12" i="61"/>
  <c r="S12" i="61"/>
  <c r="S11" i="61"/>
  <c r="W15" i="61" l="1"/>
  <c r="W10" i="61"/>
  <c r="R12" i="61"/>
  <c r="R14" i="61"/>
  <c r="W14" i="61" s="1"/>
  <c r="L11" i="61"/>
  <c r="L13" i="61"/>
  <c r="R17" i="61"/>
  <c r="W17" i="61" s="1"/>
  <c r="L16" i="61"/>
  <c r="B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alcChain>
</file>

<file path=xl/sharedStrings.xml><?xml version="1.0" encoding="utf-8"?>
<sst xmlns="http://schemas.openxmlformats.org/spreadsheetml/2006/main" count="617" uniqueCount="440">
  <si>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</si>
  <si>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</si>
  <si>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</si>
  <si>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</si>
  <si>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</si>
  <si>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</si>
  <si>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</si>
  <si>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</si>
  <si>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</si>
  <si>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</si>
  <si>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</si>
  <si>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</si>
  <si>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</si>
  <si>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</si>
  <si>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</si>
  <si>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</si>
  <si>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</si>
  <si>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</si>
  <si>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</si>
  <si>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</si>
  <si>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</si>
  <si>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</si>
  <si>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</si>
  <si>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</si>
  <si>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</si>
  <si>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</si>
  <si>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</si>
  <si>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</si>
  <si>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</si>
  <si>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</si>
  <si>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</si>
  <si>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</si>
  <si>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</si>
  <si>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</si>
  <si>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</si>
  <si>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</si>
  <si>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</si>
  <si>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</si>
  <si>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</si>
  <si>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</si>
  <si>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</si>
  <si>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</si>
  <si>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</si>
  <si>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</si>
  <si>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</si>
  <si>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</si>
  <si>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</si>
  <si>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</si>
  <si>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</si>
  <si>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</si>
  <si>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</si>
  <si>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</si>
  <si>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</si>
  <si>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</si>
  <si>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</si>
  <si>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</si>
  <si>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</si>
  <si>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</si>
  <si>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</si>
  <si>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</si>
  <si>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</si>
  <si>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</si>
  <si>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</si>
  <si>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</si>
  <si>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</si>
  <si>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</si>
  <si>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</si>
  <si>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</si>
  <si>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</si>
  <si>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</si>
  <si>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</si>
  <si>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</si>
  <si>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</si>
  <si>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</si>
  <si>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</si>
  <si>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</si>
  <si>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</si>
  <si>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</si>
  <si>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</si>
  <si>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</si>
  <si>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</si>
  <si>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</si>
  <si>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</si>
  <si>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</si>
  <si>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</si>
  <si>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</si>
  <si>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</si>
  <si>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</si>
  <si>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</si>
  <si>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</si>
  <si>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</si>
  <si>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</si>
  <si>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</si>
  <si>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</si>
  <si>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</si>
  <si>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</si>
  <si>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</si>
  <si>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</si>
  <si>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</si>
  <si>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</si>
  <si>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</si>
  <si>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</si>
  <si>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</si>
  <si>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</si>
  <si>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</si>
  <si>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</si>
  <si>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</si>
  <si>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</si>
  <si>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</si>
  <si>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</si>
  <si>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</si>
  <si>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</si>
  <si>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</si>
  <si>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</si>
  <si>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</si>
  <si>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</si>
  <si>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</si>
  <si>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</si>
  <si>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</si>
  <si>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</si>
  <si>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</si>
  <si>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</si>
  <si>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</si>
  <si>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</si>
  <si>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</si>
  <si>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</si>
  <si>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</si>
  <si>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</si>
  <si>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</si>
  <si>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</si>
  <si>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</si>
  <si>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</si>
  <si>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</si>
  <si>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</si>
  <si>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</si>
  <si>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</si>
  <si>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</si>
  <si>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</si>
  <si>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</si>
  <si>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</si>
  <si>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</si>
  <si>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</si>
  <si>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</si>
  <si>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</si>
  <si>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</si>
  <si>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</si>
  <si>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</si>
  <si>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</si>
  <si>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</si>
  <si>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</si>
  <si>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</si>
  <si>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</si>
  <si>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</si>
  <si>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</si>
  <si>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</si>
  <si>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</si>
  <si>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</si>
  <si>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</si>
  <si>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</si>
  <si>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</si>
  <si>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</si>
  <si>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</si>
  <si>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</si>
  <si>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</si>
  <si>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</si>
  <si>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</si>
  <si>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</si>
  <si>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</si>
  <si>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</si>
  <si>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</si>
  <si>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</si>
  <si>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</si>
  <si>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</si>
  <si>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</si>
  <si>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</si>
  <si>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</si>
  <si>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</si>
  <si>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</si>
  <si>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</si>
  <si>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</si>
  <si>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</si>
  <si>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</si>
  <si>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</si>
  <si>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</si>
  <si>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</si>
  <si>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</si>
  <si>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</si>
  <si>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</si>
  <si>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</si>
  <si>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</si>
  <si>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</si>
  <si>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</si>
  <si>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</si>
  <si>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</si>
  <si>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</si>
  <si>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</si>
  <si>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</si>
  <si>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</si>
  <si>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</si>
  <si>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</si>
  <si>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</si>
  <si>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</si>
  <si>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</si>
  <si>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</si>
  <si>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</si>
  <si>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</si>
  <si>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</si>
  <si>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</si>
  <si>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</si>
  <si>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</si>
  <si>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</si>
  <si>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</si>
  <si>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</si>
  <si>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</si>
  <si>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</si>
  <si>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</si>
  <si>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</si>
  <si>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</si>
  <si>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</si>
  <si>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</si>
  <si>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</si>
  <si>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</si>
  <si>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</si>
  <si>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</si>
  <si>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</si>
  <si>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</si>
  <si>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</si>
  <si>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</si>
  <si>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</si>
  <si>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</si>
  <si>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</si>
  <si>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</si>
  <si>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</si>
  <si>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</si>
  <si>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</si>
  <si>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</si>
  <si>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</si>
  <si>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</si>
  <si>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</si>
  <si>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</si>
  <si>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</si>
  <si>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</si>
  <si>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</si>
  <si>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</si>
  <si>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</si>
  <si>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</si>
  <si>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</si>
  <si>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</si>
  <si>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</si>
  <si>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</si>
  <si>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</si>
  <si>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</si>
  <si>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</si>
  <si>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</si>
  <si>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</si>
  <si>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</si>
  <si>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</si>
  <si>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</si>
  <si>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</si>
  <si>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</si>
  <si>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</si>
  <si>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</si>
  <si>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</si>
  <si>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</si>
  <si>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</si>
  <si>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</si>
  <si>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</si>
  <si>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</si>
  <si>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</si>
  <si>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</si>
  <si>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</si>
  <si>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</si>
  <si>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</si>
  <si>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</si>
  <si>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</si>
  <si>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</si>
  <si>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</si>
  <si>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</si>
  <si>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</si>
  <si>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</si>
  <si>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</si>
  <si>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</si>
  <si>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</si>
  <si>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</si>
  <si>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</si>
  <si>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</si>
  <si>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</si>
  <si>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</si>
  <si>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</si>
  <si>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</si>
  <si>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</si>
  <si>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</si>
  <si>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</si>
  <si>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</si>
  <si>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</si>
  <si>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</si>
  <si>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</si>
  <si>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</si>
  <si>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</si>
  <si>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</si>
  <si>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</si>
  <si>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</si>
  <si>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</si>
  <si>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</si>
  <si>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</si>
  <si>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</si>
  <si>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</si>
  <si>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</si>
  <si>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</si>
  <si>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</si>
  <si>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</si>
  <si>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</si>
  <si>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</si>
  <si>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</si>
  <si>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</si>
  <si>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</si>
  <si>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</si>
  <si>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</si>
  <si>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</si>
  <si>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</si>
  <si>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</si>
  <si>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</si>
  <si>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</si>
  <si>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</si>
  <si>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</si>
  <si>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</si>
  <si>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</si>
  <si>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</si>
  <si>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</si>
  <si>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</si>
  <si>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</si>
  <si>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</si>
  <si>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</si>
  <si>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</si>
  <si>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</si>
  <si>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</si>
  <si>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</si>
  <si>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</si>
  <si>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</si>
  <si>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</si>
  <si>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</si>
  <si>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</si>
  <si>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</si>
  <si>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</si>
  <si>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</si>
  <si>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</si>
  <si>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</si>
  <si>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</si>
  <si>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</si>
  <si>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</si>
  <si>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</si>
  <si>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</si>
  <si>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</si>
  <si>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</si>
  <si>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</si>
  <si>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</si>
  <si>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</si>
  <si>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</si>
  <si>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</si>
  <si>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</si>
  <si>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</si>
  <si>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</si>
  <si>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</si>
  <si>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</si>
  <si>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</si>
  <si>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</si>
  <si>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</si>
  <si>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</si>
  <si>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</si>
  <si>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</si>
  <si>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</si>
  <si>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</si>
  <si>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</si>
  <si>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</si>
  <si>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</si>
  <si>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</si>
  <si>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</si>
  <si>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</si>
  <si>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</si>
  <si>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</si>
  <si>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</si>
  <si>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</si>
  <si>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</si>
  <si>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</si>
  <si>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</si>
  <si>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</si>
  <si>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</si>
  <si>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</si>
  <si>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</si>
  <si>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</si>
  <si>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</si>
  <si>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</si>
  <si>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</si>
  <si>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</si>
  <si>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</si>
  <si>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</si>
  <si>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</si>
  <si>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</si>
  <si>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</si>
  <si>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</si>
  <si>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</si>
  <si>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</si>
  <si>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</si>
  <si>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</si>
  <si>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</si>
  <si>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</si>
  <si>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</si>
  <si>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</si>
  <si>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</si>
  <si>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</si>
  <si>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</si>
  <si>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 Historical allocations</t>
  </si>
  <si>
    <t>[7] If percentage shares of total shortages for 0.3 to 1.5 maf per year specified in Lower Basin Alternative (2024) continue to total shortages for 1.5 to 2.7 maf per year.</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</si>
  <si>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</si>
  <si>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</si>
  <si>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</si>
  <si>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</si>
  <si>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</si>
  <si>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</si>
  <si>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</si>
  <si>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</si>
  <si>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</si>
  <si>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</si>
  <si>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</si>
  <si>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</si>
  <si>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</si>
  <si>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</si>
  <si>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</si>
  <si>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</si>
  <si>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</si>
  <si>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</si>
  <si>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</si>
  <si>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</si>
  <si>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t>1.5.1</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</si>
  <si>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</si>
  <si>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</si>
  <si>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[10] If percentage shares of total shortages for 0.3 to 1.5 maf per year specified in Lower Basin Alternative (2024) continue to total shortages for 8.0 maf per year.</t>
  </si>
  <si>
    <t>Key</t>
  </si>
  <si>
    <t>Chosen for model calculations. California has a higher priority.</t>
  </si>
  <si>
    <t>Tribal Water Percent in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</si>
</sst>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2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30" borderId="9" xfId="0" applyFont="1" applyFill="1" applyBorder="1" applyAlignment="1">
      <alignment horizontal="center" vertical="top"/>
    </xf>
    <xf numFmtId="164" fontId="19" fillId="30" borderId="9" xfId="0" applyNumberFormat="1" applyFont="1" applyFill="1" applyBorder="1" applyAlignment="1">
      <alignment horizontal="center" vertical="top"/>
    </xf>
    <xf numFmtId="172" fontId="19" fillId="30" borderId="9" xfId="4" applyNumberFormat="1" applyFont="1" applyFill="1" applyBorder="1" applyAlignment="1">
      <alignment horizontal="center" vertical="top"/>
    </xf>
    <xf numFmtId="9" fontId="19" fillId="30" borderId="9" xfId="0" applyNumberFormat="1" applyFont="1" applyFill="1" applyBorder="1" applyAlignment="1">
      <alignment horizontal="center" vertical="top"/>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30" borderId="9" xfId="0" applyFont="1" applyFill="1" applyBorder="1" applyAlignment="1">
      <alignment horizontal="center" vertical="center" wrapText="1"/>
    </xf>
    <xf numFmtId="2" fontId="19" fillId="30" borderId="9" xfId="0" applyNumberFormat="1" applyFont="1" applyFill="1" applyBorder="1" applyAlignment="1">
      <alignment horizontal="center" vertical="top"/>
    </xf>
    <xf numFmtId="0" fontId="19" fillId="31" borderId="9" xfId="0" applyFont="1" applyFill="1" applyBorder="1" applyAlignment="1">
      <alignment horizontal="center" vertical="center"/>
    </xf>
    <xf numFmtId="164" fontId="19" fillId="31" borderId="9" xfId="0" applyNumberFormat="1" applyFont="1" applyFill="1" applyBorder="1" applyAlignment="1">
      <alignment horizontal="center" vertical="center"/>
    </xf>
    <xf numFmtId="2" fontId="19" fillId="31" borderId="9" xfId="0" applyNumberFormat="1" applyFont="1" applyFill="1" applyBorder="1" applyAlignment="1">
      <alignment horizontal="center" vertical="center"/>
    </xf>
    <xf numFmtId="172" fontId="19" fillId="31" borderId="9" xfId="4" applyNumberFormat="1" applyFont="1" applyFill="1" applyBorder="1" applyAlignment="1">
      <alignment horizontal="center" vertical="center"/>
    </xf>
    <xf numFmtId="9" fontId="19" fillId="31" borderId="9" xfId="4" applyFont="1" applyFill="1" applyBorder="1" applyAlignment="1">
      <alignment horizontal="center" vertical="center"/>
    </xf>
    <xf numFmtId="0" fontId="20" fillId="0" borderId="5" xfId="0" applyFont="1" applyBorder="1" applyAlignment="1">
      <alignment horizontal="left" vertical="top"/>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20" fillId="30" borderId="5" xfId="0" applyFont="1" applyFill="1" applyBorder="1" applyAlignment="1">
      <alignment horizontal="left" vertical="top"/>
    </xf>
    <xf numFmtId="0" fontId="20" fillId="30" borderId="0" xfId="0" applyFont="1" applyFill="1" applyAlignment="1">
      <alignment horizontal="left" vertical="top"/>
    </xf>
    <xf numFmtId="0" fontId="19" fillId="0" borderId="7" xfId="0" applyFont="1" applyBorder="1" applyAlignment="1">
      <alignment horizontal="center"/>
    </xf>
    <xf numFmtId="0" fontId="19" fillId="31" borderId="5" xfId="0" applyFont="1" applyFill="1" applyBorder="1" applyAlignment="1">
      <alignment horizontal="left"/>
    </xf>
    <xf numFmtId="0" fontId="19" fillId="31" borderId="0" xfId="0" applyFont="1" applyFill="1" applyAlignment="1">
      <alignment horizontal="left"/>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xf numFmtId="0" fontId="19" fillId="0" borderId="9" xfId="0" applyFont="1" applyBorder="1" applyAlignment="1">
      <alignment horizontal="center"/>
    </xf>
    <xf numFmtId="0" fontId="19" fillId="0" borderId="0" xfId="0" applyFont="1" applyAlignment="1"/>
    <xf numFmtId="0" fontId="19" fillId="0" borderId="0" xfId="0" applyFont="1" applyBorder="1" applyAlignment="1">
      <alignment wrapText="1"/>
    </xf>
    <xf numFmtId="0" fontId="19" fillId="0" borderId="0" xfId="0" applyFont="1" applyBorder="1"/>
    <xf numFmtId="2" fontId="19" fillId="0" borderId="0" xfId="0" applyNumberFormat="1" applyFont="1" applyBorder="1"/>
    <xf numFmtId="0" fontId="18" fillId="0" borderId="0" xfId="0" applyFont="1" applyBorder="1" applyAlignment="1">
      <alignment horizontal="center"/>
    </xf>
    <xf numFmtId="164" fontId="19" fillId="0" borderId="0" xfId="0" applyNumberFormat="1" applyFont="1" applyBorder="1"/>
    <xf numFmtId="0" fontId="0" fillId="0" borderId="0" xfId="0" applyBorder="1"/>
    <xf numFmtId="2" fontId="19" fillId="0" borderId="0" xfId="0" applyNumberFormat="1" applyFont="1" applyFill="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BA7FE"/>
      <color rgb="FFFFB0AF"/>
      <color rgb="FFF9B9B5"/>
      <color rgb="FFBF79FF"/>
      <color rgb="FFE48877"/>
      <color rgb="FFFC6361"/>
      <color rgb="FFCD4C42"/>
      <color rgb="FF318CDD"/>
      <color rgb="FFFF9783"/>
      <color rgb="FFFF98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85498687664041"/>
          <c:y val="0.21791776027996496"/>
          <c:w val="0.40829002624671917"/>
          <c:h val="0.68048337707786521"/>
        </c:manualLayout>
      </c:layout>
      <c:pieChart>
        <c:varyColors val="1"/>
        <c:ser>
          <c:idx val="0"/>
          <c:order val="0"/>
          <c:spPr>
            <a:ln w="12700">
              <a:noFill/>
            </a:ln>
          </c:spPr>
          <c:dPt>
            <c:idx val="0"/>
            <c:bubble3D val="0"/>
            <c:explosion val="49"/>
            <c:spPr>
              <a:solidFill>
                <a:schemeClr val="accent5">
                  <a:lumMod val="75000"/>
                </a:schemeClr>
              </a:solidFill>
              <a:ln w="12700">
                <a:noFill/>
              </a:ln>
              <a:effectLst/>
            </c:spPr>
            <c:extLst>
              <c:ext xmlns:c16="http://schemas.microsoft.com/office/drawing/2014/chart" uri="{C3380CC4-5D6E-409C-BE32-E72D297353CC}">
                <c16:uniqueId val="{00000003-2198-B546-B362-399D4EB1F38A}"/>
              </c:ext>
            </c:extLst>
          </c:dPt>
          <c:dPt>
            <c:idx val="1"/>
            <c:bubble3D val="0"/>
            <c:explosion val="48"/>
            <c:spPr>
              <a:solidFill>
                <a:schemeClr val="accent4">
                  <a:lumMod val="75000"/>
                </a:schemeClr>
              </a:solidFill>
              <a:ln w="12700">
                <a:noFill/>
              </a:ln>
              <a:effectLst/>
            </c:spPr>
            <c:extLst>
              <c:ext xmlns:c16="http://schemas.microsoft.com/office/drawing/2014/chart" uri="{C3380CC4-5D6E-409C-BE32-E72D297353CC}">
                <c16:uniqueId val="{00000007-2198-B546-B362-399D4EB1F38A}"/>
              </c:ext>
            </c:extLst>
          </c:dPt>
          <c:dPt>
            <c:idx val="2"/>
            <c:bubble3D val="0"/>
            <c:explosion val="51"/>
            <c:spPr>
              <a:solidFill>
                <a:srgbClr val="E48877"/>
              </a:solidFill>
              <a:ln w="12700">
                <a:noFill/>
              </a:ln>
              <a:effectLst/>
            </c:spPr>
            <c:extLst>
              <c:ext xmlns:c16="http://schemas.microsoft.com/office/drawing/2014/chart" uri="{C3380CC4-5D6E-409C-BE32-E72D297353CC}">
                <c16:uniqueId val="{00000006-2198-B546-B362-399D4EB1F38A}"/>
              </c:ext>
            </c:extLst>
          </c:dPt>
          <c:dPt>
            <c:idx val="3"/>
            <c:bubble3D val="0"/>
            <c:spPr>
              <a:solidFill>
                <a:schemeClr val="accent5">
                  <a:lumMod val="40000"/>
                  <a:lumOff val="60000"/>
                </a:schemeClr>
              </a:solidFill>
              <a:ln w="12700">
                <a:noFill/>
              </a:ln>
              <a:effectLst/>
            </c:spPr>
            <c:extLst>
              <c:ext xmlns:c16="http://schemas.microsoft.com/office/drawing/2014/chart" uri="{C3380CC4-5D6E-409C-BE32-E72D297353CC}">
                <c16:uniqueId val="{00000004-2198-B546-B362-399D4EB1F38A}"/>
              </c:ext>
            </c:extLst>
          </c:dPt>
          <c:dPt>
            <c:idx val="4"/>
            <c:bubble3D val="0"/>
            <c:spPr>
              <a:solidFill>
                <a:schemeClr val="accent4">
                  <a:lumMod val="40000"/>
                  <a:lumOff val="60000"/>
                </a:schemeClr>
              </a:solidFill>
              <a:ln w="12700">
                <a:noFill/>
              </a:ln>
              <a:effectLst/>
            </c:spPr>
          </c:dPt>
          <c:dPt>
            <c:idx val="5"/>
            <c:bubble3D val="0"/>
            <c:spPr>
              <a:solidFill>
                <a:srgbClr val="FFB0AF"/>
              </a:solidFill>
              <a:ln w="12700">
                <a:noFill/>
              </a:ln>
              <a:effectLst/>
            </c:spPr>
          </c:dPt>
          <c:dLbls>
            <c:dLbl>
              <c:idx val="0"/>
              <c:layout>
                <c:manualLayout>
                  <c:x val="-6.6542314624638527E-2"/>
                  <c:y val="1.3135761369070419E-2"/>
                </c:manualLayout>
              </c:layout>
              <c:tx>
                <c:rich>
                  <a:bodyPr/>
                  <a:lstStyle/>
                  <a:p>
                    <a:r>
                      <a:rPr lang="en-US"/>
                      <a:t>16.4%</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2198-B546-B362-399D4EB1F38A}"/>
                </c:ext>
              </c:extLst>
            </c:dLbl>
            <c:dLbl>
              <c:idx val="1"/>
              <c:layout>
                <c:manualLayout>
                  <c:x val="3.0498560869625966E-2"/>
                  <c:y val="4.3785871230234714E-3"/>
                </c:manualLayout>
              </c:layout>
              <c:tx>
                <c:rich>
                  <a:bodyPr/>
                  <a:lstStyle/>
                  <a:p>
                    <a:r>
                      <a:rPr lang="en-US"/>
                      <a:t>1.3%</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2198-B546-B362-399D4EB1F38A}"/>
                </c:ext>
              </c:extLst>
            </c:dLbl>
            <c:dLbl>
              <c:idx val="2"/>
              <c:layout>
                <c:manualLayout>
                  <c:x val="1.9408175098852887E-2"/>
                  <c:y val="-5.0170731208075813E-18"/>
                </c:manualLayout>
              </c:layout>
              <c:tx>
                <c:rich>
                  <a:bodyPr/>
                  <a:lstStyle/>
                  <a:p>
                    <a:r>
                      <a:rPr lang="en-US"/>
                      <a:t>82.2%</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2198-B546-B362-399D4EB1F38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California</c:v>
              </c:pt>
              <c:pt idx="1">
                <c:v>Nevada</c:v>
              </c:pt>
              <c:pt idx="2">
                <c:v>Arizona</c:v>
              </c:pt>
              <c:pt idx="3">
                <c:v>California</c:v>
              </c:pt>
              <c:pt idx="4">
                <c:v>Nevada</c:v>
              </c:pt>
              <c:pt idx="5">
                <c:v>Arizona</c:v>
              </c:pt>
            </c:strLit>
          </c:cat>
          <c:val>
            <c:numRef>
              <c:f>(DivideInflow!$Z$20:$AB$20,DivideInflow!$N$22,DivideInflow!$M$22,DivideInflow!$L$22)</c:f>
              <c:numCache>
                <c:formatCode>0.00</c:formatCode>
                <c:ptCount val="6"/>
                <c:pt idx="0">
                  <c:v>0.15652199999999999</c:v>
                </c:pt>
                <c:pt idx="1">
                  <c:v>1.2533999999999998E-2</c:v>
                </c:pt>
                <c:pt idx="2">
                  <c:v>0.783134</c:v>
                </c:pt>
                <c:pt idx="3">
                  <c:v>4.4000000000000004</c:v>
                </c:pt>
                <c:pt idx="4">
                  <c:v>0.3</c:v>
                </c:pt>
                <c:pt idx="5">
                  <c:v>2.8</c:v>
                </c:pt>
              </c:numCache>
            </c:numRef>
          </c:val>
          <c:extLst>
            <c:ext xmlns:c16="http://schemas.microsoft.com/office/drawing/2014/chart" uri="{C3380CC4-5D6E-409C-BE32-E72D297353CC}">
              <c16:uniqueId val="{00000000-2198-B546-B362-399D4EB1F38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51399805591357"/>
          <c:y val="0"/>
          <c:w val="0.75742114247522974"/>
          <c:h val="1"/>
        </c:manualLayout>
      </c:layout>
      <c:ofPieChart>
        <c:ofPieType val="pie"/>
        <c:varyColors val="1"/>
        <c:ser>
          <c:idx val="0"/>
          <c:order val="0"/>
          <c:spPr>
            <a:ln w="12700">
              <a:noFill/>
            </a:ln>
          </c:spPr>
          <c:dPt>
            <c:idx val="0"/>
            <c:bubble3D val="0"/>
            <c:spPr>
              <a:solidFill>
                <a:schemeClr val="accent5">
                  <a:lumMod val="40000"/>
                  <a:lumOff val="60000"/>
                </a:schemeClr>
              </a:solidFill>
              <a:ln w="12700">
                <a:noFill/>
              </a:ln>
              <a:effectLst/>
            </c:spPr>
            <c:extLst>
              <c:ext xmlns:c16="http://schemas.microsoft.com/office/drawing/2014/chart" uri="{C3380CC4-5D6E-409C-BE32-E72D297353CC}">
                <c16:uniqueId val="{00000001-B206-BE48-BB93-7D3AC1CFC41B}"/>
              </c:ext>
            </c:extLst>
          </c:dPt>
          <c:dPt>
            <c:idx val="1"/>
            <c:bubble3D val="0"/>
            <c:spPr>
              <a:solidFill>
                <a:schemeClr val="accent4">
                  <a:lumMod val="40000"/>
                  <a:lumOff val="60000"/>
                </a:schemeClr>
              </a:solidFill>
              <a:ln w="12700">
                <a:noFill/>
              </a:ln>
              <a:effectLst/>
            </c:spPr>
            <c:extLst>
              <c:ext xmlns:c16="http://schemas.microsoft.com/office/drawing/2014/chart" uri="{C3380CC4-5D6E-409C-BE32-E72D297353CC}">
                <c16:uniqueId val="{00000003-B206-BE48-BB93-7D3AC1CFC41B}"/>
              </c:ext>
            </c:extLst>
          </c:dPt>
          <c:dPt>
            <c:idx val="2"/>
            <c:bubble3D val="0"/>
            <c:spPr>
              <a:solidFill>
                <a:srgbClr val="FFB0AF"/>
              </a:solidFill>
              <a:ln w="12700">
                <a:noFill/>
              </a:ln>
              <a:effectLst/>
            </c:spPr>
            <c:extLst>
              <c:ext xmlns:c16="http://schemas.microsoft.com/office/drawing/2014/chart" uri="{C3380CC4-5D6E-409C-BE32-E72D297353CC}">
                <c16:uniqueId val="{00000005-B206-BE48-BB93-7D3AC1CFC41B}"/>
              </c:ext>
            </c:extLst>
          </c:dPt>
          <c:dPt>
            <c:idx val="3"/>
            <c:bubble3D val="0"/>
            <c:spPr>
              <a:solidFill>
                <a:schemeClr val="accent5">
                  <a:lumMod val="40000"/>
                  <a:lumOff val="60000"/>
                </a:schemeClr>
              </a:solidFill>
              <a:ln w="12700">
                <a:noFill/>
              </a:ln>
              <a:effectLst/>
            </c:spPr>
            <c:extLst>
              <c:ext xmlns:c16="http://schemas.microsoft.com/office/drawing/2014/chart" uri="{C3380CC4-5D6E-409C-BE32-E72D297353CC}">
                <c16:uniqueId val="{00000007-B206-BE48-BB93-7D3AC1CFC41B}"/>
              </c:ext>
            </c:extLst>
          </c:dPt>
          <c:dPt>
            <c:idx val="4"/>
            <c:bubble3D val="0"/>
            <c:spPr>
              <a:solidFill>
                <a:schemeClr val="accent4">
                  <a:lumMod val="40000"/>
                  <a:lumOff val="60000"/>
                </a:schemeClr>
              </a:solidFill>
              <a:ln w="12700">
                <a:noFill/>
              </a:ln>
              <a:effectLst/>
            </c:spPr>
            <c:extLst>
              <c:ext xmlns:c16="http://schemas.microsoft.com/office/drawing/2014/chart" uri="{C3380CC4-5D6E-409C-BE32-E72D297353CC}">
                <c16:uniqueId val="{00000009-B206-BE48-BB93-7D3AC1CFC41B}"/>
              </c:ext>
            </c:extLst>
          </c:dPt>
          <c:dPt>
            <c:idx val="5"/>
            <c:bubble3D val="0"/>
            <c:spPr>
              <a:solidFill>
                <a:srgbClr val="FFB0AF"/>
              </a:solidFill>
              <a:ln w="12700">
                <a:noFill/>
              </a:ln>
              <a:effectLst/>
            </c:spPr>
            <c:extLst>
              <c:ext xmlns:c16="http://schemas.microsoft.com/office/drawing/2014/chart" uri="{C3380CC4-5D6E-409C-BE32-E72D297353CC}">
                <c16:uniqueId val="{0000000B-B206-BE48-BB93-7D3AC1CFC41B}"/>
              </c:ext>
            </c:extLst>
          </c:dPt>
          <c:dPt>
            <c:idx val="6"/>
            <c:bubble3D val="0"/>
            <c:spPr>
              <a:solidFill>
                <a:srgbClr val="CBA7FE"/>
              </a:solidFill>
              <a:ln w="12700">
                <a:noFill/>
              </a:ln>
              <a:effectLst/>
            </c:spPr>
            <c:extLst>
              <c:ext xmlns:c16="http://schemas.microsoft.com/office/drawing/2014/chart" uri="{C3380CC4-5D6E-409C-BE32-E72D297353CC}">
                <c16:uniqueId val="{0000000D-B206-BE48-BB93-7D3AC1CFC41B}"/>
              </c:ext>
            </c:extLst>
          </c:dPt>
          <c:dLbls>
            <c:dLbl>
              <c:idx val="0"/>
              <c:tx>
                <c:rich>
                  <a:bodyPr/>
                  <a:lstStyle/>
                  <a:p>
                    <a:r>
                      <a:rPr lang="en-US"/>
                      <a:t>16.4%</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206-BE48-BB93-7D3AC1CFC41B}"/>
                </c:ext>
              </c:extLst>
            </c:dLbl>
            <c:dLbl>
              <c:idx val="1"/>
              <c:tx>
                <c:rich>
                  <a:bodyPr/>
                  <a:lstStyle/>
                  <a:p>
                    <a:r>
                      <a:rPr lang="en-US"/>
                      <a:t>1.3%</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206-BE48-BB93-7D3AC1CFC41B}"/>
                </c:ext>
              </c:extLst>
            </c:dLbl>
            <c:dLbl>
              <c:idx val="2"/>
              <c:tx>
                <c:rich>
                  <a:bodyPr/>
                  <a:lstStyle/>
                  <a:p>
                    <a:r>
                      <a:rPr lang="en-US"/>
                      <a:t>82.2%</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206-BE48-BB93-7D3AC1CFC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California</c:v>
              </c:pt>
              <c:pt idx="1">
                <c:v>Nevada</c:v>
              </c:pt>
              <c:pt idx="2">
                <c:v>Arizona</c:v>
              </c:pt>
              <c:pt idx="3">
                <c:v>Tribal Nations</c:v>
              </c:pt>
            </c:strLit>
          </c:cat>
          <c:val>
            <c:numRef>
              <c:f>(DivideInflow!$Z$20:$AB$20,DivideInflow!$N$22,DivideInflow!$M$22,DivideInflow!$L$22)</c:f>
              <c:numCache>
                <c:formatCode>0.00</c:formatCode>
                <c:ptCount val="6"/>
                <c:pt idx="0">
                  <c:v>0.15652199999999999</c:v>
                </c:pt>
                <c:pt idx="1">
                  <c:v>1.2533999999999998E-2</c:v>
                </c:pt>
                <c:pt idx="2">
                  <c:v>0.783134</c:v>
                </c:pt>
                <c:pt idx="3">
                  <c:v>4.4000000000000004</c:v>
                </c:pt>
                <c:pt idx="4">
                  <c:v>0.3</c:v>
                </c:pt>
                <c:pt idx="5">
                  <c:v>2.8</c:v>
                </c:pt>
              </c:numCache>
            </c:numRef>
          </c:val>
          <c:extLst>
            <c:ext xmlns:c16="http://schemas.microsoft.com/office/drawing/2014/chart" uri="{C3380CC4-5D6E-409C-BE32-E72D297353CC}">
              <c16:uniqueId val="{0000000C-B206-BE48-BB93-7D3AC1CFC41B}"/>
            </c:ext>
          </c:extLst>
        </c:ser>
        <c:dLbls>
          <c:dLblPos val="outEnd"/>
          <c:showLegendKey val="0"/>
          <c:showVal val="1"/>
          <c:showCatName val="0"/>
          <c:showSerName val="0"/>
          <c:showPercent val="0"/>
          <c:showBubbleSize val="0"/>
          <c:showLeaderLines val="1"/>
        </c:dLbls>
        <c:gapWidth val="100"/>
        <c:splitType val="cust"/>
        <c:custSplit>
          <c:secondPiePt val="0"/>
          <c:secondPiePt val="1"/>
          <c:secondPiePt val="2"/>
        </c:custSplit>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3"/>
        <c:delete val="1"/>
      </c:legendEntry>
      <c:legendEntry>
        <c:idx val="4"/>
        <c:delete val="1"/>
      </c:legendEntry>
      <c:legendEntry>
        <c:idx val="5"/>
        <c:delete val="1"/>
      </c:legendEntry>
      <c:layout>
        <c:manualLayout>
          <c:xMode val="edge"/>
          <c:yMode val="edge"/>
          <c:x val="0.19889103481563461"/>
          <c:y val="0.88658392362323746"/>
          <c:w val="0.57455587702104516"/>
          <c:h val="7.1214931097492287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11899</xdr:colOff>
      <xdr:row>21</xdr:row>
      <xdr:rowOff>107290</xdr:rowOff>
    </xdr:from>
    <xdr:to>
      <xdr:col>31</xdr:col>
      <xdr:colOff>469177</xdr:colOff>
      <xdr:row>37</xdr:row>
      <xdr:rowOff>81885</xdr:rowOff>
    </xdr:to>
    <xdr:graphicFrame macro="">
      <xdr:nvGraphicFramePr>
        <xdr:cNvPr id="21" name="Chart 20">
          <a:extLst>
            <a:ext uri="{FF2B5EF4-FFF2-40B4-BE49-F238E27FC236}">
              <a16:creationId xmlns:a16="http://schemas.microsoft.com/office/drawing/2014/main" id="{1DBCBE52-C34C-9B9A-B743-2090D980F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372534</xdr:colOff>
      <xdr:row>21</xdr:row>
      <xdr:rowOff>186267</xdr:rowOff>
    </xdr:from>
    <xdr:to>
      <xdr:col>43</xdr:col>
      <xdr:colOff>594861</xdr:colOff>
      <xdr:row>37</xdr:row>
      <xdr:rowOff>71463</xdr:rowOff>
    </xdr:to>
    <xdr:graphicFrame macro="">
      <xdr:nvGraphicFramePr>
        <xdr:cNvPr id="34" name="Chart 33">
          <a:extLst>
            <a:ext uri="{FF2B5EF4-FFF2-40B4-BE49-F238E27FC236}">
              <a16:creationId xmlns:a16="http://schemas.microsoft.com/office/drawing/2014/main" id="{2914ACDE-CB51-C944-8570-A5681CD5C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32</xdr:col>
      <xdr:colOff>168254</xdr:colOff>
      <xdr:row>21</xdr:row>
      <xdr:rowOff>152400</xdr:rowOff>
    </xdr:from>
    <xdr:to>
      <xdr:col>36</xdr:col>
      <xdr:colOff>127848</xdr:colOff>
      <xdr:row>37</xdr:row>
      <xdr:rowOff>7465</xdr:rowOff>
    </xdr:to>
    <xdr:pic>
      <xdr:nvPicPr>
        <xdr:cNvPr id="36" name="Picture 35">
          <a:extLst>
            <a:ext uri="{FF2B5EF4-FFF2-40B4-BE49-F238E27FC236}">
              <a16:creationId xmlns:a16="http://schemas.microsoft.com/office/drawing/2014/main" id="{7872AD0B-76B5-73D1-B871-8B12C8548E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503321" y="5249333"/>
          <a:ext cx="2838260" cy="2861733"/>
        </a:xfrm>
        <a:prstGeom prst="rect">
          <a:avLst/>
        </a:prstGeom>
        <a:ln>
          <a:solidFill>
            <a:schemeClr val="bg2">
              <a:lumMod val="75000"/>
            </a:schemeClr>
          </a:solidFill>
        </a:ln>
      </xdr:spPr>
    </xdr:pic>
    <xdr:clientData/>
  </xdr:twoCellAnchor>
</xdr:wsDr>
</file>

<file path=xl/drawings/drawing3.xml><?xml version="1.0" encoding="utf-8"?>
<c:userShapes xmlns:c="http://schemas.openxmlformats.org/drawingml/2006/chart">
  <cdr:relSizeAnchor xmlns:cdr="http://schemas.openxmlformats.org/drawingml/2006/chartDrawing">
    <cdr:from>
      <cdr:x>0.5094</cdr:x>
      <cdr:y>0.16557</cdr:y>
    </cdr:from>
    <cdr:to>
      <cdr:x>0.60802</cdr:x>
      <cdr:y>0.24681</cdr:y>
    </cdr:to>
    <cdr:sp macro="" textlink="">
      <cdr:nvSpPr>
        <cdr:cNvPr id="2" name="TextBox 1">
          <a:extLst xmlns:a="http://schemas.openxmlformats.org/drawingml/2006/main">
            <a:ext uri="{FF2B5EF4-FFF2-40B4-BE49-F238E27FC236}">
              <a16:creationId xmlns:a16="http://schemas.microsoft.com/office/drawing/2014/main" id="{61F081C0-DAA7-0CA1-BBF7-DF79FF725A0E}"/>
            </a:ext>
          </a:extLst>
        </cdr:cNvPr>
        <cdr:cNvSpPr txBox="1"/>
      </cdr:nvSpPr>
      <cdr:spPr>
        <a:xfrm xmlns:a="http://schemas.openxmlformats.org/drawingml/2006/main">
          <a:off x="2339376" y="493709"/>
          <a:ext cx="452885" cy="242281"/>
        </a:xfrm>
        <a:prstGeom xmlns:a="http://schemas.openxmlformats.org/drawingml/2006/main" prst="rect">
          <a:avLst/>
        </a:prstGeom>
        <a:solidFill xmlns:a="http://schemas.openxmlformats.org/drawingml/2006/main">
          <a:schemeClr val="accent3">
            <a:alpha val="29000"/>
          </a:schemeClr>
        </a:solidFill>
        <a:ln xmlns:a="http://schemas.openxmlformats.org/drawingml/2006/main">
          <a:solidFill>
            <a:schemeClr val="tx1">
              <a:alpha val="36000"/>
            </a:schemeClr>
          </a:solidFill>
        </a:ln>
      </cdr:spPr>
      <cdr:txBody>
        <a:bodyPr xmlns:a="http://schemas.openxmlformats.org/drawingml/2006/main" vertOverflow="clip" wrap="none" rtlCol="0"/>
        <a:lstStyle xmlns:a="http://schemas.openxmlformats.org/drawingml/2006/main"/>
        <a:p xmlns:a="http://schemas.openxmlformats.org/drawingml/2006/main">
          <a:r>
            <a:rPr lang="en-US" sz="1100" kern="1200"/>
            <a:t>0.95</a:t>
          </a:r>
        </a:p>
      </cdr:txBody>
    </cdr:sp>
  </cdr:relSizeAnchor>
</c:userShapes>
</file>

<file path=xl/drawings/drawing4.xml><?xml version="1.0" encoding="utf-8"?>
<c:userShapes xmlns:c="http://schemas.openxmlformats.org/drawingml/2006/chart">
  <cdr:relSizeAnchor xmlns:cdr="http://schemas.openxmlformats.org/drawingml/2006/chartDrawing">
    <cdr:from>
      <cdr:x>0.11213</cdr:x>
      <cdr:y>0.10772</cdr:y>
    </cdr:from>
    <cdr:to>
      <cdr:x>0.44184</cdr:x>
      <cdr:y>0.20606</cdr:y>
    </cdr:to>
    <cdr:sp macro="" textlink="">
      <cdr:nvSpPr>
        <cdr:cNvPr id="3" name="TextBox 2">
          <a:extLst xmlns:a="http://schemas.openxmlformats.org/drawingml/2006/main">
            <a:ext uri="{FF2B5EF4-FFF2-40B4-BE49-F238E27FC236}">
              <a16:creationId xmlns:a16="http://schemas.microsoft.com/office/drawing/2014/main" id="{D0898E18-E535-C57B-3796-64DE94C78CC8}"/>
            </a:ext>
          </a:extLst>
        </cdr:cNvPr>
        <cdr:cNvSpPr txBox="1"/>
      </cdr:nvSpPr>
      <cdr:spPr>
        <a:xfrm xmlns:a="http://schemas.openxmlformats.org/drawingml/2006/main">
          <a:off x="511386" y="311573"/>
          <a:ext cx="1503680" cy="2844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baseline="0"/>
            <a:t>Full Allocation of Inflow</a:t>
          </a:r>
          <a:endParaRPr lang="en-US" sz="1100" kern="1200"/>
        </a:p>
      </cdr:txBody>
    </cdr:sp>
  </cdr:relSizeAnchor>
  <cdr:relSizeAnchor xmlns:cdr="http://schemas.openxmlformats.org/drawingml/2006/chartDrawing">
    <cdr:from>
      <cdr:x>0.52649</cdr:x>
      <cdr:y>0.19201</cdr:y>
    </cdr:from>
    <cdr:to>
      <cdr:x>0.92526</cdr:x>
      <cdr:y>0.28685</cdr:y>
    </cdr:to>
    <cdr:sp macro="" textlink="">
      <cdr:nvSpPr>
        <cdr:cNvPr id="4" name="TextBox 3">
          <a:extLst xmlns:a="http://schemas.openxmlformats.org/drawingml/2006/main">
            <a:ext uri="{FF2B5EF4-FFF2-40B4-BE49-F238E27FC236}">
              <a16:creationId xmlns:a16="http://schemas.microsoft.com/office/drawing/2014/main" id="{06CA01B7-A234-0927-70C4-F52BFB858996}"/>
            </a:ext>
          </a:extLst>
        </cdr:cNvPr>
        <cdr:cNvSpPr txBox="1"/>
      </cdr:nvSpPr>
      <cdr:spPr>
        <a:xfrm xmlns:a="http://schemas.openxmlformats.org/drawingml/2006/main">
          <a:off x="2401146" y="555413"/>
          <a:ext cx="1818640" cy="2743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Tribal Nations Share</a:t>
          </a:r>
          <a:r>
            <a:rPr lang="en-US" sz="1100" kern="1200" baseline="0"/>
            <a:t> of Inflow</a:t>
          </a:r>
          <a:endParaRPr lang="en-US" sz="1100" kern="12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2" zoomScale="160" zoomScaleNormal="160" workbookViewId="0">
      <selection activeCell="H16" sqref="H16"/>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16" t="s">
        <v>298</v>
      </c>
      <c r="B1" s="316"/>
      <c r="C1" s="316"/>
      <c r="D1" s="316"/>
      <c r="E1" s="316"/>
      <c r="F1" s="316"/>
      <c r="G1" s="316"/>
      <c r="H1" s="316"/>
      <c r="I1" s="316"/>
      <c r="J1" s="316"/>
      <c r="K1" s="316"/>
      <c r="L1" s="316"/>
    </row>
    <row r="2" spans="1:18" x14ac:dyDescent="0.2">
      <c r="A2" s="1"/>
      <c r="B2" s="1"/>
      <c r="C2" s="2"/>
      <c r="D2"/>
    </row>
    <row r="3" spans="1:18" x14ac:dyDescent="0.2">
      <c r="A3" s="154" t="s">
        <v>164</v>
      </c>
      <c r="B3" s="155"/>
      <c r="C3" s="156"/>
      <c r="D3" s="157"/>
      <c r="E3" s="157"/>
      <c r="F3" s="157"/>
      <c r="G3" s="157"/>
      <c r="H3" s="157"/>
      <c r="I3" s="157"/>
      <c r="J3" s="157"/>
      <c r="K3" s="157"/>
      <c r="L3" s="158"/>
      <c r="N3" s="1"/>
    </row>
    <row r="4" spans="1:18" s="54" customFormat="1" ht="53.5" customHeight="1" x14ac:dyDescent="0.2">
      <c r="A4" s="317" t="s">
        <v>299</v>
      </c>
      <c r="B4" s="318"/>
      <c r="C4" s="318"/>
      <c r="D4" s="318"/>
      <c r="E4" s="318"/>
      <c r="F4" s="318"/>
      <c r="G4" s="318"/>
      <c r="H4" s="318"/>
      <c r="I4" s="318"/>
      <c r="J4" s="318"/>
      <c r="K4" s="318"/>
      <c r="L4" s="319"/>
      <c r="N4" s="320"/>
      <c r="O4" s="320"/>
      <c r="P4" s="320"/>
      <c r="Q4" s="320"/>
      <c r="R4" s="320"/>
    </row>
    <row r="5" spans="1:18" s="54" customFormat="1" ht="35" customHeight="1" x14ac:dyDescent="0.2">
      <c r="A5" s="321" t="s">
        <v>283</v>
      </c>
      <c r="B5" s="322"/>
      <c r="C5" s="322"/>
      <c r="D5" s="322"/>
      <c r="E5" s="322"/>
      <c r="F5" s="322"/>
      <c r="G5" s="322"/>
      <c r="H5" s="322"/>
      <c r="I5" s="322"/>
      <c r="J5" s="322"/>
      <c r="K5" s="322"/>
      <c r="L5" s="323"/>
      <c r="N5" s="113"/>
      <c r="O5" s="113"/>
      <c r="P5" s="113"/>
      <c r="Q5" s="113"/>
      <c r="R5" s="113"/>
    </row>
    <row r="6" spans="1:18" s="54" customFormat="1" ht="14" customHeight="1" x14ac:dyDescent="0.2">
      <c r="A6" s="321" t="s">
        <v>300</v>
      </c>
      <c r="B6" s="322"/>
      <c r="C6" s="322"/>
      <c r="D6" s="322"/>
      <c r="E6" s="322"/>
      <c r="F6" s="322"/>
      <c r="G6" s="322"/>
      <c r="H6" s="322"/>
      <c r="I6" s="322"/>
      <c r="J6" s="322"/>
      <c r="K6" s="322"/>
      <c r="L6" s="323"/>
      <c r="N6" s="113"/>
      <c r="O6" s="113"/>
      <c r="P6" s="113"/>
      <c r="Q6" s="113"/>
      <c r="R6" s="113"/>
    </row>
    <row r="7" spans="1:18" s="54" customFormat="1" ht="14" customHeight="1" x14ac:dyDescent="0.2">
      <c r="A7" s="222"/>
      <c r="B7" s="322" t="s">
        <v>301</v>
      </c>
      <c r="C7" s="322"/>
      <c r="D7" s="322"/>
      <c r="E7" s="322"/>
      <c r="F7" s="322"/>
      <c r="G7" s="322"/>
      <c r="H7" s="322"/>
      <c r="I7" s="322"/>
      <c r="J7" s="322"/>
      <c r="K7" s="322"/>
      <c r="L7" s="323"/>
      <c r="N7" s="113"/>
      <c r="O7" s="113"/>
      <c r="P7" s="113"/>
      <c r="Q7" s="113"/>
      <c r="R7" s="113"/>
    </row>
    <row r="8" spans="1:18" s="54" customFormat="1" ht="14" customHeight="1" x14ac:dyDescent="0.2">
      <c r="A8" s="223"/>
      <c r="B8" s="339" t="s">
        <v>302</v>
      </c>
      <c r="C8" s="339"/>
      <c r="D8" s="339"/>
      <c r="E8" s="339"/>
      <c r="F8" s="339"/>
      <c r="G8" s="339"/>
      <c r="H8" s="339"/>
      <c r="I8" s="339"/>
      <c r="J8" s="339"/>
      <c r="K8" s="339"/>
      <c r="L8" s="340"/>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41" t="s">
        <v>337</v>
      </c>
      <c r="B10" s="342"/>
      <c r="C10" s="342"/>
      <c r="D10" s="342"/>
      <c r="E10" s="342"/>
      <c r="F10" s="342"/>
      <c r="G10" s="342"/>
      <c r="H10" s="342"/>
      <c r="I10" s="342"/>
      <c r="J10" s="342"/>
      <c r="K10" s="342"/>
      <c r="L10" s="343"/>
    </row>
    <row r="11" spans="1:18" s="58" customFormat="1" ht="14.5" customHeight="1" x14ac:dyDescent="0.2">
      <c r="A11" s="243" t="s">
        <v>338</v>
      </c>
      <c r="B11" s="344" t="s">
        <v>341</v>
      </c>
      <c r="C11" s="344"/>
      <c r="D11" s="344"/>
      <c r="E11" s="344"/>
      <c r="F11" s="344"/>
      <c r="G11" s="344"/>
      <c r="H11" s="344"/>
      <c r="I11" s="344"/>
      <c r="J11" s="344"/>
      <c r="K11" s="344"/>
      <c r="L11" s="345"/>
    </row>
    <row r="12" spans="1:18" s="59" customFormat="1" ht="161.5" customHeight="1" x14ac:dyDescent="0.2">
      <c r="A12" s="235"/>
      <c r="B12" s="241"/>
      <c r="C12" s="241"/>
      <c r="D12" s="241"/>
      <c r="E12" s="241"/>
      <c r="F12" s="241"/>
      <c r="G12" s="241"/>
      <c r="H12" s="241"/>
      <c r="I12" s="241"/>
      <c r="J12" s="241"/>
      <c r="K12" s="241"/>
      <c r="L12" s="242"/>
    </row>
    <row r="13" spans="1:18" s="58" customFormat="1" ht="14.5" customHeight="1" x14ac:dyDescent="0.2">
      <c r="A13" s="243" t="s">
        <v>339</v>
      </c>
      <c r="B13" s="344" t="s">
        <v>342</v>
      </c>
      <c r="C13" s="344"/>
      <c r="D13" s="344"/>
      <c r="E13" s="344"/>
      <c r="F13" s="344"/>
      <c r="G13" s="344"/>
      <c r="H13" s="344"/>
      <c r="I13" s="344"/>
      <c r="J13" s="344"/>
      <c r="K13" s="344"/>
      <c r="L13" s="345"/>
    </row>
    <row r="14" spans="1:18" s="59" customFormat="1" ht="90.5" customHeight="1" x14ac:dyDescent="0.2">
      <c r="A14" s="235"/>
      <c r="B14" s="355"/>
      <c r="C14" s="355"/>
      <c r="D14" s="355"/>
      <c r="E14" s="355"/>
      <c r="F14" s="355"/>
      <c r="G14" s="355"/>
      <c r="H14" s="355"/>
      <c r="I14" s="355"/>
      <c r="J14" s="355"/>
      <c r="K14" s="355"/>
      <c r="L14" s="356"/>
    </row>
    <row r="15" spans="1:18" s="58" customFormat="1" ht="29" customHeight="1" x14ac:dyDescent="0.2">
      <c r="A15" s="243" t="s">
        <v>340</v>
      </c>
      <c r="B15" s="344" t="s">
        <v>343</v>
      </c>
      <c r="C15" s="344"/>
      <c r="D15" s="344"/>
      <c r="E15" s="344"/>
      <c r="F15" s="344"/>
      <c r="G15" s="344"/>
      <c r="H15" s="344"/>
      <c r="I15" s="344"/>
      <c r="J15" s="344"/>
      <c r="K15" s="344"/>
      <c r="L15" s="345"/>
    </row>
    <row r="16" spans="1:18" s="59" customFormat="1" ht="94.5" customHeight="1" x14ac:dyDescent="0.2">
      <c r="A16" s="235"/>
      <c r="B16" s="241"/>
      <c r="C16" s="241"/>
      <c r="D16" s="241"/>
      <c r="E16" s="241"/>
      <c r="F16" s="241"/>
      <c r="G16" s="241"/>
      <c r="H16" s="241"/>
      <c r="I16" s="241"/>
      <c r="J16" s="241"/>
      <c r="K16" s="241"/>
      <c r="L16" s="242"/>
    </row>
    <row r="17" spans="1:14" s="59" customFormat="1" ht="14.5" customHeight="1" x14ac:dyDescent="0.2">
      <c r="A17" s="353" t="s">
        <v>347</v>
      </c>
      <c r="B17" s="354"/>
      <c r="C17" s="354"/>
      <c r="D17" s="354"/>
      <c r="E17" s="240" t="s">
        <v>348</v>
      </c>
      <c r="F17" s="238"/>
      <c r="G17" s="238"/>
      <c r="H17" s="238"/>
      <c r="I17" s="238"/>
      <c r="J17" s="238"/>
      <c r="K17" s="238"/>
      <c r="L17" s="239"/>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24" t="s">
        <v>165</v>
      </c>
      <c r="B19" s="325"/>
      <c r="C19" s="325"/>
      <c r="D19" s="325"/>
      <c r="E19" s="325"/>
      <c r="F19" s="325"/>
      <c r="G19" s="325"/>
      <c r="H19" s="325"/>
      <c r="I19" s="325"/>
      <c r="J19" s="325"/>
      <c r="K19" s="325"/>
      <c r="L19" s="326"/>
    </row>
    <row r="20" spans="1:14" s="59" customFormat="1" ht="14.5" customHeight="1" x14ac:dyDescent="0.2">
      <c r="A20" s="327" t="s">
        <v>284</v>
      </c>
      <c r="B20" s="328"/>
      <c r="C20" s="328"/>
      <c r="D20" s="328"/>
      <c r="E20" s="328"/>
      <c r="F20" s="328"/>
      <c r="G20" s="328"/>
      <c r="H20" s="328"/>
      <c r="I20" s="328"/>
      <c r="J20" s="328"/>
      <c r="K20" s="328"/>
      <c r="L20" s="329"/>
    </row>
    <row r="21" spans="1:14" s="59" customFormat="1" ht="14.5" customHeight="1" x14ac:dyDescent="0.2">
      <c r="A21" s="330" t="s">
        <v>285</v>
      </c>
      <c r="B21" s="331"/>
      <c r="C21" s="331"/>
      <c r="D21" s="331"/>
      <c r="E21" s="331"/>
      <c r="F21" s="331"/>
      <c r="G21" s="331"/>
      <c r="H21" s="331"/>
      <c r="I21" s="331"/>
      <c r="J21" s="331"/>
      <c r="K21" s="331"/>
      <c r="L21" s="332"/>
    </row>
    <row r="22" spans="1:14" s="59" customFormat="1" ht="14.5" customHeight="1" x14ac:dyDescent="0.2">
      <c r="A22" s="330" t="s">
        <v>166</v>
      </c>
      <c r="B22" s="331"/>
      <c r="C22" s="331"/>
      <c r="D22" s="331"/>
      <c r="E22" s="331"/>
      <c r="F22" s="331"/>
      <c r="G22" s="331"/>
      <c r="H22" s="331"/>
      <c r="I22" s="331"/>
      <c r="J22" s="331"/>
      <c r="K22" s="331"/>
      <c r="L22" s="332"/>
    </row>
    <row r="23" spans="1:14" s="59" customFormat="1" ht="14.5" customHeight="1" x14ac:dyDescent="0.2">
      <c r="A23" s="333" t="s">
        <v>286</v>
      </c>
      <c r="B23" s="334"/>
      <c r="C23" s="334"/>
      <c r="D23" s="334"/>
      <c r="E23" s="334"/>
      <c r="F23" s="334"/>
      <c r="G23" s="334"/>
      <c r="H23" s="334"/>
      <c r="I23" s="334"/>
      <c r="J23" s="334"/>
      <c r="K23" s="334"/>
      <c r="L23" s="335"/>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36" t="s">
        <v>282</v>
      </c>
      <c r="B25" s="337"/>
      <c r="C25" s="337"/>
      <c r="D25" s="337"/>
      <c r="E25" s="337"/>
      <c r="F25" s="337"/>
      <c r="G25" s="337"/>
      <c r="H25" s="337"/>
      <c r="I25" s="337"/>
      <c r="J25" s="337"/>
      <c r="K25" s="337"/>
      <c r="L25" s="338"/>
      <c r="N25" s="1"/>
    </row>
    <row r="26" spans="1:14" s="59" customFormat="1" ht="16.5" customHeight="1" x14ac:dyDescent="0.2">
      <c r="A26" s="313" t="s">
        <v>175</v>
      </c>
      <c r="B26" s="314"/>
      <c r="C26" s="314"/>
      <c r="D26" s="314"/>
      <c r="E26" s="314"/>
      <c r="F26" s="314"/>
      <c r="G26" s="314"/>
      <c r="H26" s="314"/>
      <c r="I26" s="314"/>
      <c r="J26" s="314"/>
      <c r="K26" s="314"/>
      <c r="L26" s="315"/>
      <c r="N26" s="1"/>
    </row>
    <row r="27" spans="1:14" s="59" customFormat="1" ht="15" customHeight="1" x14ac:dyDescent="0.2">
      <c r="A27" s="217">
        <v>1</v>
      </c>
      <c r="B27" s="348" t="s">
        <v>174</v>
      </c>
      <c r="C27" s="348"/>
      <c r="D27" s="348"/>
      <c r="E27" s="348"/>
      <c r="F27" s="348"/>
      <c r="G27" s="348"/>
      <c r="H27" s="348"/>
      <c r="I27" s="348"/>
      <c r="J27" s="348"/>
      <c r="K27" s="348"/>
      <c r="L27" s="349"/>
    </row>
    <row r="28" spans="1:14" s="59" customFormat="1" ht="30" customHeight="1" x14ac:dyDescent="0.2">
      <c r="A28" s="217">
        <v>2</v>
      </c>
      <c r="B28" s="348" t="s">
        <v>278</v>
      </c>
      <c r="C28" s="348"/>
      <c r="D28" s="348"/>
      <c r="E28" s="348"/>
      <c r="F28" s="348"/>
      <c r="G28" s="348"/>
      <c r="H28" s="348"/>
      <c r="I28" s="348"/>
      <c r="J28" s="348"/>
      <c r="K28" s="348"/>
      <c r="L28" s="349"/>
      <c r="N28" s="106"/>
    </row>
    <row r="29" spans="1:14" s="59" customFormat="1" ht="15" customHeight="1" x14ac:dyDescent="0.2">
      <c r="A29" s="217">
        <v>3</v>
      </c>
      <c r="B29" s="348" t="s">
        <v>167</v>
      </c>
      <c r="C29" s="348"/>
      <c r="D29" s="348"/>
      <c r="E29" s="348"/>
      <c r="F29" s="348"/>
      <c r="G29" s="348"/>
      <c r="H29" s="348"/>
      <c r="I29" s="348"/>
      <c r="J29" s="348"/>
      <c r="K29" s="348"/>
      <c r="L29" s="349"/>
      <c r="N29" s="106"/>
    </row>
    <row r="30" spans="1:14" s="59" customFormat="1" ht="15" customHeight="1" x14ac:dyDescent="0.2">
      <c r="A30" s="217">
        <v>4</v>
      </c>
      <c r="B30" s="348" t="s">
        <v>287</v>
      </c>
      <c r="C30" s="348"/>
      <c r="D30" s="348"/>
      <c r="E30" s="348"/>
      <c r="F30" s="348"/>
      <c r="G30" s="348"/>
      <c r="H30" s="348"/>
      <c r="I30" s="348"/>
      <c r="J30" s="348"/>
      <c r="K30" s="348"/>
      <c r="L30" s="349"/>
      <c r="N30" s="106"/>
    </row>
    <row r="31" spans="1:14" s="59" customFormat="1" ht="15" customHeight="1" x14ac:dyDescent="0.2">
      <c r="A31" s="217">
        <v>5</v>
      </c>
      <c r="B31" s="348" t="s">
        <v>168</v>
      </c>
      <c r="C31" s="348"/>
      <c r="D31" s="348"/>
      <c r="E31" s="348"/>
      <c r="F31" s="348"/>
      <c r="G31" s="348"/>
      <c r="H31" s="348"/>
      <c r="I31" s="348"/>
      <c r="J31" s="348"/>
      <c r="K31" s="348"/>
      <c r="L31" s="349"/>
      <c r="N31" s="106"/>
    </row>
    <row r="32" spans="1:14" s="59" customFormat="1" ht="15" customHeight="1" x14ac:dyDescent="0.2">
      <c r="A32" s="217"/>
      <c r="B32" s="348" t="s">
        <v>169</v>
      </c>
      <c r="C32" s="348"/>
      <c r="D32" s="348"/>
      <c r="E32" s="348"/>
      <c r="F32" s="348"/>
      <c r="G32" s="348"/>
      <c r="H32" s="348"/>
      <c r="I32" s="348"/>
      <c r="J32" s="348"/>
      <c r="K32" s="348"/>
      <c r="L32" s="349"/>
      <c r="N32" s="106"/>
    </row>
    <row r="33" spans="1:14" s="59" customFormat="1" ht="15" customHeight="1" x14ac:dyDescent="0.2">
      <c r="A33" s="217"/>
      <c r="B33" s="348" t="s">
        <v>170</v>
      </c>
      <c r="C33" s="348"/>
      <c r="D33" s="348"/>
      <c r="E33" s="348"/>
      <c r="F33" s="348"/>
      <c r="G33" s="348"/>
      <c r="H33" s="348"/>
      <c r="I33" s="348"/>
      <c r="J33" s="348"/>
      <c r="K33" s="348"/>
      <c r="L33" s="349"/>
      <c r="N33" s="106"/>
    </row>
    <row r="34" spans="1:14" s="59" customFormat="1" ht="15" customHeight="1" x14ac:dyDescent="0.2">
      <c r="A34" s="350" t="s">
        <v>176</v>
      </c>
      <c r="B34" s="351"/>
      <c r="C34" s="351"/>
      <c r="D34" s="351"/>
      <c r="E34" s="351"/>
      <c r="F34" s="351"/>
      <c r="G34" s="351"/>
      <c r="H34" s="351"/>
      <c r="I34" s="351"/>
      <c r="J34" s="351"/>
      <c r="K34" s="351"/>
      <c r="L34" s="352"/>
      <c r="N34" s="106"/>
    </row>
    <row r="35" spans="1:14" s="59" customFormat="1" ht="15" customHeight="1" x14ac:dyDescent="0.2">
      <c r="A35" s="217">
        <v>1</v>
      </c>
      <c r="B35" s="348" t="s">
        <v>171</v>
      </c>
      <c r="C35" s="348"/>
      <c r="D35" s="348"/>
      <c r="E35" s="348"/>
      <c r="F35" s="348"/>
      <c r="G35" s="348"/>
      <c r="H35" s="348"/>
      <c r="I35" s="348"/>
      <c r="J35" s="348"/>
      <c r="K35" s="348"/>
      <c r="L35" s="349"/>
      <c r="N35" s="106"/>
    </row>
    <row r="36" spans="1:14" s="59" customFormat="1" ht="30.75" customHeight="1" x14ac:dyDescent="0.2">
      <c r="A36" s="217"/>
      <c r="B36" s="346" t="s">
        <v>434</v>
      </c>
      <c r="C36" s="346"/>
      <c r="D36" s="346"/>
      <c r="E36" s="346"/>
      <c r="F36" s="346"/>
      <c r="G36" s="346"/>
      <c r="H36" s="346"/>
      <c r="I36" s="346"/>
      <c r="J36" s="346"/>
      <c r="K36" s="346"/>
      <c r="L36" s="347"/>
      <c r="N36" s="106"/>
    </row>
    <row r="37" spans="1:14" s="59" customFormat="1" ht="29.5" customHeight="1" x14ac:dyDescent="0.2">
      <c r="A37" s="217">
        <v>2</v>
      </c>
      <c r="B37" s="348" t="s">
        <v>281</v>
      </c>
      <c r="C37" s="348"/>
      <c r="D37" s="348"/>
      <c r="E37" s="348"/>
      <c r="F37" s="348"/>
      <c r="G37" s="348"/>
      <c r="H37" s="348"/>
      <c r="I37" s="348"/>
      <c r="J37" s="348"/>
      <c r="K37" s="348"/>
      <c r="L37" s="349"/>
      <c r="N37" s="106"/>
    </row>
    <row r="38" spans="1:14" s="59" customFormat="1" ht="26.5" customHeight="1" x14ac:dyDescent="0.2">
      <c r="A38" s="217">
        <v>3</v>
      </c>
      <c r="B38" s="348" t="s">
        <v>270</v>
      </c>
      <c r="C38" s="348"/>
      <c r="D38" s="348"/>
      <c r="E38" s="348"/>
      <c r="F38" s="348"/>
      <c r="G38" s="348"/>
      <c r="H38" s="348"/>
      <c r="I38" s="348"/>
      <c r="J38" s="348"/>
      <c r="K38" s="348"/>
      <c r="L38" s="349"/>
      <c r="N38" s="106"/>
    </row>
    <row r="39" spans="1:14" s="59" customFormat="1" ht="26.5" customHeight="1" x14ac:dyDescent="0.2">
      <c r="A39" s="217">
        <v>4</v>
      </c>
      <c r="B39" s="348" t="s">
        <v>288</v>
      </c>
      <c r="C39" s="348"/>
      <c r="D39" s="348"/>
      <c r="E39" s="348"/>
      <c r="F39" s="348"/>
      <c r="G39" s="348"/>
      <c r="H39" s="348"/>
      <c r="I39" s="348"/>
      <c r="J39" s="348"/>
      <c r="K39" s="348"/>
      <c r="L39" s="349"/>
      <c r="N39" s="106"/>
    </row>
    <row r="40" spans="1:14" s="59" customFormat="1" ht="15" customHeight="1" x14ac:dyDescent="0.2">
      <c r="A40" s="217">
        <v>5</v>
      </c>
      <c r="B40" s="346" t="s">
        <v>271</v>
      </c>
      <c r="C40" s="346"/>
      <c r="D40" s="346"/>
      <c r="E40" s="346"/>
      <c r="F40" s="346"/>
      <c r="G40" s="346"/>
      <c r="H40" s="346"/>
      <c r="I40" s="346"/>
      <c r="J40" s="346"/>
      <c r="K40" s="346"/>
      <c r="L40" s="347"/>
      <c r="N40" s="106"/>
    </row>
    <row r="41" spans="1:14" s="59" customFormat="1" ht="28.5" customHeight="1" x14ac:dyDescent="0.2">
      <c r="A41" s="217">
        <v>6</v>
      </c>
      <c r="B41" s="346" t="s">
        <v>276</v>
      </c>
      <c r="C41" s="346"/>
      <c r="D41" s="346"/>
      <c r="E41" s="346"/>
      <c r="F41" s="346"/>
      <c r="G41" s="346"/>
      <c r="H41" s="346"/>
      <c r="I41" s="346"/>
      <c r="J41" s="346"/>
      <c r="K41" s="346"/>
      <c r="L41" s="347"/>
      <c r="N41" s="106"/>
    </row>
    <row r="42" spans="1:14" s="59" customFormat="1" ht="16.5" customHeight="1" x14ac:dyDescent="0.2">
      <c r="A42" s="217">
        <v>7</v>
      </c>
      <c r="B42" s="348" t="s">
        <v>272</v>
      </c>
      <c r="C42" s="348"/>
      <c r="D42" s="348"/>
      <c r="E42" s="348"/>
      <c r="F42" s="348"/>
      <c r="G42" s="348"/>
      <c r="H42" s="348"/>
      <c r="I42" s="348"/>
      <c r="J42" s="348"/>
      <c r="K42" s="348"/>
      <c r="L42" s="349"/>
    </row>
    <row r="43" spans="1:14" s="59" customFormat="1" ht="17.5" customHeight="1" x14ac:dyDescent="0.2">
      <c r="A43" s="217"/>
      <c r="B43" s="218"/>
      <c r="C43" s="218"/>
      <c r="D43" s="218"/>
      <c r="E43" s="218"/>
      <c r="F43" s="218"/>
      <c r="G43" s="218"/>
      <c r="H43" s="218"/>
      <c r="I43" s="218"/>
      <c r="J43" s="218"/>
      <c r="K43" s="218"/>
      <c r="L43" s="219"/>
    </row>
    <row r="44" spans="1:14" s="59" customFormat="1" ht="16.5" customHeight="1" x14ac:dyDescent="0.2">
      <c r="A44" s="350" t="s">
        <v>275</v>
      </c>
      <c r="B44" s="351"/>
      <c r="C44" s="351"/>
      <c r="D44" s="351"/>
      <c r="E44" s="351"/>
      <c r="F44" s="351"/>
      <c r="G44" s="351"/>
      <c r="H44" s="351"/>
      <c r="I44" s="351"/>
      <c r="J44" s="351"/>
      <c r="K44" s="351"/>
      <c r="L44" s="352"/>
    </row>
    <row r="45" spans="1:14" s="59" customFormat="1" ht="15" customHeight="1" x14ac:dyDescent="0.2">
      <c r="A45" s="220" t="s">
        <v>273</v>
      </c>
      <c r="B45" s="348" t="s">
        <v>172</v>
      </c>
      <c r="C45" s="348"/>
      <c r="D45" s="348"/>
      <c r="E45" s="348"/>
      <c r="F45" s="348"/>
      <c r="G45" s="348"/>
      <c r="H45" s="348"/>
      <c r="I45" s="348"/>
      <c r="J45" s="348"/>
      <c r="K45" s="348"/>
      <c r="L45" s="349"/>
    </row>
    <row r="46" spans="1:14" s="59" customFormat="1" ht="30.75" customHeight="1" x14ac:dyDescent="0.2">
      <c r="A46" s="221" t="s">
        <v>274</v>
      </c>
      <c r="B46" s="358" t="s">
        <v>277</v>
      </c>
      <c r="C46" s="358"/>
      <c r="D46" s="358"/>
      <c r="E46" s="358"/>
      <c r="F46" s="358"/>
      <c r="G46" s="358"/>
      <c r="H46" s="358"/>
      <c r="I46" s="358"/>
      <c r="J46" s="358"/>
      <c r="K46" s="358"/>
      <c r="L46" s="359"/>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60" t="s">
        <v>200</v>
      </c>
      <c r="B48" s="361"/>
      <c r="C48" s="361"/>
      <c r="D48" s="361"/>
      <c r="E48" s="361"/>
      <c r="F48" s="361"/>
      <c r="G48" s="361"/>
      <c r="H48" s="361"/>
      <c r="I48" s="361"/>
      <c r="J48" s="361"/>
      <c r="K48" s="361"/>
      <c r="L48" s="362"/>
    </row>
    <row r="49" spans="1:12" s="1" customFormat="1" ht="16.5" customHeight="1" x14ac:dyDescent="0.2">
      <c r="A49" s="224" t="s">
        <v>173</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126</v>
      </c>
      <c r="B51" s="164"/>
      <c r="C51" s="164"/>
      <c r="D51" s="165"/>
      <c r="E51" s="164"/>
      <c r="F51" s="164"/>
      <c r="G51" s="164"/>
      <c r="H51" s="164"/>
      <c r="I51" s="164"/>
      <c r="J51" s="164"/>
      <c r="K51" s="164"/>
      <c r="L51" s="166"/>
    </row>
    <row r="52" spans="1:12" ht="15" customHeight="1" x14ac:dyDescent="0.2">
      <c r="A52" s="167"/>
      <c r="B52" s="168" t="s">
        <v>24</v>
      </c>
      <c r="C52" s="169" t="s">
        <v>435</v>
      </c>
      <c r="D52" s="169"/>
      <c r="E52" s="169"/>
      <c r="F52" s="169"/>
      <c r="G52" s="169"/>
      <c r="H52" s="169"/>
      <c r="I52" s="169"/>
      <c r="J52" s="169"/>
      <c r="K52" s="169"/>
      <c r="L52" s="170"/>
    </row>
    <row r="53" spans="1:12" ht="14.25" customHeight="1" x14ac:dyDescent="0.2">
      <c r="A53" s="167"/>
      <c r="B53" s="168" t="s">
        <v>41</v>
      </c>
      <c r="C53" s="169" t="s">
        <v>51</v>
      </c>
      <c r="D53" s="169"/>
      <c r="E53" s="169"/>
      <c r="F53" s="169"/>
      <c r="G53" s="169"/>
      <c r="H53" s="169"/>
      <c r="I53" s="169"/>
      <c r="J53" s="169"/>
      <c r="K53" s="169"/>
      <c r="L53" s="170"/>
    </row>
    <row r="54" spans="1:12" s="58" customFormat="1" ht="33.75" customHeight="1" x14ac:dyDescent="0.2">
      <c r="A54" s="167"/>
      <c r="B54" s="168" t="s">
        <v>24</v>
      </c>
      <c r="C54" s="331" t="s">
        <v>262</v>
      </c>
      <c r="D54" s="331"/>
      <c r="E54" s="331"/>
      <c r="F54" s="331"/>
      <c r="G54" s="331"/>
      <c r="H54" s="331"/>
      <c r="I54" s="331"/>
      <c r="J54" s="331"/>
      <c r="K54" s="331"/>
      <c r="L54" s="332"/>
    </row>
    <row r="55" spans="1:12" s="58" customFormat="1" ht="33.75" customHeight="1" x14ac:dyDescent="0.2">
      <c r="A55" s="167"/>
      <c r="B55" s="168" t="s">
        <v>263</v>
      </c>
      <c r="C55" s="331" t="s">
        <v>264</v>
      </c>
      <c r="D55" s="331"/>
      <c r="E55" s="331"/>
      <c r="F55" s="331"/>
      <c r="G55" s="331"/>
      <c r="H55" s="331"/>
      <c r="I55" s="331"/>
      <c r="J55" s="331"/>
      <c r="K55" s="331"/>
      <c r="L55" s="332"/>
    </row>
    <row r="56" spans="1:12" s="58" customFormat="1" ht="33.75" customHeight="1" x14ac:dyDescent="0.2">
      <c r="A56" s="167"/>
      <c r="B56" s="168" t="s">
        <v>330</v>
      </c>
      <c r="C56" s="331" t="s">
        <v>331</v>
      </c>
      <c r="D56" s="331"/>
      <c r="E56" s="331"/>
      <c r="F56" s="331"/>
      <c r="G56" s="331"/>
      <c r="H56" s="331"/>
      <c r="I56" s="331"/>
      <c r="J56" s="331"/>
      <c r="K56" s="331"/>
      <c r="L56" s="332"/>
    </row>
    <row r="57" spans="1:12" ht="30.75" customHeight="1" x14ac:dyDescent="0.2">
      <c r="A57" s="167"/>
      <c r="B57" s="168" t="s">
        <v>98</v>
      </c>
      <c r="C57" s="331" t="s">
        <v>99</v>
      </c>
      <c r="D57" s="331"/>
      <c r="E57" s="331"/>
      <c r="F57" s="331"/>
      <c r="G57" s="331"/>
      <c r="H57" s="331"/>
      <c r="I57" s="331"/>
      <c r="J57" s="331"/>
      <c r="K57" s="331"/>
      <c r="L57" s="332"/>
    </row>
    <row r="58" spans="1:12" ht="30.75" customHeight="1" x14ac:dyDescent="0.2">
      <c r="A58" s="167"/>
      <c r="B58" s="168" t="s">
        <v>198</v>
      </c>
      <c r="C58" s="331" t="s">
        <v>199</v>
      </c>
      <c r="D58" s="331"/>
      <c r="E58" s="331"/>
      <c r="F58" s="331"/>
      <c r="G58" s="331"/>
      <c r="H58" s="331"/>
      <c r="I58" s="331"/>
      <c r="J58" s="331"/>
      <c r="K58" s="331"/>
      <c r="L58" s="332"/>
    </row>
    <row r="59" spans="1:12" x14ac:dyDescent="0.2">
      <c r="A59" s="167"/>
      <c r="B59" s="168" t="s">
        <v>163</v>
      </c>
      <c r="C59" s="169" t="s">
        <v>265</v>
      </c>
      <c r="D59" s="169"/>
      <c r="E59" s="169"/>
      <c r="F59" s="169"/>
      <c r="G59" s="169"/>
      <c r="H59" s="169"/>
      <c r="I59" s="169"/>
      <c r="J59" s="169"/>
      <c r="K59" s="169"/>
      <c r="L59" s="170"/>
    </row>
    <row r="60" spans="1:12" ht="14.5" customHeight="1" x14ac:dyDescent="0.2">
      <c r="A60" s="167"/>
      <c r="B60" s="168" t="s">
        <v>397</v>
      </c>
      <c r="C60" s="331" t="s">
        <v>398</v>
      </c>
      <c r="D60" s="331"/>
      <c r="E60" s="331"/>
      <c r="F60" s="331"/>
      <c r="G60" s="331"/>
      <c r="H60" s="331"/>
      <c r="I60" s="331"/>
      <c r="J60" s="331"/>
      <c r="K60" s="331"/>
      <c r="L60" s="332"/>
    </row>
    <row r="61" spans="1:12" x14ac:dyDescent="0.2">
      <c r="A61" s="167"/>
      <c r="B61" s="168" t="s">
        <v>36</v>
      </c>
      <c r="C61" s="169" t="s">
        <v>37</v>
      </c>
      <c r="D61" s="169"/>
      <c r="E61" s="169"/>
      <c r="F61" s="169"/>
      <c r="G61" s="169"/>
      <c r="H61" s="169"/>
      <c r="I61" s="169"/>
      <c r="J61" s="169"/>
      <c r="K61" s="169"/>
      <c r="L61" s="170"/>
    </row>
    <row r="62" spans="1:12" x14ac:dyDescent="0.2">
      <c r="A62" s="171"/>
      <c r="B62" s="172" t="s">
        <v>119</v>
      </c>
      <c r="C62" s="173" t="s">
        <v>120</v>
      </c>
      <c r="D62" s="173"/>
      <c r="E62" s="173"/>
      <c r="F62" s="173"/>
      <c r="G62" s="173"/>
      <c r="H62" s="173"/>
      <c r="I62" s="173"/>
      <c r="J62" s="173"/>
      <c r="K62" s="173"/>
      <c r="L62" s="174"/>
    </row>
    <row r="64" spans="1:12" x14ac:dyDescent="0.2">
      <c r="A64" s="1" t="s">
        <v>52</v>
      </c>
    </row>
    <row r="65" spans="1:2" x14ac:dyDescent="0.2">
      <c r="A65" s="1" t="s">
        <v>53</v>
      </c>
    </row>
    <row r="66" spans="1:2" x14ac:dyDescent="0.2">
      <c r="A66" t="s">
        <v>54</v>
      </c>
    </row>
    <row r="67" spans="1:2" x14ac:dyDescent="0.2">
      <c r="A67" s="45" t="s">
        <v>55</v>
      </c>
    </row>
    <row r="68" spans="1:2" x14ac:dyDescent="0.2">
      <c r="A68" s="45" t="s">
        <v>56</v>
      </c>
    </row>
    <row r="69" spans="1:2" x14ac:dyDescent="0.2">
      <c r="A69" s="45"/>
    </row>
    <row r="70" spans="1:2" x14ac:dyDescent="0.2">
      <c r="A70" s="45"/>
      <c r="B70" s="1" t="s">
        <v>399</v>
      </c>
    </row>
    <row r="71" spans="1:2" x14ac:dyDescent="0.2">
      <c r="A71" s="45"/>
      <c r="B71" t="s">
        <v>54</v>
      </c>
    </row>
    <row r="72" spans="1:2" x14ac:dyDescent="0.2">
      <c r="A72" s="45"/>
      <c r="B72" s="45" t="s">
        <v>400</v>
      </c>
    </row>
    <row r="73" spans="1:2" x14ac:dyDescent="0.2">
      <c r="A73" s="45"/>
    </row>
    <row r="74" spans="1:2" x14ac:dyDescent="0.2">
      <c r="A74" s="237" t="s">
        <v>344</v>
      </c>
    </row>
    <row r="75" spans="1:2" x14ac:dyDescent="0.2">
      <c r="A75" s="236" t="s">
        <v>345</v>
      </c>
    </row>
    <row r="76" spans="1:2" x14ac:dyDescent="0.2">
      <c r="A76" s="45" t="s">
        <v>346</v>
      </c>
    </row>
    <row r="77" spans="1:2" x14ac:dyDescent="0.2">
      <c r="A77" s="45"/>
    </row>
    <row r="78" spans="1:2" x14ac:dyDescent="0.2">
      <c r="A78" s="1" t="s">
        <v>161</v>
      </c>
    </row>
    <row r="79" spans="1:2" x14ac:dyDescent="0.2">
      <c r="A79" s="45" t="s">
        <v>266</v>
      </c>
    </row>
    <row r="81" spans="1:12" x14ac:dyDescent="0.2">
      <c r="A81" s="1" t="s">
        <v>23</v>
      </c>
    </row>
    <row r="82" spans="1:12" ht="29.25" customHeight="1" x14ac:dyDescent="0.2">
      <c r="A82" s="357" t="s">
        <v>401</v>
      </c>
      <c r="B82" s="357"/>
      <c r="C82" s="357"/>
      <c r="D82" s="357"/>
      <c r="E82" s="357"/>
      <c r="F82" s="357"/>
      <c r="G82" s="357"/>
      <c r="H82" s="357"/>
      <c r="I82" s="357"/>
      <c r="J82" s="357"/>
      <c r="K82" s="357"/>
      <c r="L82" s="357"/>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118</v>
      </c>
    </row>
    <row r="3" spans="1:4" s="1" customFormat="1" x14ac:dyDescent="0.2">
      <c r="A3" s="412" t="s">
        <v>116</v>
      </c>
      <c r="B3" s="412"/>
      <c r="C3" s="412"/>
      <c r="D3" s="128" t="s">
        <v>115</v>
      </c>
    </row>
    <row r="4" spans="1:4" ht="30" customHeight="1" x14ac:dyDescent="0.2">
      <c r="A4" s="413" t="s">
        <v>112</v>
      </c>
      <c r="B4" s="413"/>
      <c r="C4" s="413"/>
      <c r="D4" s="175" t="s">
        <v>182</v>
      </c>
    </row>
    <row r="5" spans="1:4" ht="48" x14ac:dyDescent="0.2">
      <c r="A5" s="417" t="s">
        <v>183</v>
      </c>
      <c r="B5" s="414"/>
      <c r="C5" s="414"/>
      <c r="D5" s="176" t="s">
        <v>201</v>
      </c>
    </row>
    <row r="6" spans="1:4" ht="57.5" customHeight="1" x14ac:dyDescent="0.2">
      <c r="A6" s="415" t="s">
        <v>184</v>
      </c>
      <c r="B6" s="415"/>
      <c r="C6" s="415"/>
      <c r="D6" s="177" t="s">
        <v>185</v>
      </c>
    </row>
    <row r="7" spans="1:4" ht="32" x14ac:dyDescent="0.2">
      <c r="A7" s="416" t="s">
        <v>21</v>
      </c>
      <c r="B7" s="416"/>
      <c r="C7" s="416"/>
      <c r="D7" s="178" t="s">
        <v>186</v>
      </c>
    </row>
    <row r="11" spans="1:4" x14ac:dyDescent="0.2">
      <c r="A11" s="413" t="s">
        <v>112</v>
      </c>
      <c r="B11" s="413"/>
      <c r="C11" s="413"/>
    </row>
    <row r="12" spans="1:4" x14ac:dyDescent="0.2">
      <c r="A12" s="414" t="s">
        <v>113</v>
      </c>
      <c r="B12" s="414"/>
      <c r="C12" s="414"/>
    </row>
    <row r="13" spans="1:4" x14ac:dyDescent="0.2">
      <c r="A13" s="415" t="s">
        <v>114</v>
      </c>
      <c r="B13" s="415"/>
      <c r="C13" s="415"/>
    </row>
    <row r="14" spans="1:4" x14ac:dyDescent="0.2">
      <c r="A14" s="416" t="s">
        <v>21</v>
      </c>
      <c r="B14" s="416"/>
      <c r="C14" s="41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396</v>
      </c>
    </row>
    <row r="2" spans="1:20" ht="33" customHeight="1" x14ac:dyDescent="0.2">
      <c r="A2" s="418" t="s">
        <v>427</v>
      </c>
      <c r="B2" s="419"/>
      <c r="C2" s="419"/>
      <c r="D2" s="419"/>
      <c r="E2" s="419"/>
      <c r="F2" s="419"/>
      <c r="G2" s="419"/>
      <c r="H2" s="419"/>
      <c r="I2" s="419"/>
      <c r="J2" s="419"/>
      <c r="K2" s="419"/>
      <c r="L2" s="419"/>
      <c r="M2" s="419"/>
      <c r="N2" s="419"/>
      <c r="O2" s="419"/>
      <c r="P2" s="419"/>
      <c r="Q2" s="419"/>
      <c r="R2" s="419"/>
      <c r="S2" s="419"/>
      <c r="T2" s="419"/>
    </row>
    <row r="3" spans="1:20" ht="16" thickBot="1" x14ac:dyDescent="0.25"/>
    <row r="4" spans="1:20" ht="32" x14ac:dyDescent="0.2">
      <c r="A4" s="270" t="s">
        <v>355</v>
      </c>
      <c r="B4" s="271" t="s">
        <v>356</v>
      </c>
      <c r="C4" s="272" t="s">
        <v>426</v>
      </c>
      <c r="D4" s="273" t="s">
        <v>357</v>
      </c>
      <c r="E4" s="273" t="s">
        <v>358</v>
      </c>
      <c r="F4" s="273" t="s">
        <v>359</v>
      </c>
      <c r="G4" s="273" t="s">
        <v>360</v>
      </c>
      <c r="H4" s="273" t="s">
        <v>361</v>
      </c>
      <c r="I4" s="274" t="s">
        <v>362</v>
      </c>
    </row>
    <row r="5" spans="1:20" x14ac:dyDescent="0.2">
      <c r="A5" s="275" t="s">
        <v>363</v>
      </c>
      <c r="B5" s="245">
        <v>64</v>
      </c>
      <c r="C5">
        <v>0</v>
      </c>
      <c r="D5" s="2">
        <v>8</v>
      </c>
      <c r="E5">
        <v>122</v>
      </c>
      <c r="F5">
        <v>0</v>
      </c>
      <c r="G5">
        <v>0</v>
      </c>
      <c r="H5">
        <v>0</v>
      </c>
      <c r="I5" s="246">
        <f t="shared" ref="I5:I26" si="0">AVERAGE(F5:H5)</f>
        <v>0</v>
      </c>
    </row>
    <row r="6" spans="1:20" x14ac:dyDescent="0.2">
      <c r="A6" s="276" t="s">
        <v>364</v>
      </c>
      <c r="B6" s="245">
        <v>112</v>
      </c>
      <c r="C6" s="245">
        <v>11.6</v>
      </c>
      <c r="D6" s="2" t="s">
        <v>365</v>
      </c>
      <c r="E6">
        <v>81</v>
      </c>
      <c r="F6">
        <v>2.8</v>
      </c>
      <c r="G6">
        <v>4.7</v>
      </c>
      <c r="H6">
        <v>4.2</v>
      </c>
      <c r="I6" s="246">
        <f t="shared" si="0"/>
        <v>3.9</v>
      </c>
    </row>
    <row r="7" spans="1:20" x14ac:dyDescent="0.2">
      <c r="A7" s="276" t="s">
        <v>366</v>
      </c>
      <c r="B7" s="245">
        <v>100</v>
      </c>
      <c r="C7">
        <v>14.1</v>
      </c>
      <c r="D7" s="2" t="s">
        <v>365</v>
      </c>
      <c r="E7">
        <v>13</v>
      </c>
      <c r="F7">
        <v>10</v>
      </c>
      <c r="G7">
        <v>-1.3</v>
      </c>
      <c r="H7">
        <v>5.4</v>
      </c>
      <c r="I7" s="246">
        <f t="shared" si="0"/>
        <v>4.7</v>
      </c>
    </row>
    <row r="8" spans="1:20" x14ac:dyDescent="0.2">
      <c r="A8" s="276" t="s">
        <v>367</v>
      </c>
      <c r="B8" s="245">
        <v>97</v>
      </c>
      <c r="C8">
        <v>14.1</v>
      </c>
      <c r="D8" s="2" t="s">
        <v>368</v>
      </c>
      <c r="E8">
        <v>147</v>
      </c>
      <c r="F8">
        <v>3.8</v>
      </c>
      <c r="G8">
        <v>6.3</v>
      </c>
      <c r="H8">
        <v>4</v>
      </c>
      <c r="I8" s="246">
        <f t="shared" si="0"/>
        <v>4.7</v>
      </c>
      <c r="J8" s="278" t="s">
        <v>429</v>
      </c>
    </row>
    <row r="9" spans="1:20" x14ac:dyDescent="0.2">
      <c r="A9" s="276" t="s">
        <v>369</v>
      </c>
      <c r="B9" s="245">
        <v>112</v>
      </c>
      <c r="C9">
        <v>16.5</v>
      </c>
      <c r="D9" s="2" t="s">
        <v>370</v>
      </c>
      <c r="E9">
        <v>103</v>
      </c>
      <c r="F9">
        <v>5.9</v>
      </c>
      <c r="G9">
        <v>5.0999999999999996</v>
      </c>
      <c r="H9">
        <v>5.5</v>
      </c>
      <c r="I9" s="246">
        <f t="shared" si="0"/>
        <v>5.5</v>
      </c>
      <c r="J9" s="278" t="s">
        <v>428</v>
      </c>
    </row>
    <row r="10" spans="1:20" x14ac:dyDescent="0.2">
      <c r="A10" s="276" t="s">
        <v>371</v>
      </c>
      <c r="B10" s="245">
        <v>100</v>
      </c>
      <c r="C10">
        <v>16.600000000000001</v>
      </c>
      <c r="D10" s="2" t="s">
        <v>372</v>
      </c>
      <c r="E10">
        <v>26</v>
      </c>
      <c r="F10">
        <v>5.5</v>
      </c>
      <c r="G10">
        <v>5.5</v>
      </c>
      <c r="H10">
        <v>5.5</v>
      </c>
      <c r="I10" s="246">
        <f t="shared" si="0"/>
        <v>5.5</v>
      </c>
    </row>
    <row r="11" spans="1:20" x14ac:dyDescent="0.2">
      <c r="A11" s="276" t="s">
        <v>373</v>
      </c>
      <c r="B11" s="245">
        <v>112</v>
      </c>
      <c r="C11" s="245">
        <v>16.600000000000001</v>
      </c>
      <c r="D11" s="2" t="s">
        <v>365</v>
      </c>
      <c r="E11">
        <v>81</v>
      </c>
      <c r="F11">
        <v>3.8</v>
      </c>
      <c r="G11">
        <v>6.6</v>
      </c>
      <c r="H11">
        <v>6.1</v>
      </c>
      <c r="I11" s="246">
        <f t="shared" si="0"/>
        <v>5.5</v>
      </c>
      <c r="J11" s="278" t="s">
        <v>428</v>
      </c>
    </row>
    <row r="12" spans="1:20" x14ac:dyDescent="0.2">
      <c r="A12" s="276" t="s">
        <v>374</v>
      </c>
      <c r="B12" s="245">
        <v>100</v>
      </c>
      <c r="C12" s="245">
        <v>17.8</v>
      </c>
      <c r="D12" s="2" t="s">
        <v>375</v>
      </c>
      <c r="E12">
        <v>31</v>
      </c>
      <c r="F12">
        <v>5.9</v>
      </c>
      <c r="G12">
        <v>5.9</v>
      </c>
      <c r="H12">
        <v>5.9</v>
      </c>
      <c r="I12" s="246">
        <f t="shared" si="0"/>
        <v>5.9000000000000012</v>
      </c>
    </row>
    <row r="13" spans="1:20" x14ac:dyDescent="0.2">
      <c r="A13" s="276" t="s">
        <v>376</v>
      </c>
      <c r="B13" s="245">
        <v>100</v>
      </c>
      <c r="C13">
        <v>18</v>
      </c>
      <c r="D13" s="2" t="s">
        <v>377</v>
      </c>
      <c r="E13">
        <v>18</v>
      </c>
      <c r="F13">
        <v>11</v>
      </c>
      <c r="G13">
        <v>5.6</v>
      </c>
      <c r="H13">
        <v>8.1</v>
      </c>
      <c r="I13" s="246">
        <f t="shared" si="0"/>
        <v>8.2333333333333343</v>
      </c>
    </row>
    <row r="14" spans="1:20" x14ac:dyDescent="0.2">
      <c r="A14" s="276" t="s">
        <v>378</v>
      </c>
      <c r="B14" s="245">
        <v>112</v>
      </c>
      <c r="C14" s="245">
        <v>19.3</v>
      </c>
      <c r="D14" s="2" t="s">
        <v>365</v>
      </c>
      <c r="E14">
        <v>81</v>
      </c>
      <c r="F14">
        <v>4.4000000000000004</v>
      </c>
      <c r="G14">
        <v>7.8</v>
      </c>
      <c r="H14">
        <v>7.2</v>
      </c>
      <c r="I14" s="246">
        <f t="shared" si="0"/>
        <v>6.4666666666666659</v>
      </c>
    </row>
    <row r="15" spans="1:20" x14ac:dyDescent="0.2">
      <c r="A15" s="276" t="s">
        <v>379</v>
      </c>
      <c r="B15" s="245">
        <v>100</v>
      </c>
      <c r="C15">
        <v>20.399999999999999</v>
      </c>
      <c r="D15" s="2" t="s">
        <v>380</v>
      </c>
      <c r="E15">
        <v>48</v>
      </c>
      <c r="F15">
        <v>5.9</v>
      </c>
      <c r="G15">
        <v>5.9</v>
      </c>
      <c r="H15">
        <v>8.5</v>
      </c>
      <c r="I15" s="246">
        <f t="shared" si="0"/>
        <v>6.7666666666666666</v>
      </c>
    </row>
    <row r="16" spans="1:20" x14ac:dyDescent="0.2">
      <c r="A16" s="276" t="s">
        <v>381</v>
      </c>
      <c r="B16" s="245">
        <v>100</v>
      </c>
      <c r="C16" s="245">
        <v>20.399999999999999</v>
      </c>
      <c r="D16" s="2" t="s">
        <v>382</v>
      </c>
      <c r="E16">
        <v>45</v>
      </c>
      <c r="F16">
        <v>8.3000000000000007</v>
      </c>
      <c r="G16">
        <v>6.6</v>
      </c>
      <c r="H16">
        <v>5.5</v>
      </c>
      <c r="I16" s="246">
        <f t="shared" si="0"/>
        <v>6.8</v>
      </c>
    </row>
    <row r="17" spans="1:9" x14ac:dyDescent="0.2">
      <c r="A17" s="276" t="s">
        <v>383</v>
      </c>
      <c r="B17" s="245">
        <v>100</v>
      </c>
      <c r="C17" s="245">
        <v>20.5</v>
      </c>
      <c r="D17" s="2" t="s">
        <v>384</v>
      </c>
      <c r="E17">
        <v>2</v>
      </c>
      <c r="F17">
        <v>8.6</v>
      </c>
      <c r="G17">
        <v>5.9</v>
      </c>
      <c r="H17">
        <v>5.9</v>
      </c>
      <c r="I17" s="246">
        <f t="shared" si="0"/>
        <v>6.8</v>
      </c>
    </row>
    <row r="18" spans="1:9" x14ac:dyDescent="0.2">
      <c r="A18" s="276" t="s">
        <v>385</v>
      </c>
      <c r="B18" s="245">
        <v>1</v>
      </c>
      <c r="C18">
        <v>20.9</v>
      </c>
      <c r="D18" s="2" t="s">
        <v>375</v>
      </c>
      <c r="E18">
        <v>430</v>
      </c>
      <c r="F18">
        <v>6.4</v>
      </c>
      <c r="G18">
        <v>8.4</v>
      </c>
      <c r="H18">
        <v>6.1</v>
      </c>
      <c r="I18" s="246">
        <f t="shared" si="0"/>
        <v>6.9666666666666659</v>
      </c>
    </row>
    <row r="19" spans="1:9" x14ac:dyDescent="0.2">
      <c r="A19" s="276" t="s">
        <v>386</v>
      </c>
      <c r="B19" s="245">
        <v>1</v>
      </c>
      <c r="C19">
        <v>20.9</v>
      </c>
      <c r="D19" s="2" t="s">
        <v>375</v>
      </c>
      <c r="E19">
        <v>430</v>
      </c>
      <c r="F19">
        <v>6.4</v>
      </c>
      <c r="G19">
        <v>8.4</v>
      </c>
      <c r="H19">
        <v>6.1</v>
      </c>
      <c r="I19" s="246">
        <f t="shared" si="0"/>
        <v>6.9666666666666659</v>
      </c>
    </row>
    <row r="20" spans="1:9" x14ac:dyDescent="0.2">
      <c r="A20" s="276" t="s">
        <v>387</v>
      </c>
      <c r="B20" s="245">
        <v>112</v>
      </c>
      <c r="C20" s="245">
        <v>21.7</v>
      </c>
      <c r="D20" s="2" t="s">
        <v>365</v>
      </c>
      <c r="E20">
        <v>81</v>
      </c>
      <c r="F20">
        <v>4.9000000000000004</v>
      </c>
      <c r="G20">
        <v>8.6999999999999993</v>
      </c>
      <c r="H20">
        <v>8.1</v>
      </c>
      <c r="I20" s="246">
        <f t="shared" si="0"/>
        <v>7.2333333333333334</v>
      </c>
    </row>
    <row r="21" spans="1:9" x14ac:dyDescent="0.2">
      <c r="A21" s="276" t="s">
        <v>388</v>
      </c>
      <c r="B21" s="245">
        <v>112</v>
      </c>
      <c r="C21" s="245">
        <v>21.8</v>
      </c>
      <c r="D21" s="2" t="s">
        <v>365</v>
      </c>
      <c r="E21">
        <v>81</v>
      </c>
      <c r="F21">
        <v>5</v>
      </c>
      <c r="G21">
        <v>8.6999999999999993</v>
      </c>
      <c r="H21">
        <v>8.1</v>
      </c>
      <c r="I21" s="246">
        <f t="shared" si="0"/>
        <v>7.2666666666666657</v>
      </c>
    </row>
    <row r="22" spans="1:9" x14ac:dyDescent="0.2">
      <c r="A22" s="276" t="s">
        <v>389</v>
      </c>
      <c r="B22" s="245">
        <v>112</v>
      </c>
      <c r="C22" s="245">
        <v>24.2</v>
      </c>
      <c r="D22" s="2" t="s">
        <v>390</v>
      </c>
      <c r="E22">
        <v>80</v>
      </c>
      <c r="F22">
        <v>5.5</v>
      </c>
      <c r="G22">
        <v>9.6999999999999993</v>
      </c>
      <c r="H22">
        <v>9</v>
      </c>
      <c r="I22" s="246">
        <f t="shared" si="0"/>
        <v>8.0666666666666664</v>
      </c>
    </row>
    <row r="23" spans="1:9" x14ac:dyDescent="0.2">
      <c r="A23" s="276" t="s">
        <v>391</v>
      </c>
      <c r="B23" s="245">
        <v>100</v>
      </c>
      <c r="C23" s="245">
        <v>24.8</v>
      </c>
      <c r="D23" s="2" t="s">
        <v>392</v>
      </c>
      <c r="E23">
        <v>5</v>
      </c>
      <c r="F23">
        <v>8.4</v>
      </c>
      <c r="G23">
        <v>5.9</v>
      </c>
      <c r="H23">
        <v>10.5</v>
      </c>
      <c r="I23" s="246">
        <f t="shared" si="0"/>
        <v>8.2666666666666675</v>
      </c>
    </row>
    <row r="24" spans="1:9" x14ac:dyDescent="0.2">
      <c r="A24" s="276" t="s">
        <v>393</v>
      </c>
      <c r="B24" s="245">
        <v>1</v>
      </c>
      <c r="C24" s="245">
        <v>26.1</v>
      </c>
      <c r="D24" s="247" t="s">
        <v>375</v>
      </c>
      <c r="E24" s="245">
        <v>97</v>
      </c>
      <c r="F24" s="245">
        <v>5.9</v>
      </c>
      <c r="G24" s="245">
        <v>10.5</v>
      </c>
      <c r="H24" s="245">
        <v>9.6</v>
      </c>
      <c r="I24" s="246">
        <f t="shared" si="0"/>
        <v>8.6666666666666661</v>
      </c>
    </row>
    <row r="25" spans="1:9" x14ac:dyDescent="0.2">
      <c r="A25" s="276" t="s">
        <v>394</v>
      </c>
      <c r="B25" s="245">
        <v>1</v>
      </c>
      <c r="C25">
        <v>26.1</v>
      </c>
      <c r="D25" s="2" t="s">
        <v>375</v>
      </c>
      <c r="E25">
        <v>72</v>
      </c>
      <c r="F25">
        <v>5.9</v>
      </c>
      <c r="G25">
        <v>10.5</v>
      </c>
      <c r="H25">
        <v>9.6</v>
      </c>
      <c r="I25" s="246">
        <f t="shared" si="0"/>
        <v>8.6666666666666661</v>
      </c>
    </row>
    <row r="26" spans="1:9" ht="16" thickBot="1" x14ac:dyDescent="0.25">
      <c r="A26" s="277" t="s">
        <v>395</v>
      </c>
      <c r="B26" s="248">
        <v>1</v>
      </c>
      <c r="C26" s="249">
        <v>26.1</v>
      </c>
      <c r="D26" s="250" t="s">
        <v>375</v>
      </c>
      <c r="E26" s="249">
        <v>15</v>
      </c>
      <c r="F26" s="249">
        <v>5.9</v>
      </c>
      <c r="G26" s="249">
        <v>10.5</v>
      </c>
      <c r="H26" s="249">
        <v>9.6</v>
      </c>
      <c r="I26" s="251">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7" zoomScale="150" zoomScaleNormal="150" workbookViewId="0">
      <selection activeCell="B13" sqref="B13"/>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42</v>
      </c>
      <c r="B1" s="148" t="s">
        <v>48</v>
      </c>
      <c r="C1" s="37" t="s">
        <v>43</v>
      </c>
      <c r="D1" s="36" t="s">
        <v>241</v>
      </c>
      <c r="E1" s="36" t="s">
        <v>45</v>
      </c>
      <c r="F1" s="36" t="s">
        <v>44</v>
      </c>
      <c r="G1" s="36" t="s">
        <v>46</v>
      </c>
      <c r="I1" s="107" t="s">
        <v>57</v>
      </c>
      <c r="J1" s="107" t="s">
        <v>44</v>
      </c>
      <c r="K1" s="108" t="s">
        <v>46</v>
      </c>
    </row>
    <row r="2" spans="1:11" ht="32" x14ac:dyDescent="0.2">
      <c r="A2" s="57">
        <v>45413</v>
      </c>
      <c r="B2" s="149" t="s">
        <v>239</v>
      </c>
      <c r="C2" s="56" t="s">
        <v>243</v>
      </c>
      <c r="D2" s="55">
        <v>0.3</v>
      </c>
      <c r="E2" s="55" t="s">
        <v>240</v>
      </c>
      <c r="F2" s="55" t="s">
        <v>240</v>
      </c>
      <c r="G2" s="57"/>
      <c r="I2" s="38"/>
      <c r="J2" s="38"/>
      <c r="K2" s="40"/>
    </row>
    <row r="3" spans="1:11" ht="48" x14ac:dyDescent="0.2">
      <c r="A3" s="57">
        <v>45604</v>
      </c>
      <c r="B3" s="149" t="s">
        <v>242</v>
      </c>
      <c r="C3" s="56" t="s">
        <v>267</v>
      </c>
      <c r="D3" s="55">
        <v>4</v>
      </c>
      <c r="E3" s="55" t="s">
        <v>240</v>
      </c>
      <c r="F3" s="55" t="s">
        <v>240</v>
      </c>
      <c r="G3" s="57"/>
      <c r="I3" s="38"/>
      <c r="J3" s="38"/>
      <c r="K3" s="39"/>
    </row>
    <row r="4" spans="1:11" ht="16" x14ac:dyDescent="0.2">
      <c r="A4" s="57">
        <v>45611</v>
      </c>
      <c r="B4" s="149" t="s">
        <v>268</v>
      </c>
      <c r="C4" s="56" t="s">
        <v>269</v>
      </c>
      <c r="D4" s="55">
        <v>0.3</v>
      </c>
      <c r="E4" s="55" t="s">
        <v>240</v>
      </c>
      <c r="F4" s="55" t="s">
        <v>240</v>
      </c>
      <c r="G4" s="57"/>
      <c r="I4" s="38"/>
      <c r="J4" s="38"/>
      <c r="K4" s="40"/>
    </row>
    <row r="5" spans="1:11" ht="40.5" customHeight="1" x14ac:dyDescent="0.2">
      <c r="A5" s="57">
        <v>45622</v>
      </c>
      <c r="B5" s="149" t="s">
        <v>294</v>
      </c>
      <c r="C5" s="56" t="s">
        <v>295</v>
      </c>
      <c r="D5" s="55">
        <v>4</v>
      </c>
      <c r="E5" s="55" t="s">
        <v>240</v>
      </c>
      <c r="F5" s="55" t="s">
        <v>240</v>
      </c>
      <c r="G5" s="57"/>
      <c r="I5" s="38"/>
      <c r="J5" s="38"/>
      <c r="K5" s="40"/>
    </row>
    <row r="6" spans="1:11" ht="38.5" customHeight="1" x14ac:dyDescent="0.2">
      <c r="A6" s="57">
        <v>45666</v>
      </c>
      <c r="B6" s="149" t="s">
        <v>303</v>
      </c>
      <c r="C6" s="56" t="s">
        <v>304</v>
      </c>
      <c r="D6" s="55">
        <v>3</v>
      </c>
      <c r="E6" s="55" t="s">
        <v>240</v>
      </c>
      <c r="F6" s="55" t="s">
        <v>240</v>
      </c>
      <c r="G6" s="57"/>
      <c r="I6" s="38"/>
      <c r="J6" s="38"/>
      <c r="K6" s="39"/>
    </row>
    <row r="7" spans="1:11" ht="64" x14ac:dyDescent="0.2">
      <c r="A7" s="57">
        <v>45670</v>
      </c>
      <c r="B7" s="149" t="s">
        <v>308</v>
      </c>
      <c r="C7" s="38" t="s">
        <v>305</v>
      </c>
      <c r="D7" s="55">
        <v>0.5</v>
      </c>
      <c r="E7" s="55" t="s">
        <v>240</v>
      </c>
      <c r="F7" s="55" t="s">
        <v>240</v>
      </c>
      <c r="G7" s="57"/>
      <c r="I7" s="38"/>
      <c r="J7" s="41"/>
      <c r="K7" s="40"/>
    </row>
    <row r="8" spans="1:11" ht="32" x14ac:dyDescent="0.2">
      <c r="A8" s="57">
        <v>45671</v>
      </c>
      <c r="B8" s="149" t="s">
        <v>335</v>
      </c>
      <c r="C8" s="56" t="s">
        <v>336</v>
      </c>
      <c r="D8" s="55">
        <v>0.5</v>
      </c>
      <c r="E8" s="55" t="s">
        <v>240</v>
      </c>
      <c r="F8" s="55" t="s">
        <v>240</v>
      </c>
      <c r="G8" s="57"/>
      <c r="I8" s="38"/>
      <c r="J8" s="41"/>
      <c r="K8" s="40"/>
    </row>
    <row r="9" spans="1:11" ht="16" x14ac:dyDescent="0.2">
      <c r="A9" s="57">
        <v>45681</v>
      </c>
      <c r="B9" s="149" t="s">
        <v>349</v>
      </c>
      <c r="C9" s="56" t="s">
        <v>350</v>
      </c>
      <c r="D9" s="55">
        <v>0.25</v>
      </c>
      <c r="E9" s="55" t="s">
        <v>240</v>
      </c>
      <c r="F9" s="55" t="s">
        <v>240</v>
      </c>
      <c r="G9" s="57"/>
      <c r="I9" s="38"/>
      <c r="J9" s="38"/>
      <c r="K9" s="40"/>
    </row>
    <row r="10" spans="1:11" ht="32" x14ac:dyDescent="0.2">
      <c r="A10" s="57">
        <v>45681</v>
      </c>
      <c r="B10" s="149" t="s">
        <v>353</v>
      </c>
      <c r="C10" s="56" t="s">
        <v>354</v>
      </c>
      <c r="D10" s="55">
        <v>1</v>
      </c>
      <c r="E10" s="55" t="s">
        <v>240</v>
      </c>
      <c r="F10" s="38" t="s">
        <v>351</v>
      </c>
      <c r="G10" s="57">
        <v>45678</v>
      </c>
      <c r="I10" s="38"/>
      <c r="J10" s="41"/>
      <c r="K10" s="40"/>
    </row>
    <row r="11" spans="1:11" ht="32" x14ac:dyDescent="0.2">
      <c r="A11" s="57">
        <v>45762</v>
      </c>
      <c r="B11" s="149" t="s">
        <v>402</v>
      </c>
      <c r="C11" s="56" t="s">
        <v>403</v>
      </c>
      <c r="D11" s="55">
        <v>12</v>
      </c>
      <c r="E11" s="55" t="s">
        <v>404</v>
      </c>
      <c r="F11" s="55" t="s">
        <v>405</v>
      </c>
      <c r="G11" s="57">
        <v>45702</v>
      </c>
      <c r="I11" s="38"/>
      <c r="J11" s="41"/>
      <c r="K11" s="40"/>
    </row>
    <row r="12" spans="1:11" ht="48" x14ac:dyDescent="0.2">
      <c r="A12" s="57">
        <v>45798</v>
      </c>
      <c r="B12" s="149" t="s">
        <v>433</v>
      </c>
      <c r="C12" s="56" t="s">
        <v>425</v>
      </c>
      <c r="D12" s="55">
        <v>6</v>
      </c>
      <c r="E12" s="55" t="s">
        <v>404</v>
      </c>
      <c r="F12" s="55" t="s">
        <v>424</v>
      </c>
      <c r="G12" s="57">
        <v>45702</v>
      </c>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25" zoomScale="141" zoomScaleNormal="150" workbookViewId="0">
      <selection activeCell="C28" sqref="C28"/>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63" t="str">
        <f>'ReadMe-Directions'!A1</f>
        <v>Immersive Model for Lake Mead based on the Principle of Divide Reservoir Inflow</v>
      </c>
      <c r="B1" s="363"/>
      <c r="C1" s="363"/>
      <c r="D1" s="363"/>
      <c r="E1" s="363"/>
      <c r="F1" s="363"/>
      <c r="G1" s="363"/>
    </row>
    <row r="2" spans="1:14" x14ac:dyDescent="0.2">
      <c r="A2" s="1" t="s">
        <v>178</v>
      </c>
      <c r="B2" s="1"/>
    </row>
    <row r="3" spans="1:14" ht="32.25" customHeight="1" x14ac:dyDescent="0.2">
      <c r="A3" s="371" t="s">
        <v>190</v>
      </c>
      <c r="B3" s="371"/>
      <c r="C3" s="371"/>
      <c r="D3" s="371"/>
      <c r="E3" s="371"/>
      <c r="F3" s="371"/>
      <c r="G3" s="371"/>
      <c r="H3" s="84"/>
      <c r="I3" s="84"/>
      <c r="J3" s="84"/>
      <c r="K3" s="84"/>
      <c r="N3" s="137" t="s">
        <v>156</v>
      </c>
    </row>
    <row r="4" spans="1:14" x14ac:dyDescent="0.2">
      <c r="A4" s="127" t="s">
        <v>258</v>
      </c>
      <c r="B4" s="127" t="s">
        <v>19</v>
      </c>
      <c r="C4" s="372" t="s">
        <v>259</v>
      </c>
      <c r="D4" s="373"/>
      <c r="E4" s="373"/>
      <c r="F4" s="373"/>
      <c r="G4" s="374"/>
      <c r="N4" s="141" t="s">
        <v>332</v>
      </c>
    </row>
    <row r="5" spans="1:14" x14ac:dyDescent="0.2">
      <c r="A5" s="90" t="s">
        <v>238</v>
      </c>
      <c r="B5" s="114"/>
      <c r="C5" s="375"/>
      <c r="D5" s="370"/>
      <c r="E5" s="370"/>
      <c r="F5" s="370"/>
      <c r="G5" s="370"/>
      <c r="N5" s="141"/>
    </row>
    <row r="6" spans="1:14" x14ac:dyDescent="0.2">
      <c r="A6" s="90" t="s">
        <v>202</v>
      </c>
      <c r="B6" s="114"/>
      <c r="C6" s="375"/>
      <c r="D6" s="370"/>
      <c r="E6" s="370"/>
      <c r="F6" s="370"/>
      <c r="G6" s="370"/>
      <c r="N6" s="142"/>
    </row>
    <row r="7" spans="1:14" x14ac:dyDescent="0.2">
      <c r="A7" s="90" t="s">
        <v>203</v>
      </c>
      <c r="B7" s="114"/>
      <c r="C7" s="375"/>
      <c r="D7" s="370"/>
      <c r="E7" s="370"/>
      <c r="F7" s="370"/>
      <c r="G7" s="370"/>
      <c r="N7" s="142"/>
    </row>
    <row r="8" spans="1:14" x14ac:dyDescent="0.2">
      <c r="A8" s="114" t="s">
        <v>204</v>
      </c>
      <c r="B8" s="90"/>
      <c r="C8" s="370"/>
      <c r="D8" s="370"/>
      <c r="E8" s="370"/>
      <c r="F8" s="370"/>
      <c r="G8" s="370"/>
      <c r="N8" s="142"/>
    </row>
    <row r="9" spans="1:14" x14ac:dyDescent="0.2">
      <c r="A9" s="114" t="s">
        <v>18</v>
      </c>
      <c r="B9" s="90"/>
      <c r="C9" s="376"/>
      <c r="D9" s="376"/>
      <c r="E9" s="376"/>
      <c r="F9" s="376"/>
      <c r="G9" s="376"/>
      <c r="N9" s="142"/>
    </row>
    <row r="10" spans="1:14" x14ac:dyDescent="0.2">
      <c r="A10" s="90" t="s">
        <v>280</v>
      </c>
      <c r="B10" s="90"/>
      <c r="C10" s="370"/>
      <c r="D10" s="370"/>
      <c r="E10" s="370"/>
      <c r="F10" s="370"/>
      <c r="G10" s="370"/>
      <c r="N10" s="142"/>
    </row>
    <row r="11" spans="1:14" x14ac:dyDescent="0.2">
      <c r="A11" s="13"/>
      <c r="B11" s="2"/>
      <c r="C11"/>
      <c r="N11" s="142"/>
    </row>
    <row r="12" spans="1:14" x14ac:dyDescent="0.2">
      <c r="A12" s="15" t="s">
        <v>110</v>
      </c>
      <c r="B12" s="377" t="s">
        <v>112</v>
      </c>
      <c r="C12" s="378"/>
      <c r="D12" s="379"/>
      <c r="N12" s="141" t="s">
        <v>129</v>
      </c>
    </row>
    <row r="13" spans="1:14" x14ac:dyDescent="0.2">
      <c r="B13" s="380" t="s">
        <v>189</v>
      </c>
      <c r="C13" s="381"/>
      <c r="D13" s="382"/>
    </row>
    <row r="14" spans="1:14" x14ac:dyDescent="0.2">
      <c r="B14" s="364" t="s">
        <v>184</v>
      </c>
      <c r="C14" s="365"/>
      <c r="D14" s="366"/>
      <c r="N14" s="142"/>
    </row>
    <row r="15" spans="1:14" x14ac:dyDescent="0.2">
      <c r="B15" s="367" t="s">
        <v>21</v>
      </c>
      <c r="C15" s="368"/>
      <c r="D15" s="369"/>
      <c r="N15" s="142"/>
    </row>
    <row r="16" spans="1:14" x14ac:dyDescent="0.2">
      <c r="N16" s="142"/>
    </row>
    <row r="17" spans="1:14" ht="32" x14ac:dyDescent="0.2">
      <c r="A17" s="1" t="s">
        <v>253</v>
      </c>
      <c r="B17" s="216" t="s">
        <v>205</v>
      </c>
      <c r="C17" s="216" t="s">
        <v>206</v>
      </c>
      <c r="N17" s="141" t="s">
        <v>130</v>
      </c>
    </row>
    <row r="18" spans="1:14" x14ac:dyDescent="0.2">
      <c r="A18" t="s">
        <v>254</v>
      </c>
      <c r="B18" s="215">
        <v>6</v>
      </c>
      <c r="D18" s="16"/>
      <c r="N18" s="141" t="s">
        <v>132</v>
      </c>
    </row>
    <row r="19" spans="1:14" x14ac:dyDescent="0.2">
      <c r="A19" t="s">
        <v>255</v>
      </c>
      <c r="B19" s="207">
        <v>1063.29</v>
      </c>
      <c r="C19" s="12">
        <f>VLOOKUP(B19,'Mead-Elevation-Area'!$A$5:$B$676,2)/1000000</f>
        <v>8.6522179999999995</v>
      </c>
      <c r="D19" s="129" t="s">
        <v>352</v>
      </c>
      <c r="F19" s="244" t="s">
        <v>208</v>
      </c>
      <c r="N19" s="141" t="s">
        <v>131</v>
      </c>
    </row>
    <row r="20" spans="1:14" x14ac:dyDescent="0.2">
      <c r="A20" s="125" t="str">
        <f>"     Set "&amp;A5</f>
        <v xml:space="preserve">     Set Reclamation - Protect Zone</v>
      </c>
      <c r="B20" s="184"/>
      <c r="C20" s="12">
        <f>VLOOKUP(IF(B20="",895,B20),'Mead-Elevation-Area'!$A$5:$B$689,2)/1000000</f>
        <v>0</v>
      </c>
      <c r="D20" s="10"/>
      <c r="N20" s="141" t="s">
        <v>133</v>
      </c>
    </row>
    <row r="21" spans="1:14" x14ac:dyDescent="0.2">
      <c r="A21" t="s">
        <v>256</v>
      </c>
      <c r="C21" s="12">
        <f>C19-C20</f>
        <v>8.6522179999999995</v>
      </c>
      <c r="D21" s="116"/>
      <c r="E21" s="28"/>
      <c r="F21" s="116"/>
      <c r="N21" s="141" t="s">
        <v>290</v>
      </c>
    </row>
    <row r="22" spans="1:14" x14ac:dyDescent="0.2">
      <c r="A22" t="s">
        <v>257</v>
      </c>
      <c r="C22" s="185">
        <v>3.5339999999999998</v>
      </c>
      <c r="D22" s="111" t="s">
        <v>210</v>
      </c>
      <c r="E22" s="28"/>
      <c r="F22" s="28"/>
      <c r="N22" s="141" t="s">
        <v>289</v>
      </c>
    </row>
    <row r="23" spans="1:14" x14ac:dyDescent="0.2">
      <c r="A23" t="s">
        <v>279</v>
      </c>
      <c r="C23" s="12">
        <f>C21-C22</f>
        <v>5.1182179999999997</v>
      </c>
      <c r="D23" s="111"/>
      <c r="E23" s="28"/>
      <c r="N23" s="141" t="s">
        <v>291</v>
      </c>
    </row>
    <row r="24" spans="1:14" x14ac:dyDescent="0.2">
      <c r="A24" t="s">
        <v>307</v>
      </c>
      <c r="B24" s="94">
        <f>TribalWater!H7</f>
        <v>0.16438105840220965</v>
      </c>
      <c r="C24"/>
      <c r="D24" s="111"/>
      <c r="E24" s="28"/>
      <c r="N24" s="141" t="s">
        <v>333</v>
      </c>
    </row>
    <row r="25" spans="1:14" x14ac:dyDescent="0.2">
      <c r="A25" t="s">
        <v>306</v>
      </c>
      <c r="B25" s="225">
        <f>1-B24</f>
        <v>0.83561894159779038</v>
      </c>
      <c r="C25"/>
      <c r="D25" s="111"/>
      <c r="E25" s="28"/>
      <c r="N25" s="141" t="s">
        <v>334</v>
      </c>
    </row>
    <row r="26" spans="1:14" x14ac:dyDescent="0.2">
      <c r="B26" s="28"/>
      <c r="N26" s="142"/>
    </row>
    <row r="27" spans="1:14" s="1" customFormat="1" x14ac:dyDescent="0.2">
      <c r="A27" s="102" t="s">
        <v>107</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207</v>
      </c>
      <c r="B28" s="1"/>
      <c r="C28" s="97"/>
      <c r="D28" s="97"/>
      <c r="E28" s="97"/>
      <c r="F28" s="97"/>
      <c r="G28" s="97"/>
      <c r="H28" s="97"/>
      <c r="I28" s="97"/>
      <c r="J28" s="97"/>
      <c r="K28" s="97"/>
      <c r="L28" s="97"/>
      <c r="N28" s="141" t="s">
        <v>293</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139</v>
      </c>
    </row>
    <row r="30" spans="1:14" hidden="1" x14ac:dyDescent="0.2">
      <c r="A30" s="1" t="s">
        <v>97</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140</v>
      </c>
    </row>
    <row r="31" spans="1:14" hidden="1" x14ac:dyDescent="0.2">
      <c r="A31" s="1" t="s">
        <v>86</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141</v>
      </c>
    </row>
    <row r="32" spans="1:14" x14ac:dyDescent="0.2">
      <c r="A32" s="1" t="s">
        <v>251</v>
      </c>
      <c r="B32" s="1"/>
      <c r="H32" s="96"/>
      <c r="I32" s="96"/>
      <c r="J32" s="96"/>
      <c r="K32" s="96"/>
      <c r="L32" s="96"/>
      <c r="N32" s="141"/>
    </row>
    <row r="33" spans="1:14" x14ac:dyDescent="0.2">
      <c r="A33" s="1" t="s">
        <v>248</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249</v>
      </c>
      <c r="B34" s="1"/>
      <c r="C34" s="208" t="str">
        <f>IF(C$28&lt;&gt;"",IF(COLUMN(C29)=COLUMN($C29),$B$19,B136),"")</f>
        <v/>
      </c>
      <c r="D34" s="208" t="str">
        <f t="shared" ref="D34:G34" si="3">IF(D$28&lt;&gt;"",IF(COLUMN(D29)=COLUMN($C29),$B$19,C136),"")</f>
        <v/>
      </c>
      <c r="E34" s="208" t="str">
        <f t="shared" si="3"/>
        <v/>
      </c>
      <c r="F34" s="208" t="str">
        <f t="shared" si="3"/>
        <v/>
      </c>
      <c r="G34" s="208" t="str">
        <f t="shared" si="3"/>
        <v/>
      </c>
      <c r="H34" s="96"/>
      <c r="I34" s="96"/>
      <c r="J34" s="96"/>
      <c r="K34" s="96"/>
      <c r="L34" s="96"/>
      <c r="N34" s="141"/>
    </row>
    <row r="35" spans="1:14" x14ac:dyDescent="0.2">
      <c r="A35" s="125" t="s">
        <v>246</v>
      </c>
      <c r="C35"/>
      <c r="H35" s="12" t="str">
        <f>IF(H$28&lt;&gt;"",G135,"")</f>
        <v/>
      </c>
      <c r="I35" s="12" t="str">
        <f t="shared" ref="I35:L35" si="4">IF(I$28&lt;&gt;"",H134,"")</f>
        <v/>
      </c>
      <c r="J35" s="12" t="str">
        <f t="shared" si="4"/>
        <v/>
      </c>
      <c r="K35" s="12" t="str">
        <f t="shared" si="4"/>
        <v/>
      </c>
      <c r="L35" s="12" t="str">
        <f t="shared" si="4"/>
        <v/>
      </c>
      <c r="N35" s="141" t="s">
        <v>142</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108</v>
      </c>
      <c r="C42"/>
      <c r="N42" s="141"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209</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292</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244</v>
      </c>
      <c r="B52" s="204"/>
      <c r="C52" s="205" t="str">
        <f>IF(C28="","",SUM(C28))</f>
        <v/>
      </c>
      <c r="D52" s="205" t="str">
        <f>IF(D28="","",SUM(D28))</f>
        <v/>
      </c>
      <c r="E52" s="205" t="str">
        <f>IF(E28="","",SUM(E28))</f>
        <v/>
      </c>
      <c r="F52" s="205" t="str">
        <f>IF(F28="","",SUM(F28))</f>
        <v/>
      </c>
      <c r="G52" s="20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296</v>
      </c>
    </row>
    <row r="53" spans="1:16" x14ac:dyDescent="0.2">
      <c r="A53" t="str">
        <f>IF(A5="","","    To "&amp;A5)</f>
        <v xml:space="preserve">    To Reclamation - Protect Zone</v>
      </c>
      <c r="B53" s="187" t="s">
        <v>211</v>
      </c>
      <c r="C53" s="279" t="str">
        <f>IF(OR(C$28="",$A55=""),"",C46)</f>
        <v/>
      </c>
      <c r="D53" s="82" t="str">
        <f>IF(OR(D$28="",$A55=""),"",D46)</f>
        <v/>
      </c>
      <c r="E53" s="82" t="str">
        <f t="shared" ref="E53:G53" si="13">IF(OR(E$28="",$A55=""),"",E46)</f>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245</v>
      </c>
      <c r="C54" s="281" t="str">
        <f>IF(OR(C$28="",$A56=""),"",C52-C53)</f>
        <v/>
      </c>
      <c r="D54" s="82" t="str">
        <f>IF(OR(D$28="",$A56=""),"",D52-D53)</f>
        <v/>
      </c>
      <c r="E54" s="82" t="str">
        <f t="shared" ref="E54:G54" si="15">IF(OR(E$28="",$A56=""),"",E52-E53)</f>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203">
        <f>DivideInflow!T12</f>
        <v>0.49593533333333339</v>
      </c>
      <c r="C55" s="280" t="str">
        <f>IF(OR(C$28="",$A55=""),"",($B55*C$54))</f>
        <v/>
      </c>
      <c r="D55" s="280" t="str">
        <f t="shared" ref="D55:G55" si="21">IF(OR(D$28="",$A55=""),"",($B55*D$54))</f>
        <v/>
      </c>
      <c r="E55" s="280" t="str">
        <f t="shared" si="21"/>
        <v/>
      </c>
      <c r="F55" s="280" t="str">
        <f t="shared" si="21"/>
        <v/>
      </c>
      <c r="G55" s="280" t="str">
        <f t="shared" si="21"/>
        <v/>
      </c>
      <c r="H55" s="81"/>
      <c r="I55" s="81"/>
      <c r="J55" s="81"/>
      <c r="K55" s="81"/>
      <c r="L55" s="81"/>
      <c r="M55" s="213" t="e">
        <f>C55/C$54</f>
        <v>#VALUE!</v>
      </c>
      <c r="N55" s="143"/>
      <c r="P55" s="81"/>
    </row>
    <row r="56" spans="1:16" x14ac:dyDescent="0.2">
      <c r="A56" t="str">
        <f>IF(A7="","","       To "&amp;A7)</f>
        <v xml:space="preserve">       To Arizona</v>
      </c>
      <c r="B56" s="203">
        <f>DivideInflow!R12</f>
        <v>0.19965844444444442</v>
      </c>
      <c r="C56" s="280" t="str">
        <f t="shared" ref="C56:G59" si="22">IF(OR(C$28="",$A56=""),"",($B56*C$54))</f>
        <v/>
      </c>
      <c r="D56" s="280" t="str">
        <f t="shared" si="22"/>
        <v/>
      </c>
      <c r="E56" s="280" t="str">
        <f t="shared" si="22"/>
        <v/>
      </c>
      <c r="F56" s="280" t="str">
        <f t="shared" si="22"/>
        <v/>
      </c>
      <c r="G56" s="280" t="str">
        <f t="shared" si="22"/>
        <v/>
      </c>
      <c r="H56" s="82" t="str">
        <f t="shared" ref="H56" si="23">IF(OR(H$28="",$A56=""),"",MIN(H52,H$53-SUM(H57:H60)))</f>
        <v/>
      </c>
      <c r="I56" s="82" t="str">
        <f t="shared" ref="I56" si="24">IF(OR(I$28="",$A56=""),"",MIN(I52,I$53-SUM(I57:I60)))</f>
        <v/>
      </c>
      <c r="J56" s="82" t="str">
        <f t="shared" ref="J56" si="25">IF(OR(J$28="",$A56=""),"",MIN(J52,J$53-SUM(J57:J60)))</f>
        <v/>
      </c>
      <c r="K56" s="82" t="str">
        <f t="shared" ref="K56" si="26">IF(OR(K$28="",$A56=""),"",MIN(K52,K$53-SUM(K57:K60)))</f>
        <v/>
      </c>
      <c r="L56" s="82" t="str">
        <f t="shared" ref="L56" si="27">IF(OR(L$28="",$A56=""),"",MIN(L52,L$53-SUM(L57:L60)))</f>
        <v/>
      </c>
      <c r="M56" s="213" t="e">
        <f>C56/C$54</f>
        <v>#VALUE!</v>
      </c>
      <c r="N56" s="143"/>
    </row>
    <row r="57" spans="1:16" x14ac:dyDescent="0.2">
      <c r="A57" t="str">
        <f>IF(A8="","","       To "&amp;A8)</f>
        <v xml:space="preserve">       To Nevada</v>
      </c>
      <c r="B57" s="203">
        <f>DivideInflow!S8</f>
        <v>3.1940666666666666E-2</v>
      </c>
      <c r="C57" s="280" t="str">
        <f>IF(OR(C$28="",$A57=""),"",($B57*C$54))</f>
        <v/>
      </c>
      <c r="D57" s="280" t="str">
        <f t="shared" si="22"/>
        <v/>
      </c>
      <c r="E57" s="280" t="str">
        <f t="shared" si="22"/>
        <v/>
      </c>
      <c r="F57" s="280" t="str">
        <f t="shared" si="22"/>
        <v/>
      </c>
      <c r="G57" s="280" t="str">
        <f t="shared" si="22"/>
        <v/>
      </c>
      <c r="H57" s="105" t="str">
        <f t="shared" ref="H57" si="28">IF(OR(H$28="",$A57=""),"",MIN($B57,H$53-SUM(H58:H60)))</f>
        <v/>
      </c>
      <c r="I57" s="105" t="str">
        <f t="shared" ref="I57" si="29">IF(OR(I$28="",$A57=""),"",MIN($B57,I$53-SUM(I58:I60)))</f>
        <v/>
      </c>
      <c r="J57" s="105" t="str">
        <f t="shared" ref="J57" si="30">IF(OR(J$28="",$A57=""),"",MIN($B57,J$53-SUM(J58:J60)))</f>
        <v/>
      </c>
      <c r="K57" s="105" t="str">
        <f t="shared" ref="K57" si="31">IF(OR(K$28="",$A57=""),"",MIN($B57,K$53-SUM(K58:K60)))</f>
        <v/>
      </c>
      <c r="L57" s="105" t="str">
        <f t="shared" ref="L57" si="32">IF(OR(L$28="",$A57=""),"",MIN($B57,L$53-SUM(L58:L60)))</f>
        <v/>
      </c>
      <c r="M57" s="213" t="e">
        <f t="shared" ref="M57:M58" si="33">C57/C$54</f>
        <v>#VALUE!</v>
      </c>
      <c r="N57" s="143"/>
    </row>
    <row r="58" spans="1:16" x14ac:dyDescent="0.2">
      <c r="A58" t="str">
        <f>IF(A9="","","       To "&amp;A9)</f>
        <v xml:space="preserve">       To Mexico</v>
      </c>
      <c r="B58" s="203">
        <f>DivideInflow!U8</f>
        <v>0.16666666666666666</v>
      </c>
      <c r="C58" s="280" t="str">
        <f t="shared" si="22"/>
        <v/>
      </c>
      <c r="D58" s="280" t="str">
        <f t="shared" si="22"/>
        <v/>
      </c>
      <c r="E58" s="280" t="str">
        <f t="shared" si="22"/>
        <v/>
      </c>
      <c r="F58" s="280" t="str">
        <f t="shared" si="22"/>
        <v/>
      </c>
      <c r="G58" s="280" t="str">
        <f t="shared" si="22"/>
        <v/>
      </c>
      <c r="H58" s="81" t="str">
        <f t="shared" ref="H58" si="34">IF(OR(H$28="",$A58=""),"",MIN($B58,H$53-SUM(H59:H60)))</f>
        <v/>
      </c>
      <c r="I58" s="81" t="str">
        <f t="shared" ref="I58" si="35">IF(OR(I$28="",$A58=""),"",MIN($B58,I$53-SUM(I59:I60)))</f>
        <v/>
      </c>
      <c r="J58" s="81" t="str">
        <f t="shared" ref="J58" si="36">IF(OR(J$28="",$A58=""),"",MIN($B58,J$53-SUM(J59:J60)))</f>
        <v/>
      </c>
      <c r="K58" s="81" t="str">
        <f t="shared" ref="K58" si="37">IF(OR(K$28="",$A58=""),"",MIN($B58,K$53-SUM(K59:K60)))</f>
        <v/>
      </c>
      <c r="L58" s="81" t="str">
        <f t="shared" ref="L58" si="38">IF(OR(L$28="",$A58=""),"",MIN($B58,L$53-SUM(L59:L60)))</f>
        <v/>
      </c>
      <c r="M58" s="213" t="e">
        <f t="shared" si="33"/>
        <v>#VALUE!</v>
      </c>
      <c r="N58" s="143"/>
    </row>
    <row r="59" spans="1:16" x14ac:dyDescent="0.2">
      <c r="A59" t="str">
        <f>IF(A10="","","       To "&amp;A10)</f>
        <v xml:space="preserve">       To Tribal Nations of the Lower Basin</v>
      </c>
      <c r="B59" s="203">
        <f>IF(A59="","",DivideInflow!V8)</f>
        <v>0.10579888888888889</v>
      </c>
      <c r="C59" s="280" t="str">
        <f t="shared" si="22"/>
        <v/>
      </c>
      <c r="D59" s="280" t="str">
        <f t="shared" si="22"/>
        <v/>
      </c>
      <c r="E59" s="280" t="str">
        <f t="shared" si="22"/>
        <v/>
      </c>
      <c r="F59" s="280" t="str">
        <f t="shared" si="22"/>
        <v/>
      </c>
      <c r="G59" s="280" t="str">
        <f t="shared" si="22"/>
        <v/>
      </c>
      <c r="H59" s="152" t="str">
        <f t="shared" ref="H59:L59" si="39">IF(OR(H$28="",$A59=""),"",IF(H$53&gt;H51,H51,H53))</f>
        <v/>
      </c>
      <c r="I59" s="152" t="str">
        <f t="shared" si="39"/>
        <v/>
      </c>
      <c r="J59" s="152" t="str">
        <f t="shared" si="39"/>
        <v/>
      </c>
      <c r="K59" s="152" t="str">
        <f t="shared" si="39"/>
        <v/>
      </c>
      <c r="L59" s="152" t="str">
        <f t="shared" si="39"/>
        <v/>
      </c>
      <c r="M59" s="213" t="e">
        <f>IF(A59="","",C59/C$54)</f>
        <v>#VALUE!</v>
      </c>
      <c r="N59" s="143"/>
    </row>
    <row r="60" spans="1:16" hidden="1" x14ac:dyDescent="0.2">
      <c r="A60" t="str">
        <f>IF(A31="","","    To "&amp;A31)</f>
        <v xml:space="preserve">    To Havasu / Parker evaporation and ET</v>
      </c>
      <c r="B60" s="151" t="s">
        <v>159</v>
      </c>
      <c r="C60" s="153" t="str">
        <f>IF(OR(C$28="",$A60=""),"",MIN(C31,C52-C59))</f>
        <v/>
      </c>
      <c r="D60" s="153" t="str">
        <f>IF(OR(D$28="",$A60=""),"",MIN(D31,D52-D59))</f>
        <v/>
      </c>
      <c r="E60" s="153" t="str">
        <f>IF(OR(E$28="",$A60=""),"",MIN(E31,E52-E59))</f>
        <v/>
      </c>
      <c r="F60" s="153" t="str">
        <f>IF(OR(F$28="",$A60=""),"",MIN(F31,F52-F59))</f>
        <v/>
      </c>
      <c r="G60" s="153" t="str">
        <f>IF(OR(G$28="",$A60=""),"",MIN(G31,G52-G59))</f>
        <v/>
      </c>
      <c r="H60" s="153" t="str">
        <f t="shared" ref="H60" si="40">IF(OR(H$28="",$A60=""),"",MIN(H31,H53-H59))</f>
        <v/>
      </c>
      <c r="I60" s="153" t="str">
        <f t="shared" ref="I60" si="41">IF(OR(I$28="",$A60=""),"",MIN(I31,I53-I59))</f>
        <v/>
      </c>
      <c r="J60" s="153" t="str">
        <f t="shared" ref="J60" si="42">IF(OR(J$28="",$A60=""),"",MIN(J31,J53-J59))</f>
        <v/>
      </c>
      <c r="K60" s="153" t="str">
        <f t="shared" ref="K60" si="43">IF(OR(K$28="",$A60=""),"",MIN(K31,K53-K59))</f>
        <v/>
      </c>
      <c r="L60" s="153" t="str">
        <f t="shared" ref="L60" si="44">IF(OR(L$28="",$A60=""),"",MIN(L31,L53-L59))</f>
        <v/>
      </c>
      <c r="M60" s="213" t="e">
        <f t="shared" ref="M60" si="45">F60/F$54</f>
        <v>#VALUE!</v>
      </c>
      <c r="N60" s="143"/>
    </row>
    <row r="61" spans="1:16" x14ac:dyDescent="0.2">
      <c r="B61" s="19"/>
      <c r="C61" s="18"/>
      <c r="D61" s="18"/>
      <c r="E61" s="18"/>
      <c r="F61" s="116"/>
      <c r="G61" s="28"/>
      <c r="N61" s="142"/>
    </row>
    <row r="62" spans="1:16" x14ac:dyDescent="0.2">
      <c r="A62" s="101" t="s">
        <v>187</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146</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147</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148</v>
      </c>
    </row>
    <row r="66" spans="1:14" x14ac:dyDescent="0.2">
      <c r="A66" t="str">
        <f>IF(A65="","","   Net trade volume all participants (should be zero)")</f>
        <v xml:space="preserve">   Net trade volume all participants (should be zero)</v>
      </c>
      <c r="C66" s="44" t="str">
        <f t="shared" ref="C66:M66" si="46">IF(OR(C$28="",$A66=""),"",C$119)</f>
        <v/>
      </c>
      <c r="D66" s="44" t="str">
        <f t="shared" si="46"/>
        <v/>
      </c>
      <c r="E66" s="44" t="str">
        <f t="shared" si="46"/>
        <v/>
      </c>
      <c r="F66" s="44" t="str">
        <f t="shared" si="46"/>
        <v/>
      </c>
      <c r="G66" s="44" t="str">
        <f t="shared" si="46"/>
        <v/>
      </c>
      <c r="H66" s="44" t="str">
        <f t="shared" si="46"/>
        <v/>
      </c>
      <c r="I66" s="44" t="str">
        <f t="shared" si="46"/>
        <v/>
      </c>
      <c r="J66" s="44" t="str">
        <f t="shared" si="46"/>
        <v/>
      </c>
      <c r="K66" s="44" t="str">
        <f t="shared" si="46"/>
        <v/>
      </c>
      <c r="L66" s="44" t="str">
        <f t="shared" si="46"/>
        <v/>
      </c>
      <c r="M66" t="str">
        <f t="shared" si="46"/>
        <v/>
      </c>
      <c r="N66" s="141" t="s">
        <v>149</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7">IF(OR(H$28="",$A67=""),"",H36+H54-H46+H64)</f>
        <v/>
      </c>
      <c r="I67" s="12" t="str">
        <f t="shared" si="47"/>
        <v/>
      </c>
      <c r="J67" s="12" t="str">
        <f t="shared" si="47"/>
        <v/>
      </c>
      <c r="K67" s="12" t="str">
        <f t="shared" si="47"/>
        <v/>
      </c>
      <c r="L67" s="12" t="str">
        <f t="shared" si="47"/>
        <v/>
      </c>
      <c r="N67" s="141" t="s">
        <v>150</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155</v>
      </c>
    </row>
    <row r="69" spans="1:14" x14ac:dyDescent="0.2">
      <c r="A69" t="str">
        <f>IF(A68="","","   End of Year Balance [maf]")</f>
        <v xml:space="preserve">   End of Year Balance [maf]</v>
      </c>
      <c r="C69" s="12" t="str">
        <f>IF(OR(C$28="",$A69=""),"",C67-C68)</f>
        <v/>
      </c>
      <c r="D69" s="12" t="str">
        <f t="shared" ref="D69:L69" si="48">IF(OR(D$28="",$A69=""),"",D67-D68)</f>
        <v/>
      </c>
      <c r="E69" s="12" t="str">
        <f t="shared" si="48"/>
        <v/>
      </c>
      <c r="F69" s="12" t="str">
        <f t="shared" si="48"/>
        <v/>
      </c>
      <c r="G69" s="12" t="str">
        <f t="shared" si="48"/>
        <v/>
      </c>
      <c r="H69" s="12" t="str">
        <f t="shared" si="48"/>
        <v/>
      </c>
      <c r="I69" s="12" t="str">
        <f t="shared" si="48"/>
        <v/>
      </c>
      <c r="J69" s="12" t="str">
        <f t="shared" si="48"/>
        <v/>
      </c>
      <c r="K69" s="12" t="str">
        <f t="shared" si="48"/>
        <v/>
      </c>
      <c r="L69" s="12" t="str">
        <f t="shared" si="48"/>
        <v/>
      </c>
      <c r="N69" s="141" t="s">
        <v>151</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146</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147</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148</v>
      </c>
    </row>
    <row r="74" spans="1:14" x14ac:dyDescent="0.2">
      <c r="A74" s="131" t="str">
        <f>IF(A73="","",$A$66)</f>
        <v xml:space="preserve">   Net trade volume all participants (should be zero)</v>
      </c>
      <c r="C74" s="44" t="str">
        <f t="shared" ref="C74:M74" si="49">IF(OR(C$28="",$A74=""),"",C$119)</f>
        <v/>
      </c>
      <c r="D74" s="44" t="str">
        <f t="shared" si="49"/>
        <v/>
      </c>
      <c r="E74" s="44" t="str">
        <f t="shared" si="49"/>
        <v/>
      </c>
      <c r="F74" s="44" t="str">
        <f t="shared" si="49"/>
        <v/>
      </c>
      <c r="G74" s="44" t="str">
        <f t="shared" si="49"/>
        <v/>
      </c>
      <c r="H74" s="44" t="str">
        <f t="shared" si="49"/>
        <v/>
      </c>
      <c r="I74" s="44" t="str">
        <f t="shared" si="49"/>
        <v/>
      </c>
      <c r="J74" s="44" t="str">
        <f t="shared" si="49"/>
        <v/>
      </c>
      <c r="K74" s="44" t="str">
        <f t="shared" si="49"/>
        <v/>
      </c>
      <c r="L74" s="44" t="str">
        <f t="shared" si="49"/>
        <v/>
      </c>
      <c r="M74" t="str">
        <f t="shared" si="49"/>
        <v/>
      </c>
      <c r="N74" s="141" t="s">
        <v>149</v>
      </c>
    </row>
    <row r="75" spans="1:14" x14ac:dyDescent="0.2">
      <c r="A75" s="1" t="str">
        <f>IF(A73="","","   Available Water [maf]")</f>
        <v xml:space="preserve">   Available Water [maf]</v>
      </c>
      <c r="C75" s="12" t="str">
        <f>IF(OR(C$28="",$A75=""),"",C37+C55-C47+C72)</f>
        <v/>
      </c>
      <c r="D75" s="12" t="str">
        <f>IF(OR(D$28="",$A75=""),"",D37+D55-D47+D72)</f>
        <v/>
      </c>
      <c r="E75" s="12" t="str">
        <f t="shared" ref="E75:L75" si="50">IF(OR(E$28="",$A75=""),"",E37+E55-E47+E72)</f>
        <v/>
      </c>
      <c r="F75" s="12" t="str">
        <f t="shared" si="50"/>
        <v/>
      </c>
      <c r="G75" s="12" t="str">
        <f t="shared" si="50"/>
        <v/>
      </c>
      <c r="H75" s="12" t="str">
        <f t="shared" si="50"/>
        <v/>
      </c>
      <c r="I75" s="12" t="str">
        <f t="shared" si="50"/>
        <v/>
      </c>
      <c r="J75" s="12" t="str">
        <f t="shared" si="50"/>
        <v/>
      </c>
      <c r="K75" s="12" t="str">
        <f t="shared" si="50"/>
        <v/>
      </c>
      <c r="L75" s="12" t="str">
        <f t="shared" si="50"/>
        <v/>
      </c>
      <c r="N75" s="141" t="s">
        <v>150</v>
      </c>
    </row>
    <row r="76" spans="1:14" x14ac:dyDescent="0.2">
      <c r="A76" s="125" t="str">
        <f>IF(A75="","",$A$68)</f>
        <v xml:space="preserve">   Enter withdraw [maf] within available water</v>
      </c>
      <c r="C76" s="93"/>
      <c r="D76" s="93"/>
      <c r="E76" s="93"/>
      <c r="F76" s="93"/>
      <c r="G76" s="93"/>
      <c r="H76" s="93"/>
      <c r="I76" s="93"/>
      <c r="J76" s="93"/>
      <c r="K76" s="93"/>
      <c r="L76" s="93"/>
      <c r="N76" s="141" t="s">
        <v>155</v>
      </c>
    </row>
    <row r="77" spans="1:14" x14ac:dyDescent="0.2">
      <c r="A77" t="str">
        <f>IF(A76="","","   End of Year Balance [maf]")</f>
        <v xml:space="preserve">   End of Year Balance [maf]</v>
      </c>
      <c r="C77" s="12" t="str">
        <f>IF(OR(C$28="",$A77=""),"",C75-C76)</f>
        <v/>
      </c>
      <c r="D77" s="12" t="str">
        <f t="shared" ref="D77:L77" si="51">IF(OR(D$28="",$A77=""),"",D75-D76)</f>
        <v/>
      </c>
      <c r="E77" s="12" t="str">
        <f t="shared" si="51"/>
        <v/>
      </c>
      <c r="F77" s="12" t="str">
        <f t="shared" si="51"/>
        <v/>
      </c>
      <c r="G77" s="12" t="str">
        <f t="shared" si="51"/>
        <v/>
      </c>
      <c r="H77" s="12" t="str">
        <f t="shared" si="51"/>
        <v/>
      </c>
      <c r="I77" s="12" t="str">
        <f t="shared" si="51"/>
        <v/>
      </c>
      <c r="J77" s="12" t="str">
        <f t="shared" si="51"/>
        <v/>
      </c>
      <c r="K77" s="12" t="str">
        <f t="shared" si="51"/>
        <v/>
      </c>
      <c r="L77" s="12" t="str">
        <f t="shared" si="51"/>
        <v/>
      </c>
      <c r="N77" s="141" t="s">
        <v>151</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146</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147</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148</v>
      </c>
    </row>
    <row r="82" spans="1:14" x14ac:dyDescent="0.2">
      <c r="A82" s="131" t="str">
        <f>IF(A81="","",$A$66)</f>
        <v xml:space="preserve">   Net trade volume all participants (should be zero)</v>
      </c>
      <c r="C82" s="44" t="str">
        <f t="shared" ref="C82:M82" si="52">IF(OR(C$28="",$A82=""),"",C$119)</f>
        <v/>
      </c>
      <c r="D82" s="44" t="str">
        <f t="shared" si="52"/>
        <v/>
      </c>
      <c r="E82" s="44" t="str">
        <f t="shared" si="52"/>
        <v/>
      </c>
      <c r="F82" s="44" t="str">
        <f t="shared" si="52"/>
        <v/>
      </c>
      <c r="G82" s="44" t="str">
        <f t="shared" si="52"/>
        <v/>
      </c>
      <c r="H82" s="44" t="str">
        <f t="shared" si="52"/>
        <v/>
      </c>
      <c r="I82" s="44" t="str">
        <f t="shared" si="52"/>
        <v/>
      </c>
      <c r="J82" s="44" t="str">
        <f t="shared" si="52"/>
        <v/>
      </c>
      <c r="K82" s="44" t="str">
        <f t="shared" si="52"/>
        <v/>
      </c>
      <c r="L82" s="44" t="str">
        <f t="shared" si="52"/>
        <v/>
      </c>
      <c r="M82" t="str">
        <f t="shared" si="52"/>
        <v/>
      </c>
      <c r="N82" s="141" t="s">
        <v>149</v>
      </c>
    </row>
    <row r="83" spans="1:14" x14ac:dyDescent="0.2">
      <c r="A83" s="1" t="str">
        <f>IF(A81="","","   Available Water [maf]")</f>
        <v xml:space="preserve">   Available Water [maf]</v>
      </c>
      <c r="C83" s="12" t="str">
        <f>IF(OR(C$28="",$A83=""),"",C38+C56-C48+C80)</f>
        <v/>
      </c>
      <c r="D83" s="12" t="str">
        <f t="shared" ref="D83:L83" si="53">IF(OR(D$28="",$A83=""),"",D38+D56-D48+D80)</f>
        <v/>
      </c>
      <c r="E83" s="12" t="str">
        <f t="shared" si="53"/>
        <v/>
      </c>
      <c r="F83" s="12" t="str">
        <f t="shared" si="53"/>
        <v/>
      </c>
      <c r="G83" s="12" t="str">
        <f t="shared" si="53"/>
        <v/>
      </c>
      <c r="H83" s="12" t="str">
        <f t="shared" si="53"/>
        <v/>
      </c>
      <c r="I83" s="12" t="str">
        <f t="shared" si="53"/>
        <v/>
      </c>
      <c r="J83" s="12" t="str">
        <f t="shared" si="53"/>
        <v/>
      </c>
      <c r="K83" s="12" t="str">
        <f t="shared" si="53"/>
        <v/>
      </c>
      <c r="L83" s="12" t="str">
        <f t="shared" si="53"/>
        <v/>
      </c>
      <c r="N83" s="141" t="s">
        <v>150</v>
      </c>
    </row>
    <row r="84" spans="1:14" x14ac:dyDescent="0.2">
      <c r="A84" s="125" t="str">
        <f>IF(A83="","",$A$68)</f>
        <v xml:space="preserve">   Enter withdraw [maf] within available water</v>
      </c>
      <c r="C84" s="93"/>
      <c r="D84" s="93"/>
      <c r="E84" s="93"/>
      <c r="F84" s="93"/>
      <c r="G84" s="93"/>
      <c r="H84" s="93"/>
      <c r="I84" s="93"/>
      <c r="J84" s="93"/>
      <c r="K84" s="93"/>
      <c r="L84" s="93"/>
      <c r="N84" s="141" t="s">
        <v>155</v>
      </c>
    </row>
    <row r="85" spans="1:14" x14ac:dyDescent="0.2">
      <c r="A85" t="str">
        <f>IF(A84="","","   End of Year Balance [maf]")</f>
        <v xml:space="preserve">   End of Year Balance [maf]</v>
      </c>
      <c r="C85" s="12" t="str">
        <f>IF(OR(C$28="",$A85=""),"",C83-C84)</f>
        <v/>
      </c>
      <c r="D85" s="12" t="str">
        <f t="shared" ref="D85:L85" si="54">IF(OR(D$28="",$A85=""),"",D83-D84)</f>
        <v/>
      </c>
      <c r="E85" s="12" t="str">
        <f t="shared" si="54"/>
        <v/>
      </c>
      <c r="F85" s="12" t="str">
        <f t="shared" si="54"/>
        <v/>
      </c>
      <c r="G85" s="12" t="str">
        <f t="shared" si="54"/>
        <v/>
      </c>
      <c r="H85" s="12" t="str">
        <f t="shared" si="54"/>
        <v/>
      </c>
      <c r="I85" s="12" t="str">
        <f t="shared" si="54"/>
        <v/>
      </c>
      <c r="J85" s="12" t="str">
        <f t="shared" si="54"/>
        <v/>
      </c>
      <c r="K85" s="12" t="str">
        <f t="shared" si="54"/>
        <v/>
      </c>
      <c r="L85" s="12" t="str">
        <f t="shared" si="54"/>
        <v/>
      </c>
      <c r="N85" s="141" t="s">
        <v>151</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146</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147</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148</v>
      </c>
    </row>
    <row r="90" spans="1:14" x14ac:dyDescent="0.2">
      <c r="A90" s="131" t="str">
        <f>IF(A89="","",$A$66)</f>
        <v xml:space="preserve">   Net trade volume all participants (should be zero)</v>
      </c>
      <c r="C90" s="44" t="str">
        <f t="shared" ref="C90:M90" si="55">IF(OR(C$28="",$A90=""),"",C$119)</f>
        <v/>
      </c>
      <c r="D90" s="44" t="str">
        <f t="shared" si="55"/>
        <v/>
      </c>
      <c r="E90" s="44" t="str">
        <f t="shared" si="55"/>
        <v/>
      </c>
      <c r="F90" s="44" t="str">
        <f t="shared" si="55"/>
        <v/>
      </c>
      <c r="G90" s="44" t="str">
        <f t="shared" si="55"/>
        <v/>
      </c>
      <c r="H90" s="44" t="str">
        <f t="shared" si="55"/>
        <v/>
      </c>
      <c r="I90" s="44" t="str">
        <f t="shared" si="55"/>
        <v/>
      </c>
      <c r="J90" s="44" t="str">
        <f t="shared" si="55"/>
        <v/>
      </c>
      <c r="K90" s="44" t="str">
        <f t="shared" si="55"/>
        <v/>
      </c>
      <c r="L90" s="44" t="str">
        <f t="shared" si="55"/>
        <v/>
      </c>
      <c r="M90" t="str">
        <f t="shared" si="55"/>
        <v/>
      </c>
      <c r="N90" s="141" t="s">
        <v>149</v>
      </c>
    </row>
    <row r="91" spans="1:14" x14ac:dyDescent="0.2">
      <c r="A91" s="1" t="str">
        <f>IF(A89="","","   Available Water [maf]")</f>
        <v xml:space="preserve">   Available Water [maf]</v>
      </c>
      <c r="C91" s="12" t="str">
        <f>IF(OR(C$28="",$A91=""),"",C39+C57-C49+C88)</f>
        <v/>
      </c>
      <c r="D91" s="12" t="str">
        <f t="shared" ref="D91:L91" si="56">IF(OR(D$28="",$A91=""),"",D39+D57-D49+D88)</f>
        <v/>
      </c>
      <c r="E91" s="12" t="str">
        <f t="shared" si="56"/>
        <v/>
      </c>
      <c r="F91" s="12" t="str">
        <f t="shared" si="56"/>
        <v/>
      </c>
      <c r="G91" s="12" t="str">
        <f t="shared" si="56"/>
        <v/>
      </c>
      <c r="H91" s="117" t="str">
        <f t="shared" si="56"/>
        <v/>
      </c>
      <c r="I91" s="117" t="str">
        <f t="shared" si="56"/>
        <v/>
      </c>
      <c r="J91" s="117" t="str">
        <f t="shared" si="56"/>
        <v/>
      </c>
      <c r="K91" s="117" t="str">
        <f t="shared" si="56"/>
        <v/>
      </c>
      <c r="L91" s="117" t="str">
        <f t="shared" si="56"/>
        <v/>
      </c>
      <c r="N91" s="141" t="s">
        <v>150</v>
      </c>
    </row>
    <row r="92" spans="1:14" x14ac:dyDescent="0.2">
      <c r="A92" s="125" t="str">
        <f>IF(A91="","",$A$68)</f>
        <v xml:space="preserve">   Enter withdraw [maf] within available water</v>
      </c>
      <c r="C92" s="93"/>
      <c r="D92" s="93"/>
      <c r="E92" s="93"/>
      <c r="F92" s="93"/>
      <c r="G92" s="93"/>
      <c r="H92" s="118"/>
      <c r="I92" s="118"/>
      <c r="J92" s="118"/>
      <c r="K92" s="118"/>
      <c r="L92" s="118"/>
      <c r="N92" s="141" t="s">
        <v>155</v>
      </c>
    </row>
    <row r="93" spans="1:14" x14ac:dyDescent="0.2">
      <c r="A93" t="str">
        <f>IF(A92="","","   End of Year Balance [maf]")</f>
        <v xml:space="preserve">   End of Year Balance [maf]</v>
      </c>
      <c r="C93" s="12" t="str">
        <f>IF(OR(C$28="",$A93=""),"",C91-C92)</f>
        <v/>
      </c>
      <c r="D93" s="12" t="str">
        <f t="shared" ref="D93:L93" si="57">IF(OR(D$28="",$A93=""),"",D91-D92)</f>
        <v/>
      </c>
      <c r="E93" s="12" t="str">
        <f t="shared" si="57"/>
        <v/>
      </c>
      <c r="F93" s="12" t="str">
        <f t="shared" si="57"/>
        <v/>
      </c>
      <c r="G93" s="12" t="str">
        <f t="shared" si="57"/>
        <v/>
      </c>
      <c r="H93" s="12" t="str">
        <f t="shared" si="57"/>
        <v/>
      </c>
      <c r="I93" s="12" t="str">
        <f t="shared" si="57"/>
        <v/>
      </c>
      <c r="J93" s="12" t="str">
        <f t="shared" si="57"/>
        <v/>
      </c>
      <c r="K93" s="12" t="str">
        <f t="shared" si="57"/>
        <v/>
      </c>
      <c r="L93" s="12" t="str">
        <f t="shared" si="57"/>
        <v/>
      </c>
      <c r="N93" s="141" t="s">
        <v>151</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146</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147</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148</v>
      </c>
    </row>
    <row r="98" spans="1:14" x14ac:dyDescent="0.2">
      <c r="A98" s="131" t="str">
        <f>IF(A97="","",$A$66)</f>
        <v xml:space="preserve">   Net trade volume all participants (should be zero)</v>
      </c>
      <c r="C98" s="44" t="str">
        <f t="shared" ref="C98:M98" si="58">IF(OR(C$28="",$A98=""),"",C$119)</f>
        <v/>
      </c>
      <c r="D98" s="44" t="str">
        <f t="shared" si="58"/>
        <v/>
      </c>
      <c r="E98" s="44" t="str">
        <f t="shared" si="58"/>
        <v/>
      </c>
      <c r="F98" s="44" t="str">
        <f t="shared" si="58"/>
        <v/>
      </c>
      <c r="G98" s="44" t="str">
        <f t="shared" si="58"/>
        <v/>
      </c>
      <c r="H98" s="44" t="str">
        <f t="shared" si="58"/>
        <v/>
      </c>
      <c r="I98" s="44" t="str">
        <f t="shared" si="58"/>
        <v/>
      </c>
      <c r="J98" s="44" t="str">
        <f t="shared" si="58"/>
        <v/>
      </c>
      <c r="K98" s="44" t="str">
        <f t="shared" si="58"/>
        <v/>
      </c>
      <c r="L98" s="44" t="str">
        <f t="shared" si="58"/>
        <v/>
      </c>
      <c r="M98" t="str">
        <f t="shared" si="58"/>
        <v/>
      </c>
      <c r="N98" s="141" t="s">
        <v>149</v>
      </c>
    </row>
    <row r="99" spans="1:14" x14ac:dyDescent="0.2">
      <c r="A99" s="1" t="str">
        <f>IF(A97="","","   Available Water [maf]")</f>
        <v xml:space="preserve">   Available Water [maf]</v>
      </c>
      <c r="C99" s="12" t="str">
        <f>IF(OR(C$28="",$A99=""),"",C40+C58-C50+C96)</f>
        <v/>
      </c>
      <c r="D99" s="12" t="str">
        <f t="shared" ref="D99:L99" si="59">IF(OR(D$28="",$A99=""),"",D40+D58-D50+D96)</f>
        <v/>
      </c>
      <c r="E99" s="12" t="str">
        <f t="shared" si="59"/>
        <v/>
      </c>
      <c r="F99" s="12" t="str">
        <f t="shared" si="59"/>
        <v/>
      </c>
      <c r="G99" s="12" t="str">
        <f t="shared" si="59"/>
        <v/>
      </c>
      <c r="H99" s="12" t="str">
        <f t="shared" si="59"/>
        <v/>
      </c>
      <c r="I99" s="12" t="str">
        <f t="shared" si="59"/>
        <v/>
      </c>
      <c r="J99" s="12" t="str">
        <f t="shared" si="59"/>
        <v/>
      </c>
      <c r="K99" s="12" t="str">
        <f t="shared" si="59"/>
        <v/>
      </c>
      <c r="L99" s="12" t="str">
        <f t="shared" si="59"/>
        <v/>
      </c>
      <c r="N99" s="141" t="s">
        <v>150</v>
      </c>
    </row>
    <row r="100" spans="1:14" x14ac:dyDescent="0.2">
      <c r="A100" s="125" t="str">
        <f>IF(A99="","",$A$68)</f>
        <v xml:space="preserve">   Enter withdraw [maf] within available water</v>
      </c>
      <c r="C100" s="93"/>
      <c r="D100" s="93"/>
      <c r="E100" s="93"/>
      <c r="F100" s="93"/>
      <c r="G100" s="93"/>
      <c r="H100" s="93"/>
      <c r="I100" s="93"/>
      <c r="J100" s="93"/>
      <c r="K100" s="93"/>
      <c r="L100" s="93"/>
      <c r="N100" s="141" t="s">
        <v>155</v>
      </c>
    </row>
    <row r="101" spans="1:14" x14ac:dyDescent="0.2">
      <c r="A101" t="str">
        <f>IF(A100="","","   End of Year Balance [maf]")</f>
        <v xml:space="preserve">   End of Year Balance [maf]</v>
      </c>
      <c r="C101" s="12" t="str">
        <f>IF(OR(C$28="",$A101=""),"",C99-C100)</f>
        <v/>
      </c>
      <c r="D101" s="12" t="str">
        <f t="shared" ref="D101:L101" si="60">IF(OR(D$28="",$A101=""),"",D99-D100)</f>
        <v/>
      </c>
      <c r="E101" s="12" t="str">
        <f t="shared" si="60"/>
        <v/>
      </c>
      <c r="F101" s="12" t="str">
        <f t="shared" si="60"/>
        <v/>
      </c>
      <c r="G101" s="12" t="str">
        <f t="shared" si="60"/>
        <v/>
      </c>
      <c r="H101" s="12" t="str">
        <f t="shared" si="60"/>
        <v/>
      </c>
      <c r="I101" s="12" t="str">
        <f t="shared" si="60"/>
        <v/>
      </c>
      <c r="J101" s="12" t="str">
        <f t="shared" si="60"/>
        <v/>
      </c>
      <c r="K101" s="12" t="str">
        <f t="shared" si="60"/>
        <v/>
      </c>
      <c r="L101" s="12" t="str">
        <f t="shared" si="60"/>
        <v/>
      </c>
      <c r="N101" s="141" t="s">
        <v>151</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146</v>
      </c>
    </row>
    <row r="104" spans="1:14" x14ac:dyDescent="0.2">
      <c r="A104" s="126" t="str">
        <f>IF(A103="[Unused]","",$A$64)</f>
        <v xml:space="preserve">   Enter volume to Buy(+) or Sell(-) [maf]</v>
      </c>
      <c r="C104" s="210"/>
      <c r="D104" s="210"/>
      <c r="E104" s="210"/>
      <c r="F104" s="210"/>
      <c r="G104" s="210"/>
      <c r="H104" s="17"/>
      <c r="I104" s="17"/>
      <c r="J104" s="17"/>
      <c r="K104" s="17"/>
      <c r="L104" s="17"/>
      <c r="M104" s="44">
        <f>SUM(C104:L104)</f>
        <v>0</v>
      </c>
      <c r="N104" s="144" t="s">
        <v>147</v>
      </c>
    </row>
    <row r="105" spans="1:14" x14ac:dyDescent="0.2">
      <c r="A105" s="126" t="str">
        <f>IF(A104="","",$A$65)</f>
        <v xml:space="preserve">   Enter compensation to Buy(-) or Sell(+) [$ Mill]</v>
      </c>
      <c r="C105" s="211"/>
      <c r="D105" s="211"/>
      <c r="E105" s="211"/>
      <c r="F105" s="211"/>
      <c r="G105" s="211"/>
      <c r="H105" s="112"/>
      <c r="I105" s="112"/>
      <c r="J105" s="112"/>
      <c r="K105" s="112"/>
      <c r="L105" s="112"/>
      <c r="M105" s="43">
        <f>SUM(C105:L105)</f>
        <v>0</v>
      </c>
      <c r="N105" s="145" t="s">
        <v>148</v>
      </c>
    </row>
    <row r="106" spans="1:14" x14ac:dyDescent="0.2">
      <c r="A106" s="131" t="str">
        <f>IF(A105="","",$A$66)</f>
        <v xml:space="preserve">   Net trade volume all participants (should be zero)</v>
      </c>
      <c r="C106" s="44" t="str">
        <f t="shared" ref="C106:M106" si="61">IF(OR(C$28="",$A106=""),"",C$119)</f>
        <v/>
      </c>
      <c r="D106" s="44" t="str">
        <f t="shared" si="61"/>
        <v/>
      </c>
      <c r="E106" s="44" t="str">
        <f t="shared" si="61"/>
        <v/>
      </c>
      <c r="F106" s="44" t="str">
        <f t="shared" si="61"/>
        <v/>
      </c>
      <c r="G106" s="44" t="str">
        <f t="shared" si="61"/>
        <v/>
      </c>
      <c r="H106" s="44" t="str">
        <f t="shared" si="61"/>
        <v/>
      </c>
      <c r="I106" s="44" t="str">
        <f t="shared" si="61"/>
        <v/>
      </c>
      <c r="J106" s="44" t="str">
        <f t="shared" si="61"/>
        <v/>
      </c>
      <c r="K106" s="44" t="str">
        <f t="shared" si="61"/>
        <v/>
      </c>
      <c r="L106" s="44" t="str">
        <f t="shared" si="61"/>
        <v/>
      </c>
      <c r="M106" t="str">
        <f t="shared" si="61"/>
        <v/>
      </c>
      <c r="N106" s="141" t="s">
        <v>149</v>
      </c>
    </row>
    <row r="107" spans="1:14" x14ac:dyDescent="0.2">
      <c r="A107" s="1" t="str">
        <f>IF(A105="","","   Available Water [maf]")</f>
        <v xml:space="preserve">   Available Water [maf]</v>
      </c>
      <c r="C107" s="12" t="str">
        <f>IF(OR(C$28="",$A107=""),"",C41+C59-C51+C104)</f>
        <v/>
      </c>
      <c r="D107" s="12" t="str">
        <f t="shared" ref="D107:L107" si="62">IF(OR(D$28="",$A107=""),"",D41+D59-D51+D104)</f>
        <v/>
      </c>
      <c r="E107" s="12" t="str">
        <f t="shared" si="62"/>
        <v/>
      </c>
      <c r="F107" s="12" t="str">
        <f t="shared" si="62"/>
        <v/>
      </c>
      <c r="G107" s="12" t="str">
        <f t="shared" si="62"/>
        <v/>
      </c>
      <c r="H107" s="12" t="str">
        <f t="shared" si="62"/>
        <v/>
      </c>
      <c r="I107" s="12" t="str">
        <f t="shared" si="62"/>
        <v/>
      </c>
      <c r="J107" s="12" t="str">
        <f t="shared" si="62"/>
        <v/>
      </c>
      <c r="K107" s="12" t="str">
        <f t="shared" si="62"/>
        <v/>
      </c>
      <c r="L107" s="12" t="str">
        <f t="shared" si="62"/>
        <v/>
      </c>
      <c r="N107" s="141" t="s">
        <v>150</v>
      </c>
    </row>
    <row r="108" spans="1:14" x14ac:dyDescent="0.2">
      <c r="A108" s="125" t="str">
        <f>IF(A107="","",$A$68)</f>
        <v xml:space="preserve">   Enter withdraw [maf] within available water</v>
      </c>
      <c r="C108" s="212"/>
      <c r="D108" s="212"/>
      <c r="E108" s="212"/>
      <c r="F108" s="212"/>
      <c r="G108" s="212"/>
      <c r="H108" s="27"/>
      <c r="I108" s="27"/>
      <c r="J108" s="27"/>
      <c r="K108" s="27"/>
      <c r="L108" s="27"/>
      <c r="N108" s="141" t="s">
        <v>155</v>
      </c>
    </row>
    <row r="109" spans="1:14" x14ac:dyDescent="0.2">
      <c r="A109" t="str">
        <f>IF(A108="","","   End of Year Balance [maf]")</f>
        <v xml:space="preserve">   End of Year Balance [maf]</v>
      </c>
      <c r="C109" s="12" t="str">
        <f>IF(OR(C$28="",$A109=""),"",C107-C108)</f>
        <v/>
      </c>
      <c r="D109" s="12" t="str">
        <f t="shared" ref="D109:L109" si="63">IF(OR(D$28="",$A109=""),"",D107-D108)</f>
        <v/>
      </c>
      <c r="E109" s="12" t="str">
        <f t="shared" si="63"/>
        <v/>
      </c>
      <c r="F109" s="12" t="str">
        <f t="shared" si="63"/>
        <v/>
      </c>
      <c r="G109" s="12" t="str">
        <f t="shared" si="63"/>
        <v/>
      </c>
      <c r="H109" s="12" t="str">
        <f t="shared" si="63"/>
        <v/>
      </c>
      <c r="I109" s="12" t="str">
        <f t="shared" si="63"/>
        <v/>
      </c>
      <c r="J109" s="12" t="str">
        <f t="shared" si="63"/>
        <v/>
      </c>
      <c r="K109" s="12" t="str">
        <f t="shared" si="63"/>
        <v/>
      </c>
      <c r="L109" s="12" t="str">
        <f t="shared" si="63"/>
        <v/>
      </c>
      <c r="N109" s="141" t="s">
        <v>151</v>
      </c>
    </row>
    <row r="110" spans="1:14" x14ac:dyDescent="0.2">
      <c r="C110"/>
      <c r="N110" s="142"/>
    </row>
    <row r="111" spans="1:14" x14ac:dyDescent="0.2">
      <c r="A111" s="101" t="s">
        <v>188</v>
      </c>
      <c r="B111" s="101"/>
      <c r="C111" s="101"/>
      <c r="D111" s="101"/>
      <c r="E111" s="101"/>
      <c r="F111" s="101"/>
      <c r="G111" s="101"/>
      <c r="H111" s="101"/>
      <c r="I111" s="101"/>
      <c r="J111" s="101"/>
      <c r="K111" s="101"/>
      <c r="L111" s="101"/>
      <c r="M111" s="101"/>
      <c r="N111" s="141" t="s">
        <v>152</v>
      </c>
    </row>
    <row r="112" spans="1:14" x14ac:dyDescent="0.2">
      <c r="A112" s="1" t="s">
        <v>102</v>
      </c>
      <c r="C112"/>
      <c r="M112" t="s">
        <v>49</v>
      </c>
      <c r="N112" s="142"/>
    </row>
    <row r="113" spans="1:14" x14ac:dyDescent="0.2">
      <c r="A113" t="str">
        <f t="shared" ref="A113:A118" si="64">IF(A5="","","    "&amp;A5)</f>
        <v xml:space="preserve">    Reclamation - Protect Zone</v>
      </c>
      <c r="B113" s="1"/>
      <c r="C113" s="44" t="str">
        <f t="shared" ref="C113:L113" ca="1" si="65">IF(OR(C$28="",$A113=""),"",OFFSET(C$64,8*(ROW(B113)-ROW(B$113)),0))</f>
        <v/>
      </c>
      <c r="D113" s="44" t="str">
        <f t="shared" ca="1" si="65"/>
        <v/>
      </c>
      <c r="E113" s="44" t="str">
        <f t="shared" ca="1" si="65"/>
        <v/>
      </c>
      <c r="F113" s="44" t="str">
        <f t="shared" ca="1" si="65"/>
        <v/>
      </c>
      <c r="G113" s="44" t="str">
        <f t="shared" ca="1" si="65"/>
        <v/>
      </c>
      <c r="H113" s="44" t="str">
        <f t="shared" ca="1" si="65"/>
        <v/>
      </c>
      <c r="I113" s="44" t="str">
        <f t="shared" ca="1" si="65"/>
        <v/>
      </c>
      <c r="J113" s="44" t="str">
        <f t="shared" ca="1" si="65"/>
        <v/>
      </c>
      <c r="K113" s="44" t="str">
        <f t="shared" ca="1" si="65"/>
        <v/>
      </c>
      <c r="L113" s="135" t="str">
        <f t="shared" ca="1" si="65"/>
        <v/>
      </c>
      <c r="M113" s="136">
        <f ca="1">IF(OR($A113=""),"",SUM(C113:L113))</f>
        <v>0</v>
      </c>
      <c r="N113" s="146"/>
    </row>
    <row r="114" spans="1:14" x14ac:dyDescent="0.2">
      <c r="A114" t="str">
        <f t="shared" si="64"/>
        <v xml:space="preserve">    California</v>
      </c>
      <c r="B114" s="1"/>
      <c r="C114" s="44" t="str">
        <f t="shared" ref="C114:L114" ca="1" si="66">IF(OR(C$28="",$A114=""),"",OFFSET(C$64,8*(ROW(B114)-ROW(B$113)),0))</f>
        <v/>
      </c>
      <c r="D114" s="44" t="str">
        <f t="shared" ca="1" si="66"/>
        <v/>
      </c>
      <c r="E114" s="44" t="str">
        <f t="shared" ca="1" si="66"/>
        <v/>
      </c>
      <c r="F114" s="44" t="str">
        <f t="shared" ca="1" si="66"/>
        <v/>
      </c>
      <c r="G114" s="44" t="str">
        <f t="shared" ca="1" si="66"/>
        <v/>
      </c>
      <c r="H114" s="44" t="str">
        <f t="shared" ca="1" si="66"/>
        <v/>
      </c>
      <c r="I114" s="44" t="str">
        <f t="shared" ca="1" si="66"/>
        <v/>
      </c>
      <c r="J114" s="44" t="str">
        <f t="shared" ca="1" si="66"/>
        <v/>
      </c>
      <c r="K114" s="44" t="str">
        <f t="shared" ca="1" si="66"/>
        <v/>
      </c>
      <c r="L114" s="135" t="str">
        <f t="shared" ca="1" si="66"/>
        <v/>
      </c>
      <c r="M114" s="136">
        <f t="shared" ref="M114:M118" ca="1" si="67">IF(OR($A114=""),"",SUM(C114:L114))</f>
        <v>0</v>
      </c>
      <c r="N114" s="146"/>
    </row>
    <row r="115" spans="1:14" x14ac:dyDescent="0.2">
      <c r="A115" t="str">
        <f t="shared" si="64"/>
        <v xml:space="preserve">    Arizona</v>
      </c>
      <c r="B115" s="1"/>
      <c r="C115" s="44" t="str">
        <f t="shared" ref="C115:L115" ca="1" si="68">IF(OR(C$28="",$A115=""),"",OFFSET(C$64,8*(ROW(B115)-ROW(B$113)),0))</f>
        <v/>
      </c>
      <c r="D115" s="44" t="str">
        <f t="shared" ca="1" si="68"/>
        <v/>
      </c>
      <c r="E115" s="44" t="str">
        <f t="shared" ca="1" si="68"/>
        <v/>
      </c>
      <c r="F115" s="44" t="str">
        <f t="shared" ca="1" si="68"/>
        <v/>
      </c>
      <c r="G115" s="44" t="str">
        <f t="shared" ca="1" si="68"/>
        <v/>
      </c>
      <c r="H115" s="44" t="str">
        <f t="shared" ca="1" si="68"/>
        <v/>
      </c>
      <c r="I115" s="44" t="str">
        <f t="shared" ca="1" si="68"/>
        <v/>
      </c>
      <c r="J115" s="44" t="str">
        <f t="shared" ca="1" si="68"/>
        <v/>
      </c>
      <c r="K115" s="44" t="str">
        <f t="shared" ca="1" si="68"/>
        <v/>
      </c>
      <c r="L115" s="135" t="str">
        <f t="shared" ca="1" si="68"/>
        <v/>
      </c>
      <c r="M115" s="136">
        <f t="shared" ca="1" si="67"/>
        <v>0</v>
      </c>
      <c r="N115" s="146"/>
    </row>
    <row r="116" spans="1:14" x14ac:dyDescent="0.2">
      <c r="A116" t="str">
        <f t="shared" si="64"/>
        <v xml:space="preserve">    Nevada</v>
      </c>
      <c r="B116" s="1"/>
      <c r="C116" s="44" t="str">
        <f t="shared" ref="C116:L116" ca="1" si="69">IF(OR(C$28="",$A116=""),"",OFFSET(C$64,8*(ROW(B116)-ROW(B$113)),0))</f>
        <v/>
      </c>
      <c r="D116" s="44" t="str">
        <f t="shared" ca="1" si="69"/>
        <v/>
      </c>
      <c r="E116" s="44" t="str">
        <f t="shared" ca="1" si="69"/>
        <v/>
      </c>
      <c r="F116" s="44" t="str">
        <f t="shared" ca="1" si="69"/>
        <v/>
      </c>
      <c r="G116" s="44" t="str">
        <f t="shared" ca="1" si="69"/>
        <v/>
      </c>
      <c r="H116" s="44" t="str">
        <f t="shared" ca="1" si="69"/>
        <v/>
      </c>
      <c r="I116" s="44" t="str">
        <f t="shared" ca="1" si="69"/>
        <v/>
      </c>
      <c r="J116" s="44" t="str">
        <f t="shared" ca="1" si="69"/>
        <v/>
      </c>
      <c r="K116" s="44" t="str">
        <f t="shared" ca="1" si="69"/>
        <v/>
      </c>
      <c r="L116" s="135" t="str">
        <f t="shared" ca="1" si="69"/>
        <v/>
      </c>
      <c r="M116" s="136">
        <f t="shared" ca="1" si="67"/>
        <v>0</v>
      </c>
      <c r="N116" s="146"/>
    </row>
    <row r="117" spans="1:14" x14ac:dyDescent="0.2">
      <c r="A117" t="str">
        <f t="shared" si="64"/>
        <v xml:space="preserve">    Mexico</v>
      </c>
      <c r="B117" s="1"/>
      <c r="C117" s="44" t="str">
        <f t="shared" ref="C117:L117" ca="1" si="70">IF(OR(C$28="",$A117=""),"",OFFSET(C$64,8*(ROW(B117)-ROW(B$113)),0))</f>
        <v/>
      </c>
      <c r="D117" s="44" t="str">
        <f t="shared" ca="1" si="70"/>
        <v/>
      </c>
      <c r="E117" s="44" t="str">
        <f t="shared" ca="1" si="70"/>
        <v/>
      </c>
      <c r="F117" s="44" t="str">
        <f t="shared" ca="1" si="70"/>
        <v/>
      </c>
      <c r="G117" s="44" t="str">
        <f t="shared" ca="1" si="70"/>
        <v/>
      </c>
      <c r="H117" s="44" t="str">
        <f t="shared" ca="1" si="70"/>
        <v/>
      </c>
      <c r="I117" s="44" t="str">
        <f t="shared" ca="1" si="70"/>
        <v/>
      </c>
      <c r="J117" s="44" t="str">
        <f t="shared" ca="1" si="70"/>
        <v/>
      </c>
      <c r="K117" s="44" t="str">
        <f t="shared" ca="1" si="70"/>
        <v/>
      </c>
      <c r="L117" s="135" t="str">
        <f t="shared" ca="1" si="70"/>
        <v/>
      </c>
      <c r="M117" s="136">
        <f t="shared" ca="1" si="67"/>
        <v>0</v>
      </c>
      <c r="N117" s="146"/>
    </row>
    <row r="118" spans="1:14" x14ac:dyDescent="0.2">
      <c r="A118" t="str">
        <f t="shared" si="64"/>
        <v xml:space="preserve">    Tribal Nations of the Lower Basin</v>
      </c>
      <c r="B118" s="1"/>
      <c r="C118" s="44" t="str">
        <f t="shared" ref="C118:L118" ca="1" si="71">IF(OR(C$28="",$A118=""),"",OFFSET(C$64,8*(ROW(B118)-ROW(B$113)),0))</f>
        <v/>
      </c>
      <c r="D118" s="44" t="str">
        <f t="shared" ca="1" si="71"/>
        <v/>
      </c>
      <c r="E118" s="44" t="str">
        <f t="shared" ca="1" si="71"/>
        <v/>
      </c>
      <c r="F118" s="44" t="str">
        <f t="shared" ca="1" si="71"/>
        <v/>
      </c>
      <c r="G118" s="44" t="str">
        <f t="shared" ca="1" si="71"/>
        <v/>
      </c>
      <c r="H118" s="44" t="str">
        <f t="shared" ca="1" si="71"/>
        <v/>
      </c>
      <c r="I118" s="44" t="str">
        <f t="shared" ca="1" si="71"/>
        <v/>
      </c>
      <c r="J118" s="44" t="str">
        <f t="shared" ca="1" si="71"/>
        <v/>
      </c>
      <c r="K118" s="44" t="str">
        <f t="shared" ca="1" si="71"/>
        <v/>
      </c>
      <c r="L118" s="135" t="str">
        <f t="shared" ca="1" si="71"/>
        <v/>
      </c>
      <c r="M118" s="136">
        <f t="shared" ca="1" si="67"/>
        <v>0</v>
      </c>
      <c r="N118" s="146"/>
    </row>
    <row r="119" spans="1:14" x14ac:dyDescent="0.2">
      <c r="A119" t="s">
        <v>38</v>
      </c>
      <c r="B119" s="1"/>
      <c r="C119" s="12" t="str">
        <f>IF(C$28&lt;&gt;"",SUM(C113:C118),"")</f>
        <v/>
      </c>
      <c r="D119" s="12" t="str">
        <f t="shared" ref="D119:L119" si="72">IF(D$28&lt;&gt;"",SUM(D113:D118),"")</f>
        <v/>
      </c>
      <c r="E119" s="12" t="str">
        <f t="shared" si="72"/>
        <v/>
      </c>
      <c r="F119" s="12" t="str">
        <f t="shared" si="72"/>
        <v/>
      </c>
      <c r="G119" s="12" t="str">
        <f t="shared" si="72"/>
        <v/>
      </c>
      <c r="H119" s="32" t="str">
        <f t="shared" si="72"/>
        <v/>
      </c>
      <c r="I119" s="32" t="str">
        <f t="shared" si="72"/>
        <v/>
      </c>
      <c r="J119" s="32" t="str">
        <f t="shared" si="72"/>
        <v/>
      </c>
      <c r="K119" s="32" t="str">
        <f t="shared" si="72"/>
        <v/>
      </c>
      <c r="L119" s="32" t="str">
        <f t="shared" si="72"/>
        <v/>
      </c>
      <c r="M119" s="20"/>
      <c r="N119" s="147"/>
    </row>
    <row r="120" spans="1:14" x14ac:dyDescent="0.2">
      <c r="A120" s="1" t="s">
        <v>103</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3">IF(OR(C$28="",$A121=""),"",OFFSET(C$68,8*(ROW(B121)-ROW(B$121)),0))</f>
        <v/>
      </c>
      <c r="D121" s="44" t="str">
        <f t="shared" ca="1" si="73"/>
        <v/>
      </c>
      <c r="E121" s="44" t="str">
        <f t="shared" ca="1" si="73"/>
        <v/>
      </c>
      <c r="F121" s="44" t="str">
        <f t="shared" ca="1" si="73"/>
        <v/>
      </c>
      <c r="G121" s="44" t="str">
        <f t="shared" ca="1" si="73"/>
        <v/>
      </c>
      <c r="H121" s="44" t="str">
        <f t="shared" ca="1" si="73"/>
        <v/>
      </c>
      <c r="I121" s="44" t="str">
        <f t="shared" ca="1" si="73"/>
        <v/>
      </c>
      <c r="J121" s="44" t="str">
        <f t="shared" ca="1" si="73"/>
        <v/>
      </c>
      <c r="K121" s="44" t="str">
        <f t="shared" ca="1" si="73"/>
        <v/>
      </c>
      <c r="L121" s="44" t="str">
        <f t="shared" ca="1" si="73"/>
        <v/>
      </c>
      <c r="N121" s="142"/>
    </row>
    <row r="122" spans="1:14" x14ac:dyDescent="0.2">
      <c r="A122" t="str">
        <f>IF(A6="","","    "&amp;A6&amp;" - Release from Mead")</f>
        <v xml:space="preserve">    California - Release from Mead</v>
      </c>
      <c r="C122" s="44" t="str">
        <f t="shared" ref="C122:L122" ca="1" si="74">IF(OR(C$28="",$A122=""),"",OFFSET(C$68,8*(ROW(B122)-ROW(B$121)),0))</f>
        <v/>
      </c>
      <c r="D122" s="44" t="str">
        <f t="shared" ca="1" si="74"/>
        <v/>
      </c>
      <c r="E122" s="44" t="str">
        <f t="shared" ca="1" si="74"/>
        <v/>
      </c>
      <c r="F122" s="44" t="str">
        <f t="shared" ca="1" si="74"/>
        <v/>
      </c>
      <c r="G122" s="44" t="str">
        <f t="shared" ca="1" si="74"/>
        <v/>
      </c>
      <c r="H122" s="44" t="str">
        <f t="shared" ca="1" si="74"/>
        <v/>
      </c>
      <c r="I122" s="44" t="str">
        <f t="shared" ca="1" si="74"/>
        <v/>
      </c>
      <c r="J122" s="44" t="str">
        <f t="shared" ca="1" si="74"/>
        <v/>
      </c>
      <c r="K122" s="44" t="str">
        <f t="shared" ca="1" si="74"/>
        <v/>
      </c>
      <c r="L122" s="44" t="str">
        <f t="shared" ca="1" si="74"/>
        <v/>
      </c>
      <c r="N122" s="142"/>
    </row>
    <row r="123" spans="1:14" x14ac:dyDescent="0.2">
      <c r="A123" t="str">
        <f>IF(A7="","","    "&amp;A7&amp;" - Release from Mead")</f>
        <v xml:space="preserve">    Arizona - Release from Mead</v>
      </c>
      <c r="C123" s="44" t="str">
        <f t="shared" ref="C123:L123" ca="1" si="75">IF(OR(C$28="",$A123=""),"",OFFSET(C$68,8*(ROW(B123)-ROW(B$121)),0))</f>
        <v/>
      </c>
      <c r="D123" s="44" t="str">
        <f t="shared" ca="1" si="75"/>
        <v/>
      </c>
      <c r="E123" s="44" t="str">
        <f t="shared" ca="1" si="75"/>
        <v/>
      </c>
      <c r="F123" s="44" t="str">
        <f t="shared" ca="1" si="75"/>
        <v/>
      </c>
      <c r="G123" s="44" t="str">
        <f t="shared" ca="1" si="75"/>
        <v/>
      </c>
      <c r="H123" s="44" t="str">
        <f t="shared" ca="1" si="75"/>
        <v/>
      </c>
      <c r="I123" s="44" t="str">
        <f t="shared" ca="1" si="75"/>
        <v/>
      </c>
      <c r="J123" s="44" t="str">
        <f t="shared" ca="1" si="75"/>
        <v/>
      </c>
      <c r="K123" s="44" t="str">
        <f t="shared" ca="1" si="75"/>
        <v/>
      </c>
      <c r="L123" s="44" t="str">
        <f t="shared" ca="1" si="75"/>
        <v/>
      </c>
      <c r="N123" s="142"/>
    </row>
    <row r="124" spans="1:14" x14ac:dyDescent="0.2">
      <c r="A124" t="str">
        <f>IF(A8="","","    "&amp;A8&amp;" - Release from Mead")</f>
        <v xml:space="preserve">    Nevada - Release from Mead</v>
      </c>
      <c r="C124" s="44" t="str">
        <f t="shared" ref="C124:L124" ca="1" si="76">IF(OR(C$28="",$A124=""),"",OFFSET(C$68,8*(ROW(B124)-ROW(B$121)),0))</f>
        <v/>
      </c>
      <c r="D124" s="44" t="str">
        <f t="shared" ca="1" si="76"/>
        <v/>
      </c>
      <c r="E124" s="44" t="str">
        <f t="shared" ca="1" si="76"/>
        <v/>
      </c>
      <c r="F124" s="44" t="str">
        <f t="shared" ca="1" si="76"/>
        <v/>
      </c>
      <c r="G124" s="44" t="str">
        <f t="shared" ca="1" si="76"/>
        <v/>
      </c>
      <c r="H124" s="44" t="str">
        <f t="shared" ca="1" si="76"/>
        <v/>
      </c>
      <c r="I124" s="44" t="str">
        <f t="shared" ca="1" si="76"/>
        <v/>
      </c>
      <c r="J124" s="44" t="str">
        <f t="shared" ca="1" si="76"/>
        <v/>
      </c>
      <c r="K124" s="44" t="str">
        <f t="shared" ca="1" si="76"/>
        <v/>
      </c>
      <c r="L124" s="44" t="str">
        <f t="shared" ca="1" si="76"/>
        <v/>
      </c>
      <c r="N124" s="142"/>
    </row>
    <row r="125" spans="1:14" x14ac:dyDescent="0.2">
      <c r="A125" t="str">
        <f>IF(A9="","","    "&amp;A9&amp;" - Release from Mead")</f>
        <v xml:space="preserve">    Mexico - Release from Mead</v>
      </c>
      <c r="C125" s="44" t="str">
        <f t="shared" ref="C125:L125" ca="1" si="77">IF(OR(C$28="",$A125=""),"",OFFSET(C$68,8*(ROW(B125)-ROW(B$121)),0))</f>
        <v/>
      </c>
      <c r="D125" s="44" t="str">
        <f t="shared" ca="1" si="77"/>
        <v/>
      </c>
      <c r="E125" s="44" t="str">
        <f t="shared" ca="1" si="77"/>
        <v/>
      </c>
      <c r="F125" s="44" t="str">
        <f t="shared" ca="1" si="77"/>
        <v/>
      </c>
      <c r="G125" s="44" t="str">
        <f t="shared" ca="1" si="77"/>
        <v/>
      </c>
      <c r="H125" s="44" t="str">
        <f t="shared" ca="1" si="77"/>
        <v/>
      </c>
      <c r="I125" s="44" t="str">
        <f t="shared" ca="1" si="77"/>
        <v/>
      </c>
      <c r="J125" s="44" t="str">
        <f t="shared" ca="1" si="77"/>
        <v/>
      </c>
      <c r="K125" s="44" t="str">
        <f t="shared" ca="1" si="77"/>
        <v/>
      </c>
      <c r="L125" s="44" t="str">
        <f t="shared" ca="1" si="77"/>
        <v/>
      </c>
      <c r="N125" s="142"/>
    </row>
    <row r="126" spans="1:14" x14ac:dyDescent="0.2">
      <c r="A126" t="str">
        <f>IF(A10="","","    "&amp;A10&amp;" - Release from Mead")</f>
        <v xml:space="preserve">    Tribal Nations of the Lower Basin - Release from Mead</v>
      </c>
      <c r="C126" s="44" t="str">
        <f t="shared" ref="C126:L126" ca="1" si="78">IF(OR(C$28="",$A126=""),"",OFFSET(C$68,8*(ROW(B126)-ROW(B$121)),0))</f>
        <v/>
      </c>
      <c r="D126" s="44" t="str">
        <f t="shared" ca="1" si="78"/>
        <v/>
      </c>
      <c r="E126" s="44" t="str">
        <f t="shared" ca="1" si="78"/>
        <v/>
      </c>
      <c r="F126" s="44" t="str">
        <f t="shared" ca="1" si="78"/>
        <v/>
      </c>
      <c r="G126" s="44" t="str">
        <f t="shared" ca="1" si="78"/>
        <v/>
      </c>
      <c r="H126" s="44" t="str">
        <f t="shared" ca="1" si="78"/>
        <v/>
      </c>
      <c r="I126" s="44" t="str">
        <f t="shared" ca="1" si="78"/>
        <v/>
      </c>
      <c r="J126" s="44" t="str">
        <f t="shared" ca="1" si="78"/>
        <v/>
      </c>
      <c r="K126" s="44" t="str">
        <f t="shared" ca="1" si="78"/>
        <v/>
      </c>
      <c r="L126" s="44" t="str">
        <f t="shared" ca="1" si="78"/>
        <v/>
      </c>
      <c r="N126" s="142"/>
    </row>
    <row r="127" spans="1:14" x14ac:dyDescent="0.2">
      <c r="A127" s="1" t="s">
        <v>252</v>
      </c>
      <c r="B127" s="1"/>
      <c r="D127" s="2"/>
      <c r="E127" s="2"/>
      <c r="F127" s="2"/>
      <c r="G127" s="2"/>
      <c r="H127" s="2"/>
      <c r="I127" s="2"/>
      <c r="J127" s="2"/>
      <c r="K127" s="2"/>
      <c r="L127" s="2"/>
      <c r="N127" s="142"/>
    </row>
    <row r="128" spans="1:14" x14ac:dyDescent="0.2">
      <c r="A128" t="str">
        <f t="shared" ref="A128:A133" si="79">IF(A5="","","    "&amp;A5)</f>
        <v xml:space="preserve">    Reclamation - Protect Zone</v>
      </c>
      <c r="C128" s="44" t="str">
        <f t="shared" ref="C128:L128" ca="1" si="80">IF(OR(C$28="",$A128=""),"",OFFSET(C$69,8*(ROW(B128)-ROW(B$128)),0))</f>
        <v/>
      </c>
      <c r="D128" s="44" t="str">
        <f t="shared" ca="1" si="80"/>
        <v/>
      </c>
      <c r="E128" s="44" t="str">
        <f t="shared" ca="1" si="80"/>
        <v/>
      </c>
      <c r="F128" s="44" t="str">
        <f t="shared" ca="1" si="80"/>
        <v/>
      </c>
      <c r="G128" s="44" t="str">
        <f t="shared" ca="1" si="80"/>
        <v/>
      </c>
      <c r="H128" s="44" t="str">
        <f t="shared" ca="1" si="80"/>
        <v/>
      </c>
      <c r="I128" s="44" t="str">
        <f t="shared" ca="1" si="80"/>
        <v/>
      </c>
      <c r="J128" s="44" t="str">
        <f t="shared" ca="1" si="80"/>
        <v/>
      </c>
      <c r="K128" s="44" t="str">
        <f t="shared" ca="1" si="80"/>
        <v/>
      </c>
      <c r="L128" s="44" t="str">
        <f t="shared" ca="1" si="80"/>
        <v/>
      </c>
      <c r="N128" s="142"/>
    </row>
    <row r="129" spans="1:14" x14ac:dyDescent="0.2">
      <c r="A129" t="str">
        <f t="shared" si="79"/>
        <v xml:space="preserve">    California</v>
      </c>
      <c r="C129" s="44" t="str">
        <f t="shared" ref="C129:L129" ca="1" si="81">IF(OR(C$28="",$A129=""),"",OFFSET(C$69,8*(ROW(B129)-ROW(B$128)),0))</f>
        <v/>
      </c>
      <c r="D129" s="44" t="str">
        <f t="shared" ca="1" si="81"/>
        <v/>
      </c>
      <c r="E129" s="44" t="str">
        <f t="shared" ca="1" si="81"/>
        <v/>
      </c>
      <c r="F129" s="44" t="str">
        <f t="shared" ca="1" si="81"/>
        <v/>
      </c>
      <c r="G129" s="44" t="str">
        <f t="shared" ca="1" si="81"/>
        <v/>
      </c>
      <c r="H129" s="44" t="str">
        <f t="shared" ca="1" si="81"/>
        <v/>
      </c>
      <c r="I129" s="44" t="str">
        <f t="shared" ca="1" si="81"/>
        <v/>
      </c>
      <c r="J129" s="44" t="str">
        <f t="shared" ca="1" si="81"/>
        <v/>
      </c>
      <c r="K129" s="44" t="str">
        <f t="shared" ca="1" si="81"/>
        <v/>
      </c>
      <c r="L129" s="44" t="str">
        <f t="shared" ca="1" si="81"/>
        <v/>
      </c>
      <c r="N129" s="142"/>
    </row>
    <row r="130" spans="1:14" x14ac:dyDescent="0.2">
      <c r="A130" t="str">
        <f t="shared" si="79"/>
        <v xml:space="preserve">    Arizona</v>
      </c>
      <c r="C130" s="44" t="str">
        <f t="shared" ref="C130:L130" ca="1" si="82">IF(OR(C$28="",$A130=""),"",OFFSET(C$69,8*(ROW(B130)-ROW(B$128)),0))</f>
        <v/>
      </c>
      <c r="D130" s="44" t="str">
        <f t="shared" ca="1" si="82"/>
        <v/>
      </c>
      <c r="E130" s="44" t="str">
        <f t="shared" ca="1" si="82"/>
        <v/>
      </c>
      <c r="F130" s="44" t="str">
        <f t="shared" ca="1" si="82"/>
        <v/>
      </c>
      <c r="G130" s="44" t="str">
        <f t="shared" ca="1" si="82"/>
        <v/>
      </c>
      <c r="H130" s="44" t="str">
        <f t="shared" ca="1" si="82"/>
        <v/>
      </c>
      <c r="I130" s="44" t="str">
        <f t="shared" ca="1" si="82"/>
        <v/>
      </c>
      <c r="J130" s="44" t="str">
        <f t="shared" ca="1" si="82"/>
        <v/>
      </c>
      <c r="K130" s="44" t="str">
        <f t="shared" ca="1" si="82"/>
        <v/>
      </c>
      <c r="L130" s="44" t="str">
        <f t="shared" ca="1" si="82"/>
        <v/>
      </c>
      <c r="N130" s="142"/>
    </row>
    <row r="131" spans="1:14" x14ac:dyDescent="0.2">
      <c r="A131" t="str">
        <f t="shared" si="79"/>
        <v xml:space="preserve">    Nevada</v>
      </c>
      <c r="C131" s="44" t="str">
        <f t="shared" ref="C131:L131" ca="1" si="83">IF(OR(C$28="",$A131=""),"",OFFSET(C$69,8*(ROW(B131)-ROW(B$128)),0))</f>
        <v/>
      </c>
      <c r="D131" s="44" t="str">
        <f t="shared" ca="1" si="83"/>
        <v/>
      </c>
      <c r="E131" s="44" t="str">
        <f t="shared" ca="1" si="83"/>
        <v/>
      </c>
      <c r="F131" s="44" t="str">
        <f t="shared" ca="1" si="83"/>
        <v/>
      </c>
      <c r="G131" s="44" t="str">
        <f t="shared" ca="1" si="83"/>
        <v/>
      </c>
      <c r="H131" s="44" t="str">
        <f t="shared" ca="1" si="83"/>
        <v/>
      </c>
      <c r="I131" s="44" t="str">
        <f t="shared" ca="1" si="83"/>
        <v/>
      </c>
      <c r="J131" s="44" t="str">
        <f t="shared" ca="1" si="83"/>
        <v/>
      </c>
      <c r="K131" s="44" t="str">
        <f t="shared" ca="1" si="83"/>
        <v/>
      </c>
      <c r="L131" s="44" t="str">
        <f t="shared" ca="1" si="83"/>
        <v/>
      </c>
      <c r="N131" s="142"/>
    </row>
    <row r="132" spans="1:14" x14ac:dyDescent="0.2">
      <c r="A132" t="str">
        <f t="shared" si="79"/>
        <v xml:space="preserve">    Mexico</v>
      </c>
      <c r="C132" s="44" t="str">
        <f t="shared" ref="C132:L132" ca="1" si="84">IF(OR(C$28="",$A132=""),"",OFFSET(C$69,8*(ROW(B132)-ROW(B$128)),0))</f>
        <v/>
      </c>
      <c r="D132" s="44" t="str">
        <f t="shared" ca="1" si="84"/>
        <v/>
      </c>
      <c r="E132" s="44" t="str">
        <f t="shared" ca="1" si="84"/>
        <v/>
      </c>
      <c r="F132" s="44" t="str">
        <f t="shared" ca="1" si="84"/>
        <v/>
      </c>
      <c r="G132" s="44" t="str">
        <f t="shared" ca="1" si="84"/>
        <v/>
      </c>
      <c r="H132" s="44" t="str">
        <f t="shared" ca="1" si="84"/>
        <v/>
      </c>
      <c r="I132" s="44" t="str">
        <f t="shared" ca="1" si="84"/>
        <v/>
      </c>
      <c r="J132" s="44" t="str">
        <f t="shared" ca="1" si="84"/>
        <v/>
      </c>
      <c r="K132" s="44" t="str">
        <f t="shared" ca="1" si="84"/>
        <v/>
      </c>
      <c r="L132" s="44" t="str">
        <f t="shared" ca="1" si="84"/>
        <v/>
      </c>
      <c r="N132" s="142"/>
    </row>
    <row r="133" spans="1:14" x14ac:dyDescent="0.2">
      <c r="A133" t="str">
        <f t="shared" si="79"/>
        <v xml:space="preserve">    Tribal Nations of the Lower Basin</v>
      </c>
      <c r="C133" s="44" t="str">
        <f t="shared" ref="C133:L133" ca="1" si="85">IF(OR(C$28="",$A133=""),"",OFFSET(C$69,8*(ROW(B133)-ROW(B$128)),0))</f>
        <v/>
      </c>
      <c r="D133" s="44" t="str">
        <f t="shared" ca="1" si="85"/>
        <v/>
      </c>
      <c r="E133" s="44" t="str">
        <f t="shared" ca="1" si="85"/>
        <v/>
      </c>
      <c r="F133" s="44" t="str">
        <f t="shared" ca="1" si="85"/>
        <v/>
      </c>
      <c r="G133" s="44" t="str">
        <f t="shared" ca="1" si="85"/>
        <v/>
      </c>
      <c r="H133" s="44" t="str">
        <f t="shared" ca="1" si="85"/>
        <v/>
      </c>
      <c r="I133" s="44" t="str">
        <f t="shared" ca="1" si="85"/>
        <v/>
      </c>
      <c r="J133" s="44" t="str">
        <f t="shared" ca="1" si="85"/>
        <v/>
      </c>
      <c r="K133" s="44" t="str">
        <f t="shared" ca="1" si="85"/>
        <v/>
      </c>
      <c r="L133" s="44" t="str">
        <f t="shared" ca="1" si="85"/>
        <v/>
      </c>
      <c r="N133" s="142"/>
    </row>
    <row r="134" spans="1:14" x14ac:dyDescent="0.2">
      <c r="A134" s="1" t="s">
        <v>247</v>
      </c>
      <c r="H134" s="12" t="str">
        <f t="shared" ref="H134:L134" si="86">IF(H$28&lt;&gt;"",SUM(H128:H133),"")</f>
        <v/>
      </c>
      <c r="I134" s="12" t="str">
        <f t="shared" si="86"/>
        <v/>
      </c>
      <c r="J134" s="12" t="str">
        <f t="shared" si="86"/>
        <v/>
      </c>
      <c r="K134" s="12" t="str">
        <f t="shared" si="86"/>
        <v/>
      </c>
      <c r="L134" s="12" t="str">
        <f t="shared" si="86"/>
        <v/>
      </c>
      <c r="N134" s="141" t="s">
        <v>297</v>
      </c>
    </row>
    <row r="135" spans="1:14" x14ac:dyDescent="0.2">
      <c r="A135" t="s">
        <v>248</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249</v>
      </c>
      <c r="B136" s="1"/>
      <c r="C136" s="209" t="str">
        <f>IF(C$28&lt;&gt;"",VLOOKUP(C135*1000000,'Mead-Elevation-Area'!$B$5:$H$689,7),"")</f>
        <v/>
      </c>
      <c r="D136" s="209" t="str">
        <f>IF(D$28&lt;&gt;"",VLOOKUP(D135*1000000,'Mead-Elevation-Area'!$B$5:$H$689,7),"")</f>
        <v/>
      </c>
      <c r="E136" s="206" t="str">
        <f>IF(E$28&lt;&gt;"",VLOOKUP(E135*1000000,'Mead-Elevation-Area'!$B$5:$H$689,7),"")</f>
        <v/>
      </c>
      <c r="F136" s="206" t="str">
        <f>IF(F$28&lt;&gt;"",VLOOKUP(F135*1000000,'Mead-Elevation-Area'!$B$5:$H$689,7),"")</f>
        <v/>
      </c>
      <c r="G136" s="206" t="str">
        <f>IF(G$28&lt;&gt;"",VLOOKUP(G135*1000000,'Mead-Elevation-Area'!$B$5:$H$689,7),"")</f>
        <v/>
      </c>
      <c r="H136" s="12"/>
      <c r="I136" s="12"/>
      <c r="J136" s="12"/>
      <c r="K136" s="12"/>
      <c r="L136" s="12"/>
      <c r="N136" s="141"/>
    </row>
    <row r="137" spans="1:14" x14ac:dyDescent="0.2">
      <c r="A137" s="125" t="s">
        <v>250</v>
      </c>
      <c r="C137" s="18"/>
      <c r="N137" s="141" t="s">
        <v>153</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H53"/>
  <sheetViews>
    <sheetView tabSelected="1" zoomScale="75" zoomScaleNormal="233" workbookViewId="0">
      <selection activeCell="AF45" sqref="AF45"/>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60" x14ac:dyDescent="0.2">
      <c r="A1" s="1" t="s">
        <v>260</v>
      </c>
    </row>
    <row r="2" spans="1:60" x14ac:dyDescent="0.2">
      <c r="A2" t="s">
        <v>261</v>
      </c>
    </row>
    <row r="3" spans="1:60" x14ac:dyDescent="0.2">
      <c r="A3" t="s">
        <v>212</v>
      </c>
    </row>
    <row r="4" spans="1:60" ht="15" customHeight="1" x14ac:dyDescent="0.2"/>
    <row r="5" spans="1:60" ht="31" customHeight="1" x14ac:dyDescent="0.2">
      <c r="B5" s="189" t="s">
        <v>217</v>
      </c>
      <c r="C5" s="189" t="s">
        <v>203</v>
      </c>
      <c r="D5" s="189" t="s">
        <v>204</v>
      </c>
      <c r="E5" s="189" t="s">
        <v>202</v>
      </c>
      <c r="F5" s="189" t="s">
        <v>18</v>
      </c>
      <c r="G5" s="189" t="s">
        <v>25</v>
      </c>
      <c r="I5" s="391" t="s">
        <v>430</v>
      </c>
      <c r="J5" s="392"/>
      <c r="K5" s="392"/>
      <c r="L5" s="392"/>
      <c r="M5" s="392"/>
      <c r="N5" s="392"/>
      <c r="O5" s="392"/>
      <c r="P5" s="392"/>
      <c r="Q5" s="392"/>
      <c r="R5" s="392"/>
      <c r="S5" s="392"/>
      <c r="T5" s="392"/>
      <c r="U5" s="392"/>
      <c r="V5" s="392"/>
      <c r="W5" s="393"/>
      <c r="Y5" s="405" t="s">
        <v>437</v>
      </c>
      <c r="Z5" s="405"/>
      <c r="AA5" s="405"/>
    </row>
    <row r="6" spans="1:60" s="188" customFormat="1" ht="27.5" customHeight="1" x14ac:dyDescent="0.15">
      <c r="B6" s="383" t="s">
        <v>228</v>
      </c>
      <c r="C6" s="384"/>
      <c r="D6" s="384"/>
      <c r="E6" s="384"/>
      <c r="F6" s="384"/>
      <c r="G6" s="385"/>
      <c r="I6" s="394" t="s">
        <v>13</v>
      </c>
      <c r="J6" s="396" t="s">
        <v>416</v>
      </c>
      <c r="K6" s="396" t="s">
        <v>415</v>
      </c>
      <c r="L6" s="397" t="s">
        <v>215</v>
      </c>
      <c r="M6" s="398"/>
      <c r="N6" s="398"/>
      <c r="O6" s="398"/>
      <c r="P6" s="398"/>
      <c r="Q6" s="399"/>
      <c r="R6" s="400" t="s">
        <v>216</v>
      </c>
      <c r="S6" s="401"/>
      <c r="T6" s="401"/>
      <c r="U6" s="401"/>
      <c r="V6" s="401"/>
      <c r="W6" s="402"/>
      <c r="Y6" s="403" t="s">
        <v>411</v>
      </c>
      <c r="Z6" s="404"/>
      <c r="AA6" s="404"/>
    </row>
    <row r="7" spans="1:60" s="188" customFormat="1" ht="44" customHeight="1" x14ac:dyDescent="0.15">
      <c r="B7" s="197">
        <v>0</v>
      </c>
      <c r="C7" s="198">
        <v>0</v>
      </c>
      <c r="D7" s="198">
        <v>0</v>
      </c>
      <c r="E7" s="198">
        <v>0</v>
      </c>
      <c r="F7" s="198">
        <v>0</v>
      </c>
      <c r="G7" s="198">
        <f>SUM(C7:F7)</f>
        <v>0</v>
      </c>
      <c r="I7" s="395"/>
      <c r="J7" s="395"/>
      <c r="K7" s="395"/>
      <c r="L7" s="190" t="s">
        <v>417</v>
      </c>
      <c r="M7" s="190" t="s">
        <v>418</v>
      </c>
      <c r="N7" s="190" t="s">
        <v>419</v>
      </c>
      <c r="O7" s="190" t="s">
        <v>413</v>
      </c>
      <c r="P7" s="190" t="s">
        <v>414</v>
      </c>
      <c r="Q7" s="269" t="s">
        <v>222</v>
      </c>
      <c r="R7" s="191" t="s">
        <v>420</v>
      </c>
      <c r="S7" s="191" t="s">
        <v>421</v>
      </c>
      <c r="T7" s="191" t="s">
        <v>422</v>
      </c>
      <c r="U7" s="191" t="s">
        <v>423</v>
      </c>
      <c r="V7" s="191" t="s">
        <v>414</v>
      </c>
      <c r="W7" s="255" t="s">
        <v>227</v>
      </c>
      <c r="Y7" s="312" t="s">
        <v>412</v>
      </c>
      <c r="AR7" s="422"/>
      <c r="AS7" s="422"/>
      <c r="AT7" s="422"/>
      <c r="AU7" s="422"/>
      <c r="AV7" s="422"/>
      <c r="AW7" s="422"/>
      <c r="AX7" s="422"/>
      <c r="AY7" s="422"/>
      <c r="AZ7" s="422"/>
      <c r="BA7" s="422"/>
      <c r="BB7" s="422"/>
      <c r="BC7" s="422"/>
      <c r="BD7" s="422"/>
      <c r="BE7" s="422"/>
      <c r="BF7" s="422"/>
      <c r="BG7" s="422"/>
      <c r="BH7" s="422"/>
    </row>
    <row r="8" spans="1:60" s="196" customFormat="1" x14ac:dyDescent="0.15">
      <c r="B8" s="197" t="s">
        <v>230</v>
      </c>
      <c r="C8" s="201">
        <v>0.8</v>
      </c>
      <c r="D8" s="201">
        <v>3.3300000000000003E-2</v>
      </c>
      <c r="E8" s="201">
        <v>0</v>
      </c>
      <c r="F8" s="201">
        <v>0.16669999999999999</v>
      </c>
      <c r="G8" s="201">
        <f t="shared" ref="G8:G9" si="0">SUM(C8:F8)</f>
        <v>1</v>
      </c>
      <c r="I8" s="305" t="s">
        <v>406</v>
      </c>
      <c r="J8" s="300">
        <v>0</v>
      </c>
      <c r="K8" s="300">
        <v>9</v>
      </c>
      <c r="L8" s="301">
        <f>L22-(P8*TribalWater!$H$6)</f>
        <v>2.0168659999999998</v>
      </c>
      <c r="M8" s="301">
        <f>M22-(P8*TribalWater!$H$5)</f>
        <v>0.287466</v>
      </c>
      <c r="N8" s="301">
        <f>N22-(P8*TribalWater!$H$7)</f>
        <v>4.2434780000000005</v>
      </c>
      <c r="O8" s="301">
        <f>O22</f>
        <v>1.5</v>
      </c>
      <c r="P8" s="301">
        <f>TribalWater!$G$8/1000000</f>
        <v>0.95218999999999998</v>
      </c>
      <c r="Q8" s="300">
        <f t="shared" ref="Q8:Q17" si="1">SUM(L8:P8)</f>
        <v>9</v>
      </c>
      <c r="R8" s="302">
        <f>L8/$K8</f>
        <v>0.2240962222222222</v>
      </c>
      <c r="S8" s="302">
        <f>M8/$K8</f>
        <v>3.1940666666666666E-2</v>
      </c>
      <c r="T8" s="302">
        <f>N8/$K8</f>
        <v>0.47149755555555561</v>
      </c>
      <c r="U8" s="302">
        <f>O8/$K8</f>
        <v>0.16666666666666666</v>
      </c>
      <c r="V8" s="302">
        <f>P8/$K8</f>
        <v>0.10579888888888889</v>
      </c>
      <c r="W8" s="303">
        <f t="shared" ref="W8:W17" si="2">SUM(R8:V8)</f>
        <v>1</v>
      </c>
      <c r="Y8" s="312" t="s">
        <v>436</v>
      </c>
      <c r="AR8" s="423"/>
      <c r="AS8" s="423"/>
      <c r="AT8" s="423"/>
      <c r="AU8" s="423"/>
      <c r="AV8" s="423"/>
      <c r="AW8" s="423"/>
      <c r="AX8" s="423"/>
      <c r="AY8" s="423"/>
      <c r="AZ8" s="423"/>
      <c r="BA8" s="423"/>
      <c r="BB8" s="423"/>
      <c r="BC8" s="423"/>
      <c r="BD8" s="423"/>
      <c r="BE8" s="423"/>
      <c r="BF8" s="423"/>
      <c r="BG8" s="423"/>
      <c r="BH8" s="423"/>
    </row>
    <row r="9" spans="1:60" s="196" customFormat="1" ht="14" x14ac:dyDescent="0.15">
      <c r="B9" s="197" t="s">
        <v>232</v>
      </c>
      <c r="C9" s="201">
        <v>0.43330000000000002</v>
      </c>
      <c r="D9" s="201">
        <v>3.3300000000000003E-2</v>
      </c>
      <c r="E9" s="201">
        <v>0.36670000000000003</v>
      </c>
      <c r="F9" s="201">
        <v>0.16669999999999999</v>
      </c>
      <c r="G9" s="201">
        <f t="shared" si="0"/>
        <v>1</v>
      </c>
      <c r="I9" s="252" t="s">
        <v>229</v>
      </c>
      <c r="J9" s="254">
        <v>0.3</v>
      </c>
      <c r="K9" s="254">
        <v>8.6999999999999993</v>
      </c>
      <c r="L9" s="253">
        <f>L23-(P9*TribalWater!$H$6)</f>
        <v>1.9129804666666668</v>
      </c>
      <c r="M9" s="253">
        <f>M23-(P9*TribalWater!$H$5)</f>
        <v>0.27789379999999997</v>
      </c>
      <c r="N9" s="253">
        <f>N23-(P9*TribalWater!$H$7)</f>
        <v>4.1386854000000008</v>
      </c>
      <c r="O9" s="253">
        <f t="shared" ref="O9:O17" si="3">U9*K9</f>
        <v>1.4499999999999997</v>
      </c>
      <c r="P9" s="253">
        <f t="shared" ref="P9:P17" si="4">V9*K9</f>
        <v>0.92045033333333326</v>
      </c>
      <c r="Q9" s="254">
        <f t="shared" si="1"/>
        <v>8.7000100000000007</v>
      </c>
      <c r="R9" s="268">
        <f t="shared" ref="R9:R17" si="5">L9/$K9</f>
        <v>0.21988281226053644</v>
      </c>
      <c r="S9" s="268">
        <f t="shared" ref="S9:S17" si="6">M9/$K9</f>
        <v>3.1941816091954019E-2</v>
      </c>
      <c r="T9" s="268">
        <f t="shared" ref="T9:T17" si="7">N9/K9</f>
        <v>0.47571096551724151</v>
      </c>
      <c r="U9" s="268">
        <v>0.16666666666666666</v>
      </c>
      <c r="V9" s="268">
        <v>0.10579888888888889</v>
      </c>
      <c r="W9" s="267">
        <f t="shared" si="2"/>
        <v>1.0000011494252874</v>
      </c>
      <c r="Y9" s="406" t="s">
        <v>438</v>
      </c>
      <c r="Z9" s="407"/>
      <c r="AA9" s="407"/>
      <c r="AB9" s="407"/>
      <c r="AC9" s="407"/>
      <c r="AD9" s="407"/>
      <c r="AR9" s="423"/>
      <c r="AS9" s="423"/>
      <c r="AT9" s="423"/>
      <c r="AU9" s="423"/>
      <c r="AV9" s="423"/>
      <c r="AW9" s="423"/>
      <c r="AX9" s="424"/>
      <c r="AY9" s="424"/>
      <c r="AZ9" s="424"/>
      <c r="BA9" s="423"/>
      <c r="BB9" s="423"/>
      <c r="BC9" s="423"/>
      <c r="BD9" s="423"/>
      <c r="BE9" s="423"/>
      <c r="BF9" s="423"/>
      <c r="BG9" s="423"/>
      <c r="BH9" s="423"/>
    </row>
    <row r="10" spans="1:60" s="196" customFormat="1" ht="14" x14ac:dyDescent="0.15">
      <c r="B10" s="386" t="s">
        <v>237</v>
      </c>
      <c r="C10" s="386"/>
      <c r="D10" s="386"/>
      <c r="E10" s="386"/>
      <c r="F10" s="386"/>
      <c r="G10" s="386"/>
      <c r="I10" s="252" t="s">
        <v>231</v>
      </c>
      <c r="J10" s="254">
        <v>0.4</v>
      </c>
      <c r="K10" s="254">
        <v>8.6</v>
      </c>
      <c r="L10" s="253">
        <f>L24-(P10*TribalWater!$H$6)</f>
        <v>1.8783519555555555</v>
      </c>
      <c r="M10" s="253">
        <f>M24-(P10*TribalWater!$H$5)</f>
        <v>0.27470306666666666</v>
      </c>
      <c r="N10" s="253">
        <f>N24-(P10*TribalWater!$H$7)</f>
        <v>4.1037545333333334</v>
      </c>
      <c r="O10" s="253">
        <f t="shared" si="3"/>
        <v>1.4333333333333331</v>
      </c>
      <c r="P10" s="253">
        <f t="shared" si="4"/>
        <v>0.90987044444444443</v>
      </c>
      <c r="Q10" s="254">
        <f t="shared" si="1"/>
        <v>8.6000133333333331</v>
      </c>
      <c r="R10" s="268">
        <f t="shared" si="5"/>
        <v>0.21841301808785529</v>
      </c>
      <c r="S10" s="268">
        <f t="shared" si="6"/>
        <v>3.1942217054263568E-2</v>
      </c>
      <c r="T10" s="268">
        <f t="shared" si="7"/>
        <v>0.47718075968992252</v>
      </c>
      <c r="U10" s="268">
        <v>0.16666666666666666</v>
      </c>
      <c r="V10" s="268">
        <v>0.10579888888888889</v>
      </c>
      <c r="W10" s="267">
        <f t="shared" si="2"/>
        <v>1.000001550387597</v>
      </c>
      <c r="AR10" s="423"/>
      <c r="AS10" s="423"/>
      <c r="AT10" s="423"/>
      <c r="AU10" s="423"/>
      <c r="AV10" s="423"/>
      <c r="AW10" s="423"/>
      <c r="AX10" s="424"/>
      <c r="AY10" s="424"/>
      <c r="AZ10" s="424"/>
      <c r="BA10" s="423"/>
      <c r="BB10" s="423"/>
      <c r="BC10" s="423"/>
      <c r="BD10" s="423"/>
      <c r="BE10" s="423"/>
      <c r="BF10" s="423"/>
      <c r="BG10" s="423"/>
      <c r="BH10" s="423"/>
    </row>
    <row r="11" spans="1:60" s="196" customFormat="1" ht="14" x14ac:dyDescent="0.15">
      <c r="B11" s="197">
        <v>0</v>
      </c>
      <c r="C11" s="202">
        <v>0</v>
      </c>
      <c r="D11" s="202">
        <v>0</v>
      </c>
      <c r="E11" s="202">
        <v>0</v>
      </c>
      <c r="F11" s="202">
        <v>0</v>
      </c>
      <c r="G11" s="202">
        <f>SUM(C11:F11)</f>
        <v>0</v>
      </c>
      <c r="I11" s="252" t="s">
        <v>233</v>
      </c>
      <c r="J11" s="254">
        <v>1</v>
      </c>
      <c r="K11" s="254">
        <v>8</v>
      </c>
      <c r="L11" s="253">
        <f>L25-(P11*TribalWater!$H$6)</f>
        <v>1.6705808888888887</v>
      </c>
      <c r="M11" s="253">
        <f>M25-(P11*TribalWater!$H$5)</f>
        <v>0.25555866666666666</v>
      </c>
      <c r="N11" s="253">
        <f>N25-(P11*TribalWater!$H$7)</f>
        <v>3.894169333333334</v>
      </c>
      <c r="O11" s="253">
        <f t="shared" si="3"/>
        <v>1.3333333333333333</v>
      </c>
      <c r="P11" s="253">
        <f t="shared" si="4"/>
        <v>0.84639111111111109</v>
      </c>
      <c r="Q11" s="254">
        <f t="shared" si="1"/>
        <v>8.0000333333333344</v>
      </c>
      <c r="R11" s="268">
        <f t="shared" si="5"/>
        <v>0.20882261111111108</v>
      </c>
      <c r="S11" s="268">
        <f t="shared" si="6"/>
        <v>3.1944833333333332E-2</v>
      </c>
      <c r="T11" s="268">
        <f t="shared" si="7"/>
        <v>0.48677116666666675</v>
      </c>
      <c r="U11" s="268">
        <v>0.16666666666666666</v>
      </c>
      <c r="V11" s="268">
        <v>0.10579888888888889</v>
      </c>
      <c r="W11" s="267">
        <f t="shared" si="2"/>
        <v>1.0000041666666668</v>
      </c>
      <c r="AO11" s="284"/>
      <c r="AR11" s="423"/>
      <c r="AS11" s="425"/>
      <c r="AT11" s="423"/>
      <c r="AU11" s="423"/>
      <c r="AV11" s="423"/>
      <c r="AW11" s="423"/>
      <c r="AX11" s="423"/>
      <c r="AY11" s="423"/>
      <c r="AZ11" s="423"/>
      <c r="BA11" s="423"/>
      <c r="BB11" s="423"/>
      <c r="BC11" s="423"/>
      <c r="BD11" s="423"/>
      <c r="BE11" s="423"/>
      <c r="BF11" s="423"/>
      <c r="BG11" s="423"/>
      <c r="BH11" s="423"/>
    </row>
    <row r="12" spans="1:60" s="196" customFormat="1" ht="14" x14ac:dyDescent="0.15">
      <c r="B12" s="197">
        <v>0.3</v>
      </c>
      <c r="C12" s="200">
        <f t="shared" ref="C12:F15" si="8">$B12*C$9</f>
        <v>0.12998999999999999</v>
      </c>
      <c r="D12" s="200">
        <f t="shared" si="8"/>
        <v>9.9900000000000006E-3</v>
      </c>
      <c r="E12" s="200">
        <f t="shared" si="8"/>
        <v>0.11001000000000001</v>
      </c>
      <c r="F12" s="200">
        <f t="shared" si="8"/>
        <v>5.0009999999999992E-2</v>
      </c>
      <c r="G12" s="200">
        <f>SUM(C12:F12)</f>
        <v>0.3</v>
      </c>
      <c r="I12" s="307" t="s">
        <v>236</v>
      </c>
      <c r="J12" s="308">
        <v>1.5</v>
      </c>
      <c r="K12" s="308">
        <v>7.5</v>
      </c>
      <c r="L12" s="309">
        <f>L26-(P12*TribalWater!$H$6)</f>
        <v>1.4974383333333332</v>
      </c>
      <c r="M12" s="309">
        <f>M26-(P12*TribalWater!$H$5)</f>
        <v>0.23960499999999998</v>
      </c>
      <c r="N12" s="309">
        <f>N26-(P12*TribalWater!$H$7)</f>
        <v>3.7195150000000003</v>
      </c>
      <c r="O12" s="309">
        <f t="shared" si="3"/>
        <v>1.25</v>
      </c>
      <c r="P12" s="309">
        <f t="shared" si="4"/>
        <v>0.79349166666666671</v>
      </c>
      <c r="Q12" s="308">
        <f t="shared" si="1"/>
        <v>7.5000499999999999</v>
      </c>
      <c r="R12" s="310">
        <f t="shared" si="5"/>
        <v>0.19965844444444442</v>
      </c>
      <c r="S12" s="310">
        <f t="shared" si="6"/>
        <v>3.1947333333333335E-2</v>
      </c>
      <c r="T12" s="310">
        <f t="shared" si="7"/>
        <v>0.49593533333333339</v>
      </c>
      <c r="U12" s="310">
        <v>0.16666666666666666</v>
      </c>
      <c r="V12" s="310">
        <v>0.10579888888888889</v>
      </c>
      <c r="W12" s="311">
        <f t="shared" si="2"/>
        <v>1.0000066666666667</v>
      </c>
      <c r="AP12" s="285"/>
      <c r="AQ12" s="285"/>
      <c r="AR12" s="285"/>
      <c r="AS12" s="423"/>
      <c r="AT12" s="285"/>
      <c r="AU12" s="285"/>
      <c r="AV12" s="285"/>
      <c r="AW12" s="423"/>
      <c r="AX12" s="426"/>
      <c r="AY12" s="426"/>
      <c r="AZ12" s="426"/>
      <c r="BA12" s="423"/>
      <c r="BB12" s="423"/>
      <c r="BC12" s="423"/>
      <c r="BD12" s="423"/>
      <c r="BE12" s="423"/>
      <c r="BF12" s="423"/>
      <c r="BG12" s="423"/>
      <c r="BH12" s="423"/>
    </row>
    <row r="13" spans="1:60" s="196" customFormat="1" ht="14" x14ac:dyDescent="0.15">
      <c r="B13" s="197">
        <v>0.4</v>
      </c>
      <c r="C13" s="200">
        <f t="shared" si="8"/>
        <v>0.17332000000000003</v>
      </c>
      <c r="D13" s="200">
        <f t="shared" si="8"/>
        <v>1.3320000000000002E-2</v>
      </c>
      <c r="E13" s="200">
        <f t="shared" si="8"/>
        <v>0.14668</v>
      </c>
      <c r="F13" s="200">
        <f t="shared" si="8"/>
        <v>6.6680000000000003E-2</v>
      </c>
      <c r="G13" s="200">
        <f>SUM(C13:F13)</f>
        <v>0.40000000000000008</v>
      </c>
      <c r="I13" s="252" t="s">
        <v>432</v>
      </c>
      <c r="J13" s="254">
        <v>2.7</v>
      </c>
      <c r="K13" s="254">
        <v>6.3</v>
      </c>
      <c r="L13" s="253">
        <f>L27-(P13*TribalWater!$H$6)</f>
        <v>1.0818961999999996</v>
      </c>
      <c r="M13" s="253">
        <f>M27-(P13*TribalWater!$H$5)</f>
        <v>0.2013162</v>
      </c>
      <c r="N13" s="253">
        <f>N27-(P13*TribalWater!$H$7)</f>
        <v>3.3003445999999999</v>
      </c>
      <c r="O13" s="253">
        <f t="shared" si="3"/>
        <v>1.0499999999999998</v>
      </c>
      <c r="P13" s="253">
        <f t="shared" si="4"/>
        <v>0.66653299999999993</v>
      </c>
      <c r="Q13" s="254">
        <f t="shared" si="1"/>
        <v>6.3000899999999991</v>
      </c>
      <c r="R13" s="268">
        <f t="shared" si="5"/>
        <v>0.1717295555555555</v>
      </c>
      <c r="S13" s="268">
        <f t="shared" si="6"/>
        <v>3.1954952380952382E-2</v>
      </c>
      <c r="T13" s="268">
        <f t="shared" si="7"/>
        <v>0.52386422222222218</v>
      </c>
      <c r="U13" s="268">
        <v>0.16666666666666666</v>
      </c>
      <c r="V13" s="268">
        <v>0.10579888888888889</v>
      </c>
      <c r="W13" s="267">
        <f t="shared" si="2"/>
        <v>1.0000142857142855</v>
      </c>
      <c r="AP13" s="285"/>
      <c r="AQ13" s="285"/>
      <c r="AR13" s="285"/>
      <c r="AS13" s="423"/>
      <c r="AT13" s="285"/>
      <c r="AU13" s="285"/>
      <c r="AV13" s="285"/>
      <c r="AW13" s="423"/>
      <c r="AX13" s="424"/>
      <c r="AY13" s="424"/>
      <c r="AZ13" s="424"/>
      <c r="BA13" s="424"/>
      <c r="BB13" s="423"/>
      <c r="BC13" s="423"/>
      <c r="BD13" s="423"/>
      <c r="BE13" s="423"/>
      <c r="BF13" s="423"/>
      <c r="BG13" s="423"/>
      <c r="BH13" s="423"/>
    </row>
    <row r="14" spans="1:60" s="196" customFormat="1" ht="14" x14ac:dyDescent="0.15">
      <c r="B14" s="197">
        <v>1</v>
      </c>
      <c r="C14" s="200">
        <f t="shared" si="8"/>
        <v>0.43330000000000002</v>
      </c>
      <c r="D14" s="200">
        <f t="shared" si="8"/>
        <v>3.3300000000000003E-2</v>
      </c>
      <c r="E14" s="200">
        <f t="shared" si="8"/>
        <v>0.36670000000000003</v>
      </c>
      <c r="F14" s="200">
        <f t="shared" si="8"/>
        <v>0.16669999999999999</v>
      </c>
      <c r="G14" s="200">
        <f>SUM(C14:F14)</f>
        <v>1</v>
      </c>
      <c r="I14" s="252" t="s">
        <v>407</v>
      </c>
      <c r="J14" s="254">
        <v>4</v>
      </c>
      <c r="K14" s="254">
        <v>5</v>
      </c>
      <c r="L14" s="253">
        <f>L28-(P14*TribalWater!$H$6)</f>
        <v>0.63172555555555532</v>
      </c>
      <c r="M14" s="253">
        <f>M28-(P14*TribalWater!$H$5)</f>
        <v>0.15983666666666668</v>
      </c>
      <c r="N14" s="253">
        <f>N28-(P14*TribalWater!$H$7)</f>
        <v>2.8462433333333337</v>
      </c>
      <c r="O14" s="253">
        <f t="shared" si="3"/>
        <v>0.83333333333333326</v>
      </c>
      <c r="P14" s="253">
        <f t="shared" si="4"/>
        <v>0.52899444444444443</v>
      </c>
      <c r="Q14" s="254">
        <f t="shared" si="1"/>
        <v>5.0001333333333333</v>
      </c>
      <c r="R14" s="268">
        <f t="shared" si="5"/>
        <v>0.12634511111111107</v>
      </c>
      <c r="S14" s="268">
        <f t="shared" si="6"/>
        <v>3.1967333333333334E-2</v>
      </c>
      <c r="T14" s="268">
        <f t="shared" si="7"/>
        <v>0.56924866666666674</v>
      </c>
      <c r="U14" s="268">
        <v>0.16666666666666666</v>
      </c>
      <c r="V14" s="268">
        <v>0.10579888888888889</v>
      </c>
      <c r="W14" s="267">
        <f t="shared" si="2"/>
        <v>1.0000266666666666</v>
      </c>
      <c r="AR14" s="423"/>
      <c r="AS14" s="423"/>
      <c r="AT14" s="423"/>
      <c r="AU14" s="423"/>
      <c r="AV14" s="423"/>
      <c r="AW14" s="423"/>
      <c r="AX14" s="423"/>
      <c r="AY14" s="423"/>
      <c r="AZ14" s="423"/>
      <c r="BA14" s="423"/>
      <c r="BB14" s="423"/>
      <c r="BC14" s="423"/>
      <c r="BD14" s="423"/>
      <c r="BE14" s="423"/>
      <c r="BF14" s="423"/>
      <c r="BG14" s="423"/>
      <c r="BH14" s="423"/>
    </row>
    <row r="15" spans="1:60" s="196" customFormat="1" ht="14" x14ac:dyDescent="0.15">
      <c r="B15" s="197">
        <v>1.5</v>
      </c>
      <c r="C15" s="200">
        <f t="shared" si="8"/>
        <v>0.64995000000000003</v>
      </c>
      <c r="D15" s="200">
        <f t="shared" si="8"/>
        <v>4.9950000000000008E-2</v>
      </c>
      <c r="E15" s="200">
        <f t="shared" si="8"/>
        <v>0.55005000000000004</v>
      </c>
      <c r="F15" s="200">
        <f t="shared" si="8"/>
        <v>0.25004999999999999</v>
      </c>
      <c r="G15" s="200">
        <f>SUM(C15:F15)</f>
        <v>1.5</v>
      </c>
      <c r="I15" s="252" t="s">
        <v>408</v>
      </c>
      <c r="J15" s="254">
        <v>4.4000000000000004</v>
      </c>
      <c r="K15" s="254">
        <v>4.5999999999999996</v>
      </c>
      <c r="L15" s="253">
        <f>L29-(P15*TribalWater!$H$6)</f>
        <v>0.49321151111111078</v>
      </c>
      <c r="M15" s="253">
        <f>M29-(P15*TribalWater!$H$5)</f>
        <v>0.14707373333333332</v>
      </c>
      <c r="N15" s="253">
        <f>N29-(P15*TribalWater!$H$7)</f>
        <v>2.706519866666667</v>
      </c>
      <c r="O15" s="253">
        <f t="shared" si="3"/>
        <v>0.76666666666666661</v>
      </c>
      <c r="P15" s="253">
        <f t="shared" si="4"/>
        <v>0.48667488888888882</v>
      </c>
      <c r="Q15" s="254">
        <f t="shared" si="1"/>
        <v>4.6001466666666664</v>
      </c>
      <c r="R15" s="268">
        <f t="shared" si="5"/>
        <v>0.1072198937198067</v>
      </c>
      <c r="S15" s="268">
        <f t="shared" si="6"/>
        <v>3.1972550724637679E-2</v>
      </c>
      <c r="T15" s="268">
        <f t="shared" si="7"/>
        <v>0.58837388405797109</v>
      </c>
      <c r="U15" s="268">
        <v>0.16666666666666666</v>
      </c>
      <c r="V15" s="268">
        <v>0.10579888888888889</v>
      </c>
      <c r="W15" s="267">
        <f t="shared" si="2"/>
        <v>1.0000318840579709</v>
      </c>
      <c r="AR15" s="423"/>
      <c r="AS15" s="423"/>
      <c r="AT15" s="423"/>
      <c r="AU15" s="423"/>
      <c r="AV15" s="423"/>
      <c r="AW15" s="423"/>
      <c r="AX15" s="423"/>
      <c r="AY15" s="423"/>
      <c r="AZ15" s="423"/>
      <c r="BA15" s="423"/>
      <c r="BB15" s="423"/>
      <c r="BC15" s="423"/>
      <c r="BD15" s="423"/>
      <c r="BE15" s="423"/>
      <c r="BF15" s="423"/>
      <c r="BG15" s="423"/>
      <c r="BH15" s="423"/>
    </row>
    <row r="16" spans="1:60" s="196" customFormat="1" ht="14" x14ac:dyDescent="0.15">
      <c r="B16" s="197" t="s">
        <v>234</v>
      </c>
      <c r="C16" s="387" t="s">
        <v>235</v>
      </c>
      <c r="D16" s="388"/>
      <c r="E16" s="388"/>
      <c r="F16" s="388"/>
      <c r="G16" s="389"/>
      <c r="I16" s="252" t="s">
        <v>409</v>
      </c>
      <c r="J16" s="254">
        <v>5.2</v>
      </c>
      <c r="K16" s="254">
        <v>3.8</v>
      </c>
      <c r="L16" s="253">
        <f>L30-(P16*TribalWater!$H$6)</f>
        <v>0.21618342222222175</v>
      </c>
      <c r="M16" s="253">
        <f>M30-(P16*TribalWater!$H$5)</f>
        <v>0.12154786666666664</v>
      </c>
      <c r="N16" s="253">
        <f>N30-(P16*TribalWater!$H$7)</f>
        <v>2.4270729333333332</v>
      </c>
      <c r="O16" s="253">
        <f t="shared" si="3"/>
        <v>0.6333333333333333</v>
      </c>
      <c r="P16" s="253">
        <f t="shared" si="4"/>
        <v>0.40203577777777777</v>
      </c>
      <c r="Q16" s="254">
        <f t="shared" si="1"/>
        <v>3.800173333333333</v>
      </c>
      <c r="R16" s="268">
        <f t="shared" si="5"/>
        <v>5.6890374269005728E-2</v>
      </c>
      <c r="S16" s="268">
        <f t="shared" si="6"/>
        <v>3.1986280701754383E-2</v>
      </c>
      <c r="T16" s="268">
        <f t="shared" si="7"/>
        <v>0.63870340350877197</v>
      </c>
      <c r="U16" s="268">
        <v>0.16666666666666666</v>
      </c>
      <c r="V16" s="268">
        <v>0.10579888888888889</v>
      </c>
      <c r="W16" s="267">
        <f t="shared" si="2"/>
        <v>1.0000456140350877</v>
      </c>
      <c r="AR16" s="423"/>
      <c r="AS16" s="423"/>
      <c r="AT16" s="423"/>
      <c r="AU16" s="423"/>
      <c r="AV16" s="423"/>
      <c r="AW16" s="423"/>
      <c r="AX16" s="423"/>
      <c r="AY16" s="423"/>
      <c r="AZ16" s="423"/>
      <c r="BA16" s="423"/>
      <c r="BB16" s="423"/>
      <c r="BC16" s="423"/>
      <c r="BD16" s="423"/>
      <c r="BE16" s="423"/>
      <c r="BF16" s="423"/>
      <c r="BG16" s="423"/>
      <c r="BH16" s="423"/>
    </row>
    <row r="17" spans="2:60" s="196" customFormat="1" ht="14" x14ac:dyDescent="0.15">
      <c r="I17" s="252" t="s">
        <v>410</v>
      </c>
      <c r="J17" s="254">
        <v>8</v>
      </c>
      <c r="K17" s="254">
        <v>1</v>
      </c>
      <c r="L17" s="253">
        <f>L31-(P17*TribalWater!$H$6)</f>
        <v>0.1717295555555555</v>
      </c>
      <c r="M17" s="253">
        <f>M31-(P17*TribalWater!$H$5)</f>
        <v>3.1954952380952382E-2</v>
      </c>
      <c r="N17" s="253">
        <f>N31-(P17*TribalWater!$H$7)</f>
        <v>0.52386422222222229</v>
      </c>
      <c r="O17" s="253">
        <f t="shared" si="3"/>
        <v>0.16666666666666666</v>
      </c>
      <c r="P17" s="253">
        <f t="shared" si="4"/>
        <v>0.10579888888888889</v>
      </c>
      <c r="Q17" s="254">
        <f t="shared" si="1"/>
        <v>1.0000142857142857</v>
      </c>
      <c r="R17" s="268">
        <f t="shared" si="5"/>
        <v>0.1717295555555555</v>
      </c>
      <c r="S17" s="268">
        <f t="shared" si="6"/>
        <v>3.1954952380952382E-2</v>
      </c>
      <c r="T17" s="268">
        <f t="shared" si="7"/>
        <v>0.52386422222222229</v>
      </c>
      <c r="U17" s="268">
        <v>0.16666666666666666</v>
      </c>
      <c r="V17" s="268">
        <v>0.10579888888888889</v>
      </c>
      <c r="W17" s="267">
        <f t="shared" si="2"/>
        <v>1.0000142857142857</v>
      </c>
      <c r="AR17" s="423"/>
      <c r="AS17" s="423"/>
      <c r="AT17" s="423"/>
      <c r="AU17" s="423"/>
      <c r="AV17" s="423"/>
      <c r="AW17" s="423"/>
      <c r="AX17" s="423"/>
      <c r="AY17" s="423"/>
      <c r="AZ17" s="423"/>
      <c r="BA17" s="423"/>
      <c r="BB17" s="423"/>
      <c r="BC17" s="423"/>
      <c r="BD17" s="423"/>
      <c r="BE17" s="423"/>
      <c r="BF17" s="423"/>
      <c r="BG17" s="423"/>
      <c r="BH17" s="423"/>
    </row>
    <row r="18" spans="2:60" s="196" customFormat="1" ht="14" x14ac:dyDescent="0.15">
      <c r="Z18" s="420" t="s">
        <v>439</v>
      </c>
      <c r="AA18" s="420"/>
      <c r="AB18" s="420"/>
      <c r="AC18" s="420"/>
      <c r="AR18" s="423"/>
      <c r="AS18" s="423"/>
      <c r="AT18" s="423"/>
      <c r="AU18" s="423"/>
      <c r="AV18" s="423"/>
      <c r="AW18" s="423"/>
      <c r="AX18" s="423"/>
      <c r="AY18" s="423"/>
      <c r="AZ18" s="423"/>
      <c r="BA18" s="423"/>
      <c r="BB18" s="423"/>
      <c r="BC18" s="423"/>
      <c r="BD18" s="423"/>
      <c r="BE18" s="423"/>
      <c r="BF18" s="423"/>
      <c r="BG18" s="423"/>
      <c r="BH18" s="423"/>
    </row>
    <row r="19" spans="2:60" s="196" customFormat="1" ht="19" customHeight="1" x14ac:dyDescent="0.15">
      <c r="I19" s="390" t="s">
        <v>431</v>
      </c>
      <c r="J19" s="390"/>
      <c r="K19" s="390"/>
      <c r="L19" s="390"/>
      <c r="M19" s="390"/>
      <c r="N19" s="390"/>
      <c r="O19" s="390"/>
      <c r="P19" s="390"/>
      <c r="Q19" s="390"/>
      <c r="R19" s="390"/>
      <c r="S19" s="390"/>
      <c r="T19" s="390"/>
      <c r="U19" s="390"/>
      <c r="Z19" s="197" t="s">
        <v>202</v>
      </c>
      <c r="AA19" s="197" t="s">
        <v>204</v>
      </c>
      <c r="AB19" s="197" t="s">
        <v>203</v>
      </c>
      <c r="AC19" s="197" t="s">
        <v>25</v>
      </c>
      <c r="AR19" s="423"/>
      <c r="AS19" s="423"/>
      <c r="AT19" s="423"/>
      <c r="AU19" s="423"/>
      <c r="AV19" s="423"/>
      <c r="AW19" s="423"/>
      <c r="AX19" s="423"/>
      <c r="AY19" s="423"/>
      <c r="AZ19" s="423"/>
      <c r="BA19" s="423"/>
      <c r="BB19" s="423"/>
      <c r="BC19" s="423"/>
      <c r="BD19" s="423"/>
      <c r="BE19" s="423"/>
      <c r="BF19" s="423"/>
      <c r="BG19" s="423"/>
      <c r="BH19" s="423"/>
    </row>
    <row r="20" spans="2:60" s="196" customFormat="1" ht="27" customHeight="1" x14ac:dyDescent="0.15">
      <c r="I20" s="396" t="s">
        <v>13</v>
      </c>
      <c r="J20" s="396" t="s">
        <v>213</v>
      </c>
      <c r="K20" s="396" t="s">
        <v>214</v>
      </c>
      <c r="L20" s="383" t="s">
        <v>215</v>
      </c>
      <c r="M20" s="384"/>
      <c r="N20" s="384"/>
      <c r="O20" s="384"/>
      <c r="P20" s="385"/>
      <c r="Q20" s="400" t="s">
        <v>216</v>
      </c>
      <c r="R20" s="401"/>
      <c r="S20" s="401"/>
      <c r="T20" s="401"/>
      <c r="U20" s="402"/>
      <c r="Z20" s="253">
        <f>P8*TribalWater!H7</f>
        <v>0.15652199999999999</v>
      </c>
      <c r="AA20" s="253">
        <f>P8*TribalWater!H5</f>
        <v>1.2533999999999998E-2</v>
      </c>
      <c r="AB20" s="253">
        <f>P8*TribalWater!H6</f>
        <v>0.783134</v>
      </c>
      <c r="AC20" s="253">
        <f>SUM(Z20:AB20)</f>
        <v>0.95218999999999998</v>
      </c>
      <c r="AR20" s="423"/>
      <c r="AS20" s="423"/>
      <c r="AT20" s="423"/>
      <c r="AU20" s="423"/>
      <c r="AV20" s="423"/>
      <c r="AW20" s="423"/>
      <c r="AX20" s="423"/>
      <c r="AY20" s="423"/>
      <c r="AZ20" s="423"/>
      <c r="BA20" s="423"/>
      <c r="BB20" s="423"/>
      <c r="BC20" s="423"/>
      <c r="BD20" s="423"/>
      <c r="BE20" s="423"/>
      <c r="BF20" s="423"/>
      <c r="BG20" s="423"/>
      <c r="BH20" s="423"/>
    </row>
    <row r="21" spans="2:60" s="196" customFormat="1" ht="35" customHeight="1" x14ac:dyDescent="0.15">
      <c r="I21" s="408"/>
      <c r="J21" s="408"/>
      <c r="K21" s="408"/>
      <c r="L21" s="190" t="s">
        <v>218</v>
      </c>
      <c r="M21" s="190" t="s">
        <v>219</v>
      </c>
      <c r="N21" s="190" t="s">
        <v>220</v>
      </c>
      <c r="O21" s="190" t="s">
        <v>221</v>
      </c>
      <c r="P21" s="190" t="s">
        <v>222</v>
      </c>
      <c r="Q21" s="191" t="s">
        <v>223</v>
      </c>
      <c r="R21" s="191" t="s">
        <v>224</v>
      </c>
      <c r="S21" s="191" t="s">
        <v>225</v>
      </c>
      <c r="T21" s="191" t="s">
        <v>226</v>
      </c>
      <c r="U21" s="191" t="s">
        <v>227</v>
      </c>
      <c r="Y21" s="423"/>
      <c r="Z21" s="428"/>
      <c r="AA21" s="428"/>
      <c r="AB21" s="428"/>
      <c r="AR21" s="423"/>
      <c r="AS21" s="423"/>
      <c r="AT21" s="423"/>
      <c r="AU21" s="423"/>
      <c r="AV21" s="423"/>
      <c r="AW21" s="423"/>
      <c r="AX21" s="423"/>
      <c r="AY21" s="423"/>
      <c r="AZ21" s="423"/>
      <c r="BA21" s="423"/>
      <c r="BB21" s="423"/>
      <c r="BC21" s="423"/>
      <c r="BD21" s="423"/>
      <c r="BE21" s="423"/>
      <c r="BF21" s="423"/>
      <c r="BG21" s="423"/>
      <c r="BH21" s="423"/>
    </row>
    <row r="22" spans="2:60" s="196" customFormat="1" ht="17" customHeight="1" x14ac:dyDescent="0.15">
      <c r="I22" s="305" t="s">
        <v>406</v>
      </c>
      <c r="J22" s="296">
        <f>B11</f>
        <v>0</v>
      </c>
      <c r="K22" s="297">
        <v>9</v>
      </c>
      <c r="L22" s="306">
        <v>2.8</v>
      </c>
      <c r="M22" s="306">
        <v>0.3</v>
      </c>
      <c r="N22" s="306">
        <v>4.4000000000000004</v>
      </c>
      <c r="O22" s="306">
        <v>1.5</v>
      </c>
      <c r="P22" s="297">
        <f>SUM(L22:O22)</f>
        <v>9</v>
      </c>
      <c r="Q22" s="298">
        <f t="shared" ref="Q22:Q30" si="9">L22/$K22</f>
        <v>0.31111111111111112</v>
      </c>
      <c r="R22" s="298">
        <f t="shared" ref="R22:R30" si="10">M22/$K22</f>
        <v>3.3333333333333333E-2</v>
      </c>
      <c r="S22" s="298">
        <f t="shared" ref="S22:S30" si="11">N22/$K22</f>
        <v>0.48888888888888893</v>
      </c>
      <c r="T22" s="298">
        <f t="shared" ref="T22:T30" si="12">O22/$K22</f>
        <v>0.16666666666666666</v>
      </c>
      <c r="U22" s="299">
        <f>SUM(Q22:T22)</f>
        <v>1</v>
      </c>
      <c r="V22" s="266"/>
      <c r="W22" s="266"/>
      <c r="Z22" s="421"/>
      <c r="AR22" s="423"/>
      <c r="AS22" s="423"/>
      <c r="AT22" s="423"/>
      <c r="AU22" s="423"/>
      <c r="AV22" s="423"/>
      <c r="AW22" s="423"/>
      <c r="AX22" s="423"/>
      <c r="AY22" s="423"/>
      <c r="AZ22" s="423"/>
      <c r="BA22" s="423"/>
      <c r="BB22" s="423"/>
      <c r="BC22" s="423"/>
      <c r="BD22" s="423"/>
      <c r="BE22" s="423"/>
      <c r="BF22" s="423"/>
      <c r="BG22" s="423"/>
      <c r="BH22" s="423"/>
    </row>
    <row r="23" spans="2:60" s="196" customFormat="1" ht="15" customHeight="1" x14ac:dyDescent="0.15">
      <c r="B23" s="292"/>
      <c r="C23" s="293"/>
      <c r="D23" s="293"/>
      <c r="E23" s="293"/>
      <c r="F23" s="293"/>
      <c r="G23" s="293"/>
      <c r="I23" s="252" t="s">
        <v>229</v>
      </c>
      <c r="J23" s="192">
        <f>B12</f>
        <v>0.3</v>
      </c>
      <c r="K23" s="199">
        <f>K$22-J23</f>
        <v>8.6999999999999993</v>
      </c>
      <c r="L23" s="200">
        <f t="shared" ref="L23:O26" si="13">L$22-C12</f>
        <v>2.67001</v>
      </c>
      <c r="M23" s="200">
        <f t="shared" si="13"/>
        <v>0.29000999999999999</v>
      </c>
      <c r="N23" s="200">
        <f t="shared" si="13"/>
        <v>4.2899900000000004</v>
      </c>
      <c r="O23" s="200">
        <f t="shared" si="13"/>
        <v>1.4499900000000001</v>
      </c>
      <c r="P23" s="193">
        <f t="shared" ref="P23:P26" si="14">SUM(L23:O23)</f>
        <v>8.7000000000000011</v>
      </c>
      <c r="Q23" s="194">
        <f t="shared" si="9"/>
        <v>0.30689770114942533</v>
      </c>
      <c r="R23" s="194">
        <f t="shared" si="10"/>
        <v>3.3334482758620693E-2</v>
      </c>
      <c r="S23" s="194">
        <f t="shared" si="11"/>
        <v>0.49310229885057483</v>
      </c>
      <c r="T23" s="194">
        <f t="shared" si="12"/>
        <v>0.16666551724137935</v>
      </c>
      <c r="U23" s="195">
        <f t="shared" ref="U23:U26" si="15">SUM(Q23:T23)</f>
        <v>1.0000000000000002</v>
      </c>
      <c r="V23" s="266"/>
      <c r="W23" s="266"/>
      <c r="AR23" s="423"/>
      <c r="AS23" s="423"/>
      <c r="AT23" s="423"/>
      <c r="AU23" s="423"/>
      <c r="AV23" s="423"/>
      <c r="AW23" s="423"/>
      <c r="AX23" s="423"/>
      <c r="AY23" s="423"/>
      <c r="AZ23" s="423"/>
      <c r="BA23" s="423"/>
      <c r="BB23" s="423"/>
      <c r="BC23" s="423"/>
      <c r="BD23" s="423"/>
      <c r="BE23" s="423"/>
      <c r="BF23" s="423"/>
      <c r="BG23" s="423"/>
      <c r="BH23" s="423"/>
    </row>
    <row r="24" spans="2:60" s="196" customFormat="1" ht="14" customHeight="1" x14ac:dyDescent="0.15">
      <c r="B24" s="294"/>
      <c r="C24" s="293"/>
      <c r="D24" s="293"/>
      <c r="E24" s="293"/>
      <c r="F24" s="293"/>
      <c r="G24" s="293"/>
      <c r="I24" s="252" t="s">
        <v>231</v>
      </c>
      <c r="J24" s="192">
        <f>B13</f>
        <v>0.4</v>
      </c>
      <c r="K24" s="199">
        <f>K$22-J24</f>
        <v>8.6</v>
      </c>
      <c r="L24" s="200">
        <f t="shared" si="13"/>
        <v>2.6266799999999999</v>
      </c>
      <c r="M24" s="200">
        <f t="shared" si="13"/>
        <v>0.28667999999999999</v>
      </c>
      <c r="N24" s="200">
        <f t="shared" si="13"/>
        <v>4.2533200000000004</v>
      </c>
      <c r="O24" s="200">
        <f t="shared" si="13"/>
        <v>1.4333199999999999</v>
      </c>
      <c r="P24" s="193">
        <f t="shared" si="14"/>
        <v>8.6</v>
      </c>
      <c r="Q24" s="194">
        <f t="shared" si="9"/>
        <v>0.30542790697674421</v>
      </c>
      <c r="R24" s="194">
        <f t="shared" si="10"/>
        <v>3.3334883720930235E-2</v>
      </c>
      <c r="S24" s="194">
        <f t="shared" si="11"/>
        <v>0.49457209302325589</v>
      </c>
      <c r="T24" s="194">
        <f t="shared" si="12"/>
        <v>0.16666511627906977</v>
      </c>
      <c r="U24" s="195">
        <f t="shared" si="15"/>
        <v>1</v>
      </c>
      <c r="V24" s="257"/>
      <c r="W24" s="257"/>
      <c r="AR24" s="423"/>
      <c r="AS24" s="423"/>
      <c r="AT24" s="423"/>
      <c r="AU24" s="423"/>
      <c r="AV24" s="423"/>
      <c r="AW24" s="423"/>
      <c r="AX24" s="423"/>
      <c r="AY24" s="423"/>
      <c r="AZ24" s="423"/>
      <c r="BA24" s="423"/>
      <c r="BB24" s="423"/>
      <c r="BC24" s="423"/>
      <c r="BD24" s="423"/>
      <c r="BE24" s="423"/>
      <c r="BF24" s="423"/>
      <c r="BG24" s="423"/>
      <c r="BH24" s="423"/>
    </row>
    <row r="25" spans="2:60" s="196" customFormat="1" ht="14" customHeight="1" x14ac:dyDescent="0.15">
      <c r="I25" s="252" t="s">
        <v>233</v>
      </c>
      <c r="J25" s="192">
        <f>B14</f>
        <v>1</v>
      </c>
      <c r="K25" s="199">
        <f>K$22-J25</f>
        <v>8</v>
      </c>
      <c r="L25" s="200">
        <f t="shared" si="13"/>
        <v>2.3666999999999998</v>
      </c>
      <c r="M25" s="200">
        <f t="shared" si="13"/>
        <v>0.26669999999999999</v>
      </c>
      <c r="N25" s="200">
        <f t="shared" si="13"/>
        <v>4.0333000000000006</v>
      </c>
      <c r="O25" s="200">
        <f t="shared" si="13"/>
        <v>1.3332999999999999</v>
      </c>
      <c r="P25" s="193">
        <f t="shared" si="14"/>
        <v>8</v>
      </c>
      <c r="Q25" s="194">
        <f t="shared" si="9"/>
        <v>0.29583749999999998</v>
      </c>
      <c r="R25" s="194">
        <f t="shared" si="10"/>
        <v>3.3337499999999999E-2</v>
      </c>
      <c r="S25" s="194">
        <f t="shared" si="11"/>
        <v>0.50416250000000007</v>
      </c>
      <c r="T25" s="194">
        <f t="shared" si="12"/>
        <v>0.16666249999999999</v>
      </c>
      <c r="U25" s="195">
        <f t="shared" si="15"/>
        <v>1</v>
      </c>
      <c r="V25" s="287"/>
      <c r="W25" s="264"/>
      <c r="AR25" s="423"/>
      <c r="AS25" s="423"/>
      <c r="AT25" s="423"/>
      <c r="AU25" s="423"/>
      <c r="AV25" s="423"/>
      <c r="AW25" s="423"/>
      <c r="AX25" s="423"/>
      <c r="AY25" s="423"/>
      <c r="AZ25" s="423"/>
      <c r="BA25" s="423"/>
      <c r="BB25" s="423"/>
      <c r="BC25" s="423"/>
      <c r="BD25" s="423"/>
      <c r="BE25" s="423"/>
      <c r="BF25" s="423"/>
      <c r="BG25" s="423"/>
      <c r="BH25" s="423"/>
    </row>
    <row r="26" spans="2:60" s="196" customFormat="1" ht="14" x14ac:dyDescent="0.15">
      <c r="C26" s="295"/>
      <c r="D26" s="295"/>
      <c r="E26" s="295"/>
      <c r="F26" s="295"/>
      <c r="G26" s="295"/>
      <c r="I26" s="252" t="s">
        <v>236</v>
      </c>
      <c r="J26" s="192">
        <f>B15</f>
        <v>1.5</v>
      </c>
      <c r="K26" s="199">
        <f>K$22-J26</f>
        <v>7.5</v>
      </c>
      <c r="L26" s="200">
        <f t="shared" si="13"/>
        <v>2.1500499999999998</v>
      </c>
      <c r="M26" s="200">
        <f t="shared" si="13"/>
        <v>0.25004999999999999</v>
      </c>
      <c r="N26" s="200">
        <f t="shared" si="13"/>
        <v>3.8499500000000002</v>
      </c>
      <c r="O26" s="200">
        <f t="shared" si="13"/>
        <v>1.2499500000000001</v>
      </c>
      <c r="P26" s="193">
        <f t="shared" si="14"/>
        <v>7.5</v>
      </c>
      <c r="Q26" s="304">
        <f t="shared" si="9"/>
        <v>0.28667333333333328</v>
      </c>
      <c r="R26" s="304">
        <f t="shared" si="10"/>
        <v>3.3340000000000002E-2</v>
      </c>
      <c r="S26" s="304">
        <f t="shared" si="11"/>
        <v>0.51332666666666671</v>
      </c>
      <c r="T26" s="304">
        <f t="shared" si="12"/>
        <v>0.16666</v>
      </c>
      <c r="U26" s="195">
        <f t="shared" si="15"/>
        <v>1</v>
      </c>
      <c r="V26" s="287"/>
      <c r="W26" s="264"/>
      <c r="AR26" s="423"/>
      <c r="AS26" s="423"/>
      <c r="AT26" s="423"/>
      <c r="AU26" s="423"/>
      <c r="AV26" s="423"/>
      <c r="AW26" s="423"/>
      <c r="AX26" s="423"/>
      <c r="AY26" s="423"/>
      <c r="AZ26" s="423"/>
      <c r="BA26" s="423"/>
      <c r="BB26" s="423"/>
      <c r="BC26" s="423"/>
      <c r="BD26" s="423"/>
      <c r="BE26" s="423"/>
      <c r="BF26" s="423"/>
      <c r="BG26" s="423"/>
      <c r="BH26" s="423"/>
    </row>
    <row r="27" spans="2:60" s="196" customFormat="1" ht="14" x14ac:dyDescent="0.15">
      <c r="C27" s="295"/>
      <c r="D27" s="295"/>
      <c r="E27" s="295"/>
      <c r="F27" s="295"/>
      <c r="G27" s="295"/>
      <c r="I27" s="252" t="s">
        <v>432</v>
      </c>
      <c r="J27" s="192">
        <v>2.7</v>
      </c>
      <c r="K27" s="199">
        <f>K$22-J27</f>
        <v>6.3</v>
      </c>
      <c r="L27" s="200">
        <f>L26-C9*($K26-$K27)</f>
        <v>1.6300899999999996</v>
      </c>
      <c r="M27" s="200">
        <f>M26-D9*($K26-$K27)</f>
        <v>0.21009</v>
      </c>
      <c r="N27" s="200">
        <f>N26-E9*($K26-$K27)</f>
        <v>3.40991</v>
      </c>
      <c r="O27" s="200">
        <f>O26-F9*($K26-$K27)</f>
        <v>1.0499100000000001</v>
      </c>
      <c r="P27" s="199">
        <f>P26-G9*($K26-$K27)</f>
        <v>6.3</v>
      </c>
      <c r="Q27" s="304">
        <f t="shared" si="9"/>
        <v>0.25874444444444439</v>
      </c>
      <c r="R27" s="304">
        <f t="shared" si="10"/>
        <v>3.334761904761905E-2</v>
      </c>
      <c r="S27" s="304">
        <f t="shared" si="11"/>
        <v>0.5412555555555556</v>
      </c>
      <c r="T27" s="304">
        <f t="shared" si="12"/>
        <v>0.16665238095238097</v>
      </c>
      <c r="U27" s="195">
        <f>SUM(Q27:T27)</f>
        <v>1</v>
      </c>
      <c r="V27" s="287"/>
      <c r="W27" s="264"/>
      <c r="AR27" s="423"/>
      <c r="AS27" s="423"/>
      <c r="AT27" s="423"/>
      <c r="AU27" s="423"/>
      <c r="AV27" s="423"/>
      <c r="AW27" s="423"/>
      <c r="AX27" s="423"/>
      <c r="AY27" s="423"/>
      <c r="AZ27" s="423"/>
      <c r="BA27" s="423"/>
      <c r="BB27" s="423"/>
      <c r="BC27" s="423"/>
      <c r="BD27" s="423"/>
      <c r="BE27" s="423"/>
      <c r="BF27" s="423"/>
      <c r="BG27" s="423"/>
      <c r="BH27" s="423"/>
    </row>
    <row r="28" spans="2:60" s="196" customFormat="1" ht="14" x14ac:dyDescent="0.15">
      <c r="I28" s="252" t="s">
        <v>407</v>
      </c>
      <c r="J28" s="252">
        <f>9-K28</f>
        <v>4</v>
      </c>
      <c r="K28" s="254">
        <v>5</v>
      </c>
      <c r="L28" s="253">
        <f>L26-C9*($K26-$K28)</f>
        <v>1.0667999999999997</v>
      </c>
      <c r="M28" s="253">
        <f>M26-D9*($K26-$K28)</f>
        <v>0.1668</v>
      </c>
      <c r="N28" s="253">
        <f>N26-E9*($K26-$K28)</f>
        <v>2.9332000000000003</v>
      </c>
      <c r="O28" s="253">
        <f>O26-F9*($K26-$K28)</f>
        <v>0.83320000000000016</v>
      </c>
      <c r="P28" s="254">
        <f>P26-G9*($K26-$K28)</f>
        <v>5</v>
      </c>
      <c r="Q28" s="194">
        <f t="shared" si="9"/>
        <v>0.21335999999999994</v>
      </c>
      <c r="R28" s="194">
        <f t="shared" si="10"/>
        <v>3.3360000000000001E-2</v>
      </c>
      <c r="S28" s="194">
        <f t="shared" si="11"/>
        <v>0.58664000000000005</v>
      </c>
      <c r="T28" s="194">
        <f t="shared" si="12"/>
        <v>0.16664000000000004</v>
      </c>
      <c r="U28" s="195">
        <f>SUM(Q28:T28)</f>
        <v>1</v>
      </c>
      <c r="V28" s="287"/>
      <c r="W28" s="264"/>
      <c r="AR28" s="423"/>
      <c r="AS28" s="423"/>
      <c r="AT28" s="423"/>
      <c r="AU28" s="423"/>
      <c r="AV28" s="423"/>
      <c r="AW28" s="423"/>
      <c r="AX28" s="423"/>
      <c r="AY28" s="423"/>
      <c r="AZ28" s="423"/>
      <c r="BA28" s="423"/>
      <c r="BB28" s="423"/>
      <c r="BC28" s="423"/>
      <c r="BD28" s="423"/>
      <c r="BE28" s="423"/>
      <c r="BF28" s="423"/>
      <c r="BG28" s="423"/>
      <c r="BH28" s="423"/>
    </row>
    <row r="29" spans="2:60" s="196" customFormat="1" ht="14" x14ac:dyDescent="0.15">
      <c r="C29" s="295"/>
      <c r="D29" s="295"/>
      <c r="E29" s="295"/>
      <c r="F29" s="295"/>
      <c r="G29" s="295"/>
      <c r="I29" s="252" t="s">
        <v>408</v>
      </c>
      <c r="J29" s="252">
        <f>9-K29</f>
        <v>4.4000000000000004</v>
      </c>
      <c r="K29" s="252">
        <v>4.5999999999999996</v>
      </c>
      <c r="L29" s="253">
        <f>L26-C9*($K26-$K29)</f>
        <v>0.89347999999999961</v>
      </c>
      <c r="M29" s="253">
        <f>M26-D9*($K26-$K29)</f>
        <v>0.15347999999999998</v>
      </c>
      <c r="N29" s="253">
        <f>N26-E9*($K26-$K29)</f>
        <v>2.7865200000000003</v>
      </c>
      <c r="O29" s="253">
        <f>O26-F9*($K26-$K29)</f>
        <v>0.76652000000000009</v>
      </c>
      <c r="P29" s="254">
        <f>P26-G9*($K26-$K29)</f>
        <v>4.5999999999999996</v>
      </c>
      <c r="Q29" s="194">
        <f t="shared" si="9"/>
        <v>0.19423478260869559</v>
      </c>
      <c r="R29" s="194">
        <f t="shared" si="10"/>
        <v>3.3365217391304346E-2</v>
      </c>
      <c r="S29" s="194">
        <f t="shared" si="11"/>
        <v>0.60576521739130451</v>
      </c>
      <c r="T29" s="194">
        <f t="shared" si="12"/>
        <v>0.16663478260869569</v>
      </c>
      <c r="U29" s="195">
        <f>SUM(Q29:T29)</f>
        <v>1</v>
      </c>
      <c r="V29" s="287"/>
      <c r="W29" s="264"/>
      <c r="AR29" s="423"/>
      <c r="AS29" s="423"/>
      <c r="AT29" s="423"/>
      <c r="AU29" s="423"/>
      <c r="AV29" s="423"/>
      <c r="AW29" s="423"/>
      <c r="AX29" s="423"/>
      <c r="AY29" s="423"/>
      <c r="AZ29" s="423"/>
      <c r="BA29" s="423"/>
      <c r="BB29" s="423"/>
      <c r="BC29" s="423"/>
      <c r="BD29" s="423"/>
      <c r="BE29" s="423"/>
      <c r="BF29" s="423"/>
      <c r="BG29" s="423"/>
      <c r="BH29" s="423"/>
    </row>
    <row r="30" spans="2:60" s="196" customFormat="1" ht="14" x14ac:dyDescent="0.15">
      <c r="C30" s="295"/>
      <c r="D30" s="295"/>
      <c r="E30" s="295"/>
      <c r="F30" s="295"/>
      <c r="G30" s="295"/>
      <c r="I30" s="252" t="s">
        <v>409</v>
      </c>
      <c r="J30" s="252">
        <f>9-K30</f>
        <v>5.2</v>
      </c>
      <c r="K30" s="252">
        <v>3.8</v>
      </c>
      <c r="L30" s="253">
        <f>L26-C9*($K26-$K30)</f>
        <v>0.54683999999999955</v>
      </c>
      <c r="M30" s="253">
        <f>M26-D9*($K26-$K30)</f>
        <v>0.12683999999999998</v>
      </c>
      <c r="N30" s="253">
        <f>N26-E9*($K26-$K30)</f>
        <v>2.49316</v>
      </c>
      <c r="O30" s="253">
        <f>O26-F9*($K26-$K30)</f>
        <v>0.63316000000000017</v>
      </c>
      <c r="P30" s="254">
        <f>P26-G9*($K26-$K30)</f>
        <v>3.8</v>
      </c>
      <c r="Q30" s="194">
        <f t="shared" si="9"/>
        <v>0.14390526315789462</v>
      </c>
      <c r="R30" s="194">
        <f t="shared" si="10"/>
        <v>3.337894736842105E-2</v>
      </c>
      <c r="S30" s="194">
        <f t="shared" si="11"/>
        <v>0.65609473684210529</v>
      </c>
      <c r="T30" s="194">
        <f t="shared" si="12"/>
        <v>0.166621052631579</v>
      </c>
      <c r="U30" s="195">
        <f>SUM(Q30:T30)</f>
        <v>1</v>
      </c>
      <c r="V30" s="287"/>
      <c r="W30" s="264"/>
      <c r="AR30" s="423"/>
      <c r="AS30" s="423"/>
      <c r="AT30" s="423"/>
      <c r="AU30" s="423"/>
      <c r="AV30" s="423"/>
      <c r="AW30" s="423"/>
      <c r="AX30" s="423"/>
      <c r="AY30" s="423"/>
      <c r="AZ30" s="423"/>
      <c r="BA30" s="423"/>
      <c r="BB30" s="423"/>
      <c r="BC30" s="423"/>
      <c r="BD30" s="423"/>
      <c r="BE30" s="423"/>
      <c r="BF30" s="423"/>
      <c r="BG30" s="423"/>
      <c r="BH30" s="423"/>
    </row>
    <row r="31" spans="2:60" s="196" customFormat="1" ht="14" x14ac:dyDescent="0.15">
      <c r="C31" s="295"/>
      <c r="D31" s="295"/>
      <c r="E31" s="295"/>
      <c r="F31" s="295"/>
      <c r="G31" s="295"/>
      <c r="I31" s="252" t="s">
        <v>410</v>
      </c>
      <c r="J31" s="192">
        <v>8</v>
      </c>
      <c r="K31" s="199">
        <f>K$22-J31</f>
        <v>1</v>
      </c>
      <c r="L31" s="200">
        <f>$K31*Q31</f>
        <v>0.25874444444444439</v>
      </c>
      <c r="M31" s="200">
        <f>$K31*R31</f>
        <v>3.334761904761905E-2</v>
      </c>
      <c r="N31" s="200">
        <f>$K31*S31</f>
        <v>0.5412555555555556</v>
      </c>
      <c r="O31" s="200">
        <f>$K31*T31</f>
        <v>0.16665238095238097</v>
      </c>
      <c r="P31" s="199">
        <f>$K31*U31</f>
        <v>1</v>
      </c>
      <c r="Q31" s="194">
        <f>Q27</f>
        <v>0.25874444444444439</v>
      </c>
      <c r="R31" s="194">
        <f>R27</f>
        <v>3.334761904761905E-2</v>
      </c>
      <c r="S31" s="194">
        <f>S27</f>
        <v>0.5412555555555556</v>
      </c>
      <c r="T31" s="194">
        <f>T27</f>
        <v>0.16665238095238097</v>
      </c>
      <c r="U31" s="214">
        <f>U27</f>
        <v>1</v>
      </c>
      <c r="V31" s="287"/>
      <c r="W31" s="264"/>
      <c r="AR31" s="423"/>
      <c r="AS31" s="423"/>
      <c r="AT31" s="423"/>
      <c r="AU31" s="423"/>
      <c r="AV31" s="423"/>
      <c r="AW31" s="423"/>
      <c r="AX31" s="423"/>
      <c r="AY31" s="423"/>
      <c r="AZ31" s="423"/>
      <c r="BA31" s="423"/>
      <c r="BB31" s="423"/>
      <c r="BC31" s="423"/>
      <c r="BD31" s="423"/>
      <c r="BE31" s="423"/>
      <c r="BF31" s="423"/>
      <c r="BG31" s="423"/>
      <c r="BH31" s="423"/>
    </row>
    <row r="32" spans="2:60" s="196" customFormat="1" ht="14" x14ac:dyDescent="0.15">
      <c r="C32" s="295"/>
      <c r="D32" s="295"/>
      <c r="E32" s="295"/>
      <c r="F32" s="295"/>
      <c r="G32" s="295"/>
      <c r="V32" s="287"/>
      <c r="W32" s="264"/>
      <c r="AR32" s="423"/>
      <c r="AS32" s="423"/>
      <c r="AT32" s="423"/>
      <c r="AU32" s="423"/>
      <c r="AV32" s="423"/>
      <c r="AW32" s="423"/>
      <c r="AX32" s="423"/>
      <c r="AY32" s="423"/>
      <c r="AZ32" s="423"/>
      <c r="BA32" s="423"/>
      <c r="BB32" s="423"/>
      <c r="BC32" s="424"/>
      <c r="BD32" s="424"/>
      <c r="BE32" s="424"/>
      <c r="BF32" s="424"/>
      <c r="BG32" s="423"/>
      <c r="BH32" s="423"/>
    </row>
    <row r="33" spans="1:60" x14ac:dyDescent="0.2">
      <c r="V33" s="287"/>
      <c r="W33" s="264"/>
      <c r="AR33" s="427"/>
      <c r="AS33" s="427"/>
      <c r="AT33" s="427"/>
      <c r="AU33" s="427"/>
      <c r="AV33" s="427"/>
      <c r="AW33" s="427"/>
      <c r="AX33" s="427"/>
      <c r="AY33" s="427"/>
      <c r="AZ33" s="427"/>
      <c r="BA33" s="427"/>
      <c r="BB33" s="427"/>
      <c r="BC33" s="427"/>
      <c r="BD33" s="427"/>
      <c r="BE33" s="427"/>
      <c r="BF33" s="427"/>
      <c r="BG33" s="427"/>
      <c r="BH33" s="427"/>
    </row>
    <row r="34" spans="1:60" x14ac:dyDescent="0.2">
      <c r="AR34" s="427"/>
      <c r="AS34" s="427"/>
      <c r="AT34" s="427"/>
      <c r="AU34" s="427"/>
      <c r="AV34" s="427"/>
      <c r="AW34" s="427"/>
      <c r="AX34" s="427"/>
      <c r="AY34" s="427"/>
      <c r="AZ34" s="427"/>
      <c r="BA34" s="427"/>
      <c r="BB34" s="427"/>
      <c r="BC34" s="427"/>
      <c r="BD34" s="427"/>
      <c r="BE34" s="427"/>
      <c r="BF34" s="427"/>
      <c r="BG34" s="427"/>
      <c r="BH34" s="427"/>
    </row>
    <row r="35" spans="1:60" x14ac:dyDescent="0.2">
      <c r="AR35" s="427"/>
      <c r="AS35" s="427"/>
      <c r="AT35" s="427"/>
      <c r="AU35" s="427"/>
      <c r="AV35" s="427"/>
      <c r="AW35" s="427"/>
      <c r="AX35" s="427"/>
      <c r="AY35" s="427"/>
      <c r="AZ35" s="427"/>
      <c r="BA35" s="427"/>
      <c r="BB35" s="427"/>
      <c r="BC35" s="427"/>
      <c r="BD35" s="427"/>
      <c r="BE35" s="427"/>
      <c r="BF35" s="427"/>
      <c r="BG35" s="427"/>
      <c r="BH35" s="427"/>
    </row>
    <row r="36" spans="1:60" x14ac:dyDescent="0.2">
      <c r="AB36" s="116"/>
      <c r="AC36" s="116"/>
      <c r="AD36" s="116"/>
      <c r="AF36" s="116"/>
      <c r="AG36" s="116"/>
      <c r="AR36" s="427"/>
      <c r="AS36" s="427"/>
      <c r="AT36" s="427"/>
      <c r="AU36" s="427"/>
      <c r="AV36" s="427"/>
      <c r="AW36" s="427"/>
      <c r="AX36" s="427"/>
      <c r="AY36" s="427"/>
      <c r="AZ36" s="427"/>
      <c r="BA36" s="427"/>
      <c r="BB36" s="427"/>
      <c r="BC36" s="427"/>
      <c r="BD36" s="427"/>
      <c r="BE36" s="427"/>
      <c r="BF36" s="427"/>
      <c r="BG36" s="427"/>
      <c r="BH36" s="427"/>
    </row>
    <row r="37" spans="1:60" ht="14" customHeight="1" x14ac:dyDescent="0.2">
      <c r="A37" s="288"/>
      <c r="B37" s="288"/>
      <c r="C37" s="288"/>
      <c r="D37" s="288"/>
      <c r="E37" s="288"/>
      <c r="F37" s="288"/>
      <c r="G37" s="288"/>
      <c r="Y37" s="266"/>
      <c r="Z37" s="266"/>
      <c r="AA37" s="266"/>
      <c r="AB37" s="282"/>
      <c r="AC37" s="282"/>
      <c r="AD37" s="282"/>
      <c r="AE37" s="282"/>
      <c r="AF37" s="282"/>
      <c r="AG37" s="282"/>
      <c r="AH37" s="266"/>
      <c r="AI37" s="266"/>
      <c r="AJ37" s="266"/>
      <c r="AK37" s="266"/>
      <c r="AL37" s="266"/>
      <c r="AM37" s="266"/>
      <c r="AR37" s="427"/>
      <c r="AS37" s="427"/>
      <c r="AT37" s="427"/>
      <c r="AU37" s="427"/>
      <c r="AV37" s="427"/>
      <c r="AW37" s="427"/>
      <c r="AX37" s="427"/>
      <c r="AY37" s="427"/>
      <c r="AZ37" s="427"/>
      <c r="BA37" s="427"/>
      <c r="BB37" s="427"/>
      <c r="BC37" s="427"/>
      <c r="BD37" s="427"/>
      <c r="BE37" s="427"/>
      <c r="BF37" s="427"/>
      <c r="BG37" s="427"/>
      <c r="BH37" s="427"/>
    </row>
    <row r="38" spans="1:60" ht="14" customHeight="1" x14ac:dyDescent="0.2">
      <c r="A38" s="257"/>
      <c r="B38" s="257"/>
      <c r="C38" s="257"/>
      <c r="D38" s="257"/>
      <c r="E38" s="257"/>
      <c r="F38" s="257"/>
      <c r="G38" s="257"/>
      <c r="Y38" s="266"/>
      <c r="Z38" s="259"/>
      <c r="AA38" s="259"/>
      <c r="AB38" s="266"/>
      <c r="AC38" s="266"/>
      <c r="AD38" s="266"/>
      <c r="AE38" s="266"/>
      <c r="AF38" s="266"/>
      <c r="AG38" s="266"/>
      <c r="AH38" s="266"/>
      <c r="AI38" s="266"/>
      <c r="AJ38" s="266"/>
      <c r="AK38" s="266"/>
      <c r="AL38" s="266"/>
      <c r="AM38" s="266"/>
      <c r="AR38" s="427"/>
      <c r="AS38" s="427"/>
      <c r="AT38" s="427"/>
      <c r="AU38" s="427"/>
      <c r="AV38" s="427"/>
      <c r="AW38" s="427"/>
      <c r="AX38" s="427"/>
      <c r="AY38" s="427"/>
      <c r="AZ38" s="427"/>
      <c r="BA38" s="427"/>
      <c r="BB38" s="427"/>
      <c r="BC38" s="427"/>
      <c r="BD38" s="427"/>
      <c r="BE38" s="427"/>
      <c r="BF38" s="427"/>
      <c r="BG38" s="427"/>
      <c r="BH38" s="427"/>
    </row>
    <row r="39" spans="1:60" ht="14" customHeight="1" x14ac:dyDescent="0.2">
      <c r="A39" s="259"/>
      <c r="B39" s="259"/>
      <c r="C39" s="259"/>
      <c r="D39" s="259"/>
      <c r="E39" s="259"/>
      <c r="F39" s="259"/>
      <c r="G39" s="259"/>
      <c r="Y39" s="266"/>
      <c r="Z39" s="266"/>
      <c r="AA39" s="266"/>
      <c r="AB39" s="257"/>
      <c r="AC39" s="257"/>
      <c r="AD39" s="257"/>
      <c r="AE39" s="257"/>
      <c r="AF39" s="257"/>
      <c r="AG39" s="265"/>
      <c r="AH39" s="257"/>
      <c r="AI39" s="257"/>
      <c r="AJ39" s="257"/>
      <c r="AK39" s="257"/>
      <c r="AL39" s="257"/>
      <c r="AM39" s="265"/>
      <c r="AR39" s="427"/>
      <c r="AS39" s="427"/>
      <c r="AT39" s="427"/>
      <c r="AU39" s="427"/>
      <c r="AV39" s="427"/>
      <c r="AW39" s="427"/>
      <c r="AX39" s="427"/>
      <c r="AY39" s="427"/>
      <c r="AZ39" s="427"/>
      <c r="BA39" s="427"/>
      <c r="BB39" s="427"/>
      <c r="BC39" s="427"/>
      <c r="BD39" s="427"/>
      <c r="BE39" s="427"/>
      <c r="BF39" s="427"/>
      <c r="BG39" s="427"/>
      <c r="BH39" s="427"/>
    </row>
    <row r="40" spans="1:60" ht="15" customHeight="1" x14ac:dyDescent="0.2">
      <c r="A40" s="258"/>
      <c r="B40" s="289"/>
      <c r="C40" s="289"/>
      <c r="D40" s="289"/>
      <c r="E40" s="289"/>
      <c r="F40" s="289"/>
      <c r="G40" s="289"/>
      <c r="Y40" s="260"/>
      <c r="Z40" s="261"/>
      <c r="AA40" s="261"/>
      <c r="AB40" s="262"/>
      <c r="AC40" s="262"/>
      <c r="AD40" s="262"/>
      <c r="AE40" s="262"/>
      <c r="AF40" s="262"/>
      <c r="AG40" s="261"/>
      <c r="AH40" s="263"/>
      <c r="AI40" s="263"/>
      <c r="AJ40" s="263"/>
      <c r="AK40" s="263"/>
      <c r="AL40" s="263"/>
      <c r="AM40" s="264"/>
      <c r="AR40" s="427"/>
      <c r="AS40" s="427"/>
      <c r="AT40" s="427"/>
      <c r="AU40" s="427"/>
      <c r="AV40" s="427"/>
      <c r="AW40" s="427"/>
      <c r="AX40" s="427"/>
      <c r="AY40" s="427"/>
      <c r="AZ40" s="427"/>
      <c r="BA40" s="427"/>
      <c r="BB40" s="427"/>
      <c r="BC40" s="427"/>
      <c r="BD40" s="427"/>
      <c r="BE40" s="427"/>
      <c r="BF40" s="427"/>
      <c r="BG40" s="427"/>
      <c r="BH40" s="427"/>
    </row>
    <row r="41" spans="1:60" x14ac:dyDescent="0.2">
      <c r="A41" s="258"/>
      <c r="B41" s="290"/>
      <c r="C41" s="290"/>
      <c r="D41" s="290"/>
      <c r="E41" s="290"/>
      <c r="F41" s="290"/>
      <c r="G41" s="289"/>
      <c r="X41" s="196"/>
      <c r="Y41" s="260"/>
      <c r="Z41" s="261"/>
      <c r="AA41" s="261"/>
      <c r="AB41" s="262"/>
      <c r="AC41" s="262"/>
      <c r="AD41" s="262"/>
      <c r="AE41" s="262"/>
      <c r="AF41" s="262"/>
      <c r="AG41" s="261"/>
      <c r="AH41" s="263"/>
      <c r="AI41" s="263"/>
      <c r="AJ41" s="263"/>
      <c r="AK41" s="263"/>
      <c r="AL41" s="263"/>
      <c r="AM41" s="264"/>
      <c r="AR41" s="427"/>
      <c r="AS41" s="427"/>
      <c r="AT41" s="427"/>
      <c r="AU41" s="427"/>
      <c r="AV41" s="427"/>
      <c r="AW41" s="427"/>
      <c r="AX41" s="427"/>
      <c r="AY41" s="427"/>
      <c r="AZ41" s="427"/>
      <c r="BA41" s="427"/>
      <c r="BB41" s="427"/>
      <c r="BC41" s="427"/>
      <c r="BD41" s="427"/>
      <c r="BE41" s="427"/>
      <c r="BF41" s="427"/>
      <c r="BG41" s="427"/>
      <c r="BH41" s="427"/>
    </row>
    <row r="42" spans="1:60" x14ac:dyDescent="0.2">
      <c r="A42" s="258"/>
      <c r="B42" s="290"/>
      <c r="C42" s="290"/>
      <c r="D42" s="290"/>
      <c r="E42" s="290"/>
      <c r="F42" s="290"/>
      <c r="G42" s="289"/>
      <c r="Y42" s="260"/>
      <c r="Z42" s="261"/>
      <c r="AA42" s="261"/>
      <c r="AB42" s="262"/>
      <c r="AC42" s="262"/>
      <c r="AD42" s="262"/>
      <c r="AE42" s="262"/>
      <c r="AF42" s="262"/>
      <c r="AG42" s="261"/>
      <c r="AH42" s="263"/>
      <c r="AI42" s="263"/>
      <c r="AJ42" s="263"/>
      <c r="AK42" s="263"/>
      <c r="AL42" s="263"/>
      <c r="AM42" s="264"/>
      <c r="AR42" s="427"/>
      <c r="AS42" s="427"/>
      <c r="AT42" s="427"/>
      <c r="AU42" s="427"/>
      <c r="AV42" s="427"/>
      <c r="AW42" s="427"/>
      <c r="AX42" s="427"/>
      <c r="AY42" s="427"/>
      <c r="AZ42" s="427"/>
      <c r="BA42" s="427"/>
      <c r="BB42" s="427"/>
      <c r="BC42" s="427"/>
      <c r="BD42" s="427"/>
      <c r="BE42" s="427"/>
      <c r="BF42" s="427"/>
      <c r="BG42" s="427"/>
      <c r="BH42" s="427"/>
    </row>
    <row r="43" spans="1:60" x14ac:dyDescent="0.2">
      <c r="A43" s="258"/>
      <c r="B43" s="196"/>
      <c r="C43" s="196"/>
      <c r="D43" s="196"/>
      <c r="E43" s="196"/>
      <c r="F43" s="196"/>
      <c r="G43" s="196"/>
      <c r="Y43" s="260"/>
      <c r="Z43" s="261"/>
      <c r="AA43" s="261"/>
      <c r="AB43" s="262"/>
      <c r="AC43" s="262"/>
      <c r="AD43" s="262"/>
      <c r="AE43" s="262"/>
      <c r="AF43" s="262"/>
      <c r="AG43" s="261"/>
      <c r="AH43" s="263"/>
      <c r="AI43" s="263"/>
      <c r="AJ43" s="263"/>
      <c r="AK43" s="263"/>
      <c r="AL43" s="263"/>
      <c r="AM43" s="264"/>
      <c r="AR43" s="427"/>
      <c r="AS43" s="427"/>
      <c r="AT43" s="427"/>
      <c r="AU43" s="427"/>
      <c r="AV43" s="427"/>
      <c r="AW43" s="427"/>
      <c r="AX43" s="427"/>
      <c r="AY43" s="427"/>
      <c r="AZ43" s="427"/>
      <c r="BA43" s="427"/>
      <c r="BB43" s="427"/>
      <c r="BC43" s="427"/>
      <c r="BD43" s="427"/>
      <c r="BE43" s="427"/>
      <c r="BF43" s="427"/>
      <c r="BG43" s="427"/>
      <c r="BH43" s="427"/>
    </row>
    <row r="44" spans="1:60" x14ac:dyDescent="0.2">
      <c r="A44" s="288"/>
      <c r="B44" s="288"/>
      <c r="C44" s="288"/>
      <c r="D44" s="288"/>
      <c r="E44" s="288"/>
      <c r="F44" s="288"/>
      <c r="G44" s="288"/>
      <c r="Y44" s="260"/>
      <c r="Z44" s="261"/>
      <c r="AA44" s="261"/>
      <c r="AB44" s="262"/>
      <c r="AC44" s="262"/>
      <c r="AD44" s="262"/>
      <c r="AE44" s="262"/>
      <c r="AF44" s="262"/>
      <c r="AG44" s="261"/>
      <c r="AH44" s="263"/>
      <c r="AI44" s="263"/>
      <c r="AJ44" s="263"/>
      <c r="AK44" s="263"/>
      <c r="AL44" s="263"/>
      <c r="AM44" s="264"/>
      <c r="AR44" s="427"/>
      <c r="AS44" s="427"/>
      <c r="AT44" s="427"/>
      <c r="AU44" s="427"/>
      <c r="AV44" s="427"/>
      <c r="AW44" s="427"/>
      <c r="AX44" s="427"/>
      <c r="AY44" s="427"/>
      <c r="AZ44" s="427"/>
      <c r="BA44" s="427"/>
      <c r="BB44" s="427"/>
      <c r="BC44" s="427"/>
      <c r="BD44" s="427"/>
      <c r="BE44" s="427"/>
      <c r="BF44" s="427"/>
      <c r="BG44" s="427"/>
      <c r="BH44" s="427"/>
    </row>
    <row r="45" spans="1:60" x14ac:dyDescent="0.2">
      <c r="A45" s="258"/>
      <c r="B45" s="291"/>
      <c r="C45" s="291"/>
      <c r="D45" s="291"/>
      <c r="E45" s="291"/>
      <c r="F45" s="291"/>
      <c r="G45" s="291"/>
      <c r="Y45" s="260"/>
      <c r="Z45" s="261"/>
      <c r="AA45" s="261"/>
      <c r="AB45" s="262"/>
      <c r="AC45" s="262"/>
      <c r="AD45" s="262"/>
      <c r="AE45" s="262"/>
      <c r="AF45" s="262"/>
      <c r="AG45" s="261"/>
      <c r="AH45" s="263"/>
      <c r="AI45" s="263"/>
      <c r="AJ45" s="263"/>
      <c r="AK45" s="263"/>
      <c r="AL45" s="263"/>
      <c r="AM45" s="264"/>
      <c r="AR45" s="427"/>
      <c r="AS45" s="427"/>
      <c r="AT45" s="427"/>
      <c r="AU45" s="427"/>
      <c r="AV45" s="427"/>
      <c r="AW45" s="427"/>
      <c r="AX45" s="427"/>
      <c r="AY45" s="427"/>
      <c r="AZ45" s="427"/>
      <c r="BA45" s="427"/>
      <c r="BB45" s="427"/>
      <c r="BC45" s="427"/>
      <c r="BD45" s="427"/>
      <c r="BE45" s="427"/>
      <c r="BF45" s="427"/>
      <c r="BG45" s="427"/>
      <c r="BH45" s="427"/>
    </row>
    <row r="46" spans="1:60" x14ac:dyDescent="0.2">
      <c r="A46" s="258"/>
      <c r="B46" s="286"/>
      <c r="C46" s="286"/>
      <c r="D46" s="286"/>
      <c r="E46" s="286"/>
      <c r="F46" s="286"/>
      <c r="G46" s="286"/>
      <c r="Y46" s="260"/>
      <c r="Z46" s="261"/>
      <c r="AA46" s="261"/>
      <c r="AB46" s="262"/>
      <c r="AC46" s="262"/>
      <c r="AD46" s="262"/>
      <c r="AE46" s="262"/>
      <c r="AF46" s="262"/>
      <c r="AG46" s="261"/>
      <c r="AH46" s="263"/>
      <c r="AI46" s="263"/>
      <c r="AJ46" s="263"/>
      <c r="AK46" s="263"/>
      <c r="AL46" s="263"/>
      <c r="AM46" s="264"/>
      <c r="AR46" s="427"/>
      <c r="AS46" s="427"/>
      <c r="AT46" s="427"/>
      <c r="AU46" s="427"/>
      <c r="AV46" s="427"/>
      <c r="AW46" s="427"/>
      <c r="AX46" s="427"/>
      <c r="AY46" s="427"/>
      <c r="AZ46" s="427"/>
      <c r="BA46" s="427"/>
      <c r="BB46" s="427"/>
      <c r="BC46" s="427"/>
      <c r="BD46" s="427"/>
      <c r="BE46" s="427"/>
      <c r="BF46" s="427"/>
      <c r="BG46" s="427"/>
      <c r="BH46" s="427"/>
    </row>
    <row r="47" spans="1:60" x14ac:dyDescent="0.2">
      <c r="A47" s="258"/>
      <c r="B47" s="286"/>
      <c r="C47" s="286"/>
      <c r="D47" s="286"/>
      <c r="E47" s="286"/>
      <c r="F47" s="286"/>
      <c r="G47" s="286"/>
      <c r="I47" s="260"/>
      <c r="J47" s="261"/>
      <c r="K47" s="261"/>
      <c r="L47" s="262"/>
      <c r="M47" s="262"/>
      <c r="N47" s="262"/>
      <c r="O47" s="262"/>
      <c r="P47" s="262"/>
      <c r="Q47" s="261"/>
      <c r="R47" s="263"/>
      <c r="S47" s="263"/>
      <c r="T47" s="263"/>
      <c r="U47" s="263"/>
      <c r="V47" s="263"/>
      <c r="W47" s="264"/>
      <c r="Y47" s="260"/>
      <c r="Z47" s="261"/>
      <c r="AA47" s="261"/>
      <c r="AB47" s="262"/>
      <c r="AC47" s="262"/>
      <c r="AD47" s="262"/>
      <c r="AE47" s="262"/>
      <c r="AF47" s="262"/>
      <c r="AG47" s="261"/>
      <c r="AH47" s="263"/>
      <c r="AI47" s="263"/>
      <c r="AJ47" s="263"/>
      <c r="AK47" s="263"/>
      <c r="AL47" s="263"/>
      <c r="AM47" s="264"/>
      <c r="AR47" s="427"/>
      <c r="AS47" s="427"/>
      <c r="AT47" s="427"/>
      <c r="AU47" s="427"/>
      <c r="AV47" s="427"/>
      <c r="AW47" s="427"/>
      <c r="AX47" s="427"/>
      <c r="AY47" s="427"/>
      <c r="AZ47" s="427"/>
      <c r="BA47" s="427"/>
      <c r="BB47" s="427"/>
      <c r="BC47" s="427"/>
      <c r="BD47" s="427"/>
      <c r="BE47" s="427"/>
      <c r="BF47" s="427"/>
      <c r="BG47" s="427"/>
      <c r="BH47" s="427"/>
    </row>
    <row r="48" spans="1:60" x14ac:dyDescent="0.2">
      <c r="A48" s="258"/>
      <c r="B48" s="286"/>
      <c r="C48" s="286"/>
      <c r="D48" s="286"/>
      <c r="E48" s="286"/>
      <c r="F48" s="286"/>
      <c r="G48" s="286"/>
      <c r="I48" s="260"/>
      <c r="J48" s="261"/>
      <c r="K48" s="261"/>
      <c r="L48" s="262"/>
      <c r="M48" s="262"/>
      <c r="N48" s="262"/>
      <c r="O48" s="262"/>
      <c r="P48" s="262"/>
      <c r="Q48" s="261"/>
      <c r="R48" s="263"/>
      <c r="S48" s="263"/>
      <c r="T48" s="263"/>
      <c r="U48" s="263"/>
      <c r="V48" s="263"/>
      <c r="W48" s="264"/>
      <c r="Y48" s="260"/>
      <c r="Z48" s="261"/>
      <c r="AA48" s="261"/>
      <c r="AB48" s="262"/>
      <c r="AC48" s="262"/>
      <c r="AD48" s="262"/>
      <c r="AE48" s="262"/>
      <c r="AF48" s="262"/>
      <c r="AG48" s="261"/>
      <c r="AH48" s="263"/>
      <c r="AI48" s="263"/>
      <c r="AJ48" s="263"/>
      <c r="AK48" s="263"/>
      <c r="AL48" s="263"/>
      <c r="AM48" s="264"/>
      <c r="AR48" s="427"/>
      <c r="AS48" s="427"/>
      <c r="AT48" s="427"/>
      <c r="AU48" s="427"/>
      <c r="AV48" s="427"/>
      <c r="AW48" s="427"/>
      <c r="AX48" s="427"/>
      <c r="AY48" s="427"/>
      <c r="AZ48" s="427"/>
      <c r="BA48" s="427"/>
      <c r="BB48" s="427"/>
      <c r="BC48" s="427"/>
      <c r="BD48" s="427"/>
      <c r="BE48" s="427"/>
      <c r="BF48" s="427"/>
      <c r="BG48" s="427"/>
      <c r="BH48" s="427"/>
    </row>
    <row r="49" spans="1:60" x14ac:dyDescent="0.2">
      <c r="A49" s="258"/>
      <c r="B49" s="286"/>
      <c r="C49" s="286"/>
      <c r="D49" s="286"/>
      <c r="E49" s="286"/>
      <c r="F49" s="286"/>
      <c r="G49" s="286"/>
      <c r="I49" s="260"/>
      <c r="J49" s="261"/>
      <c r="K49" s="261"/>
      <c r="L49" s="262"/>
      <c r="M49" s="262"/>
      <c r="N49" s="262"/>
      <c r="O49" s="262"/>
      <c r="P49" s="262"/>
      <c r="Q49" s="261"/>
      <c r="R49" s="263"/>
      <c r="S49" s="263"/>
      <c r="T49" s="263"/>
      <c r="U49" s="263"/>
      <c r="V49" s="263"/>
      <c r="W49" s="264"/>
      <c r="Y49" s="260"/>
      <c r="Z49" s="261"/>
      <c r="AA49" s="261"/>
      <c r="AB49" s="262"/>
      <c r="AC49" s="262"/>
      <c r="AD49" s="262"/>
      <c r="AE49" s="262"/>
      <c r="AF49" s="262"/>
      <c r="AG49" s="261"/>
      <c r="AH49" s="263"/>
      <c r="AI49" s="263"/>
      <c r="AJ49" s="263"/>
      <c r="AK49" s="263"/>
      <c r="AL49" s="263"/>
      <c r="AM49" s="264"/>
      <c r="AR49" s="427"/>
      <c r="AS49" s="427"/>
      <c r="AT49" s="427"/>
      <c r="AU49" s="427"/>
      <c r="AV49" s="427"/>
      <c r="AW49" s="427"/>
      <c r="AX49" s="427"/>
      <c r="AY49" s="427"/>
      <c r="AZ49" s="427"/>
      <c r="BA49" s="427"/>
      <c r="BB49" s="427"/>
      <c r="BC49" s="427"/>
      <c r="BD49" s="427"/>
      <c r="BE49" s="427"/>
      <c r="BF49" s="427"/>
      <c r="BG49" s="427"/>
      <c r="BH49" s="427"/>
    </row>
    <row r="50" spans="1:60" x14ac:dyDescent="0.2">
      <c r="A50" s="258"/>
      <c r="B50" s="196"/>
      <c r="C50" s="196"/>
      <c r="D50" s="196"/>
      <c r="E50" s="196"/>
      <c r="F50" s="196"/>
      <c r="G50" s="196"/>
      <c r="AR50" s="427"/>
      <c r="AS50" s="427"/>
      <c r="AT50" s="427"/>
      <c r="AU50" s="427"/>
      <c r="AV50" s="427"/>
      <c r="AW50" s="427"/>
      <c r="AX50" s="427"/>
      <c r="AY50" s="427"/>
      <c r="AZ50" s="427"/>
      <c r="BA50" s="427"/>
      <c r="BB50" s="427"/>
      <c r="BC50" s="427"/>
      <c r="BD50" s="427"/>
      <c r="BE50" s="427"/>
      <c r="BF50" s="427"/>
      <c r="BG50" s="427"/>
      <c r="BH50" s="427"/>
    </row>
    <row r="51" spans="1:60" x14ac:dyDescent="0.2">
      <c r="B51" s="258"/>
      <c r="C51" s="196"/>
      <c r="D51" s="196"/>
      <c r="E51" s="196"/>
      <c r="F51" s="196"/>
      <c r="G51" s="196"/>
      <c r="AR51" s="427"/>
      <c r="AS51" s="427"/>
      <c r="AT51" s="427"/>
      <c r="AU51" s="427"/>
      <c r="AV51" s="427"/>
      <c r="AW51" s="427"/>
      <c r="AX51" s="427"/>
      <c r="AY51" s="427"/>
      <c r="AZ51" s="427"/>
      <c r="BA51" s="427"/>
      <c r="BB51" s="427"/>
      <c r="BC51" s="427"/>
      <c r="BD51" s="427"/>
      <c r="BE51" s="427"/>
      <c r="BF51" s="427"/>
      <c r="BG51" s="427"/>
      <c r="BH51" s="427"/>
    </row>
    <row r="52" spans="1:60" x14ac:dyDescent="0.2">
      <c r="AR52" s="427"/>
      <c r="AS52" s="427"/>
      <c r="AT52" s="427"/>
      <c r="AU52" s="427"/>
      <c r="AV52" s="427"/>
      <c r="AW52" s="427"/>
      <c r="AX52" s="427"/>
      <c r="AY52" s="427"/>
      <c r="AZ52" s="427"/>
      <c r="BA52" s="427"/>
      <c r="BB52" s="427"/>
      <c r="BC52" s="427"/>
      <c r="BD52" s="427"/>
      <c r="BE52" s="427"/>
      <c r="BF52" s="427"/>
      <c r="BG52" s="427"/>
      <c r="BH52" s="427"/>
    </row>
    <row r="53" spans="1:60" x14ac:dyDescent="0.2">
      <c r="AR53" s="427"/>
      <c r="AS53" s="427"/>
      <c r="AT53" s="427"/>
      <c r="AU53" s="427"/>
      <c r="AV53" s="427"/>
      <c r="AW53" s="427"/>
      <c r="AX53" s="427"/>
      <c r="AY53" s="427"/>
      <c r="AZ53" s="427"/>
      <c r="BA53" s="427"/>
      <c r="BB53" s="427"/>
      <c r="BC53" s="427"/>
      <c r="BD53" s="427"/>
      <c r="BE53" s="427"/>
      <c r="BF53" s="427"/>
      <c r="BG53" s="427"/>
      <c r="BH53" s="427"/>
    </row>
  </sheetData>
  <mergeCells count="19">
    <mergeCell ref="Y6:AA6"/>
    <mergeCell ref="Y5:AA5"/>
    <mergeCell ref="Y9:AD9"/>
    <mergeCell ref="I20:I21"/>
    <mergeCell ref="J20:J21"/>
    <mergeCell ref="K20:K21"/>
    <mergeCell ref="L20:P20"/>
    <mergeCell ref="Q20:U20"/>
    <mergeCell ref="Z18:AC18"/>
    <mergeCell ref="B6:G6"/>
    <mergeCell ref="B10:G10"/>
    <mergeCell ref="C16:G16"/>
    <mergeCell ref="I19:U19"/>
    <mergeCell ref="I5:W5"/>
    <mergeCell ref="I6:I7"/>
    <mergeCell ref="J6:J7"/>
    <mergeCell ref="K6:K7"/>
    <mergeCell ref="L6:Q6"/>
    <mergeCell ref="R6:W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5" activeCellId="1" sqref="F5:F7 H5:H7"/>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309</v>
      </c>
    </row>
    <row r="3" spans="1:14" x14ac:dyDescent="0.2">
      <c r="A3" s="1" t="s">
        <v>315</v>
      </c>
    </row>
    <row r="4" spans="1:14" ht="29" customHeight="1" x14ac:dyDescent="0.2">
      <c r="A4" s="226" t="s">
        <v>310</v>
      </c>
      <c r="B4" s="226" t="s">
        <v>311</v>
      </c>
      <c r="C4" s="227" t="s">
        <v>312</v>
      </c>
      <c r="D4" s="227" t="s">
        <v>313</v>
      </c>
      <c r="F4" s="227" t="s">
        <v>311</v>
      </c>
      <c r="G4" s="227" t="s">
        <v>320</v>
      </c>
      <c r="H4" s="227" t="s">
        <v>321</v>
      </c>
    </row>
    <row r="5" spans="1:14" x14ac:dyDescent="0.2">
      <c r="A5" s="23" t="s">
        <v>314</v>
      </c>
      <c r="B5" s="23" t="s">
        <v>204</v>
      </c>
      <c r="C5" s="24">
        <v>12534</v>
      </c>
      <c r="D5" s="24"/>
      <c r="F5" s="22" t="s">
        <v>204</v>
      </c>
      <c r="G5" s="31">
        <f>SUMIFS($C$5:$C$13,$B$5:$B$13,F5)</f>
        <v>12534</v>
      </c>
      <c r="H5" s="230">
        <f>G5/G$8</f>
        <v>1.3163339249519528E-2</v>
      </c>
    </row>
    <row r="6" spans="1:14" x14ac:dyDescent="0.2">
      <c r="A6" s="23" t="s">
        <v>314</v>
      </c>
      <c r="B6" s="23" t="s">
        <v>203</v>
      </c>
      <c r="C6" s="24">
        <v>103535</v>
      </c>
      <c r="D6" s="24"/>
      <c r="F6" s="22" t="s">
        <v>203</v>
      </c>
      <c r="G6" s="31">
        <f t="shared" ref="G6:G7" si="0">SUMIFS($C$5:$C$13,$B$5:$B$13,F6)</f>
        <v>783134</v>
      </c>
      <c r="H6" s="230">
        <f t="shared" ref="H6:H8" si="1">G6/G$8</f>
        <v>0.82245560234827086</v>
      </c>
    </row>
    <row r="7" spans="1:14" x14ac:dyDescent="0.2">
      <c r="A7" s="23" t="s">
        <v>314</v>
      </c>
      <c r="B7" s="23" t="s">
        <v>202</v>
      </c>
      <c r="C7" s="24">
        <v>16720</v>
      </c>
      <c r="D7" s="24"/>
      <c r="F7" s="22" t="s">
        <v>202</v>
      </c>
      <c r="G7" s="31">
        <f t="shared" si="0"/>
        <v>156522</v>
      </c>
      <c r="H7" s="230">
        <f t="shared" si="1"/>
        <v>0.16438105840220965</v>
      </c>
    </row>
    <row r="8" spans="1:14" x14ac:dyDescent="0.2">
      <c r="A8" s="23" t="s">
        <v>316</v>
      </c>
      <c r="B8" s="23" t="s">
        <v>202</v>
      </c>
      <c r="C8" s="24">
        <v>11340</v>
      </c>
      <c r="D8" s="24"/>
      <c r="F8" s="233" t="s">
        <v>25</v>
      </c>
      <c r="G8" s="231">
        <f>SUM(G5:G7)</f>
        <v>952190</v>
      </c>
      <c r="H8" s="232">
        <f t="shared" si="1"/>
        <v>1</v>
      </c>
    </row>
    <row r="9" spans="1:14" x14ac:dyDescent="0.2">
      <c r="A9" s="23" t="s">
        <v>317</v>
      </c>
      <c r="B9" s="23" t="s">
        <v>203</v>
      </c>
      <c r="C9" s="24">
        <v>662402</v>
      </c>
      <c r="D9" s="24"/>
    </row>
    <row r="10" spans="1:14" x14ac:dyDescent="0.2">
      <c r="A10" s="23" t="s">
        <v>317</v>
      </c>
      <c r="B10" s="23" t="s">
        <v>202</v>
      </c>
      <c r="C10" s="24">
        <v>56846</v>
      </c>
      <c r="D10" s="24"/>
      <c r="G10" s="256"/>
    </row>
    <row r="11" spans="1:14" x14ac:dyDescent="0.2">
      <c r="A11" s="23" t="s">
        <v>318</v>
      </c>
      <c r="B11" s="23" t="s">
        <v>203</v>
      </c>
      <c r="C11" s="24">
        <v>6350</v>
      </c>
      <c r="D11" s="24"/>
    </row>
    <row r="12" spans="1:14" x14ac:dyDescent="0.2">
      <c r="A12" s="23" t="s">
        <v>318</v>
      </c>
      <c r="B12" s="23" t="s">
        <v>202</v>
      </c>
      <c r="C12" s="24">
        <v>71616</v>
      </c>
      <c r="D12" s="24"/>
      <c r="I12" s="283"/>
      <c r="J12" s="283"/>
      <c r="K12" s="283"/>
      <c r="L12" s="283"/>
      <c r="M12" s="283"/>
      <c r="N12" s="283"/>
    </row>
    <row r="13" spans="1:14" x14ac:dyDescent="0.2">
      <c r="A13" s="23" t="s">
        <v>319</v>
      </c>
      <c r="B13" s="23" t="s">
        <v>203</v>
      </c>
      <c r="C13" s="24">
        <v>10847</v>
      </c>
      <c r="D13" s="24">
        <v>22928</v>
      </c>
    </row>
    <row r="14" spans="1:14" s="1" customFormat="1" x14ac:dyDescent="0.2">
      <c r="A14" s="228" t="s">
        <v>25</v>
      </c>
      <c r="B14" s="228"/>
      <c r="C14" s="229">
        <f>SUM(C5:C13)</f>
        <v>952190</v>
      </c>
      <c r="D14" s="229">
        <f>SUM(D5:D13)</f>
        <v>22928</v>
      </c>
    </row>
    <row r="17" spans="1:3" x14ac:dyDescent="0.2">
      <c r="A17" s="1" t="s">
        <v>322</v>
      </c>
    </row>
    <row r="18" spans="1:3" x14ac:dyDescent="0.2">
      <c r="A18" s="226" t="s">
        <v>323</v>
      </c>
      <c r="B18" s="234" t="s">
        <v>324</v>
      </c>
      <c r="C18" s="234" t="s">
        <v>325</v>
      </c>
    </row>
    <row r="19" spans="1:3" x14ac:dyDescent="0.2">
      <c r="A19" s="23" t="s">
        <v>326</v>
      </c>
      <c r="B19" s="24">
        <v>769208</v>
      </c>
      <c r="C19" s="24">
        <v>441381</v>
      </c>
    </row>
    <row r="20" spans="1:3" x14ac:dyDescent="0.2">
      <c r="A20" s="23" t="s">
        <v>327</v>
      </c>
      <c r="B20" s="24">
        <v>15340</v>
      </c>
      <c r="C20" s="24">
        <v>9017</v>
      </c>
    </row>
    <row r="21" spans="1:3" x14ac:dyDescent="0.2">
      <c r="A21" s="23" t="s">
        <v>328</v>
      </c>
      <c r="B21" s="24">
        <v>2844</v>
      </c>
      <c r="C21" s="24">
        <v>1698</v>
      </c>
    </row>
    <row r="22" spans="1:3" x14ac:dyDescent="0.2">
      <c r="A22" s="23" t="s">
        <v>329</v>
      </c>
      <c r="B22" s="24">
        <v>13000</v>
      </c>
      <c r="C22" s="24">
        <v>13000</v>
      </c>
    </row>
    <row r="23" spans="1:3" x14ac:dyDescent="0.2">
      <c r="A23" s="228" t="s">
        <v>25</v>
      </c>
      <c r="B23" s="229">
        <f>SUM(B19:B22)</f>
        <v>800392</v>
      </c>
      <c r="C23" s="22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09" t="e">
        <f>#REF!</f>
        <v>#REF!</v>
      </c>
      <c r="B1" s="409"/>
      <c r="C1" s="409"/>
      <c r="D1" s="409"/>
      <c r="E1" s="409"/>
      <c r="F1" s="409"/>
      <c r="G1" s="409"/>
    </row>
    <row r="2" spans="1:14" x14ac:dyDescent="0.2">
      <c r="A2" s="1" t="s">
        <v>181</v>
      </c>
      <c r="B2" s="1"/>
    </row>
    <row r="3" spans="1:14" ht="32.25" customHeight="1" x14ac:dyDescent="0.2">
      <c r="A3" s="371" t="s">
        <v>177</v>
      </c>
      <c r="B3" s="371"/>
      <c r="C3" s="371"/>
      <c r="D3" s="371"/>
      <c r="E3" s="371"/>
      <c r="F3" s="371"/>
      <c r="G3" s="371"/>
      <c r="H3" s="84"/>
      <c r="I3" s="84"/>
      <c r="J3" s="84"/>
      <c r="K3" s="84"/>
      <c r="N3" s="137" t="s">
        <v>156</v>
      </c>
    </row>
    <row r="4" spans="1:14" x14ac:dyDescent="0.2">
      <c r="A4" s="127" t="s">
        <v>109</v>
      </c>
      <c r="B4" s="127" t="s">
        <v>19</v>
      </c>
      <c r="C4" s="372" t="s">
        <v>20</v>
      </c>
      <c r="D4" s="373"/>
      <c r="E4" s="373"/>
      <c r="F4" s="373"/>
      <c r="G4" s="374"/>
      <c r="N4" s="139" t="s">
        <v>128</v>
      </c>
    </row>
    <row r="5" spans="1:14" x14ac:dyDescent="0.2">
      <c r="A5" s="90" t="s">
        <v>16</v>
      </c>
      <c r="B5" s="114"/>
      <c r="C5" s="375"/>
      <c r="D5" s="370"/>
      <c r="E5" s="370"/>
      <c r="F5" s="370"/>
      <c r="G5" s="370"/>
      <c r="N5" s="142"/>
    </row>
    <row r="6" spans="1:14" x14ac:dyDescent="0.2">
      <c r="A6" s="90" t="s">
        <v>17</v>
      </c>
      <c r="B6" s="114"/>
      <c r="C6" s="375"/>
      <c r="D6" s="370"/>
      <c r="E6" s="370"/>
      <c r="F6" s="370"/>
      <c r="G6" s="370"/>
      <c r="N6" s="142"/>
    </row>
    <row r="7" spans="1:14" x14ac:dyDescent="0.2">
      <c r="A7" s="90" t="s">
        <v>18</v>
      </c>
      <c r="B7" s="114"/>
      <c r="C7" s="375"/>
      <c r="D7" s="370"/>
      <c r="E7" s="370"/>
      <c r="F7" s="370"/>
      <c r="G7" s="370"/>
      <c r="N7" s="142"/>
    </row>
    <row r="8" spans="1:14" x14ac:dyDescent="0.2">
      <c r="A8" s="114" t="s">
        <v>39</v>
      </c>
      <c r="B8" s="90"/>
      <c r="C8" s="370"/>
      <c r="D8" s="370"/>
      <c r="E8" s="370"/>
      <c r="F8" s="370"/>
      <c r="G8" s="370"/>
      <c r="N8" s="142"/>
    </row>
    <row r="9" spans="1:14" x14ac:dyDescent="0.2">
      <c r="A9" s="114" t="s">
        <v>162</v>
      </c>
      <c r="B9" s="90"/>
      <c r="C9" s="376"/>
      <c r="D9" s="376"/>
      <c r="E9" s="376"/>
      <c r="F9" s="376"/>
      <c r="G9" s="376"/>
      <c r="N9" s="142"/>
    </row>
    <row r="10" spans="1:14" x14ac:dyDescent="0.2">
      <c r="A10" s="115" t="s">
        <v>40</v>
      </c>
      <c r="B10" s="115"/>
      <c r="C10" s="410"/>
      <c r="D10" s="410"/>
      <c r="E10" s="410"/>
      <c r="F10" s="410"/>
      <c r="G10" s="410"/>
      <c r="N10" s="142"/>
    </row>
    <row r="11" spans="1:14" x14ac:dyDescent="0.2">
      <c r="A11" s="13"/>
      <c r="B11" s="2"/>
      <c r="C11"/>
      <c r="N11" s="142"/>
    </row>
    <row r="12" spans="1:14" x14ac:dyDescent="0.2">
      <c r="A12" s="15" t="s">
        <v>110</v>
      </c>
      <c r="B12" s="377" t="s">
        <v>112</v>
      </c>
      <c r="C12" s="378"/>
      <c r="D12" s="379"/>
      <c r="N12" s="141" t="s">
        <v>129</v>
      </c>
    </row>
    <row r="13" spans="1:14" x14ac:dyDescent="0.2">
      <c r="B13" s="380" t="s">
        <v>113</v>
      </c>
      <c r="C13" s="381"/>
      <c r="D13" s="382"/>
      <c r="N13" s="142"/>
    </row>
    <row r="14" spans="1:14" x14ac:dyDescent="0.2">
      <c r="B14" s="364" t="s">
        <v>114</v>
      </c>
      <c r="C14" s="365"/>
      <c r="D14" s="366"/>
      <c r="N14" s="142"/>
    </row>
    <row r="15" spans="1:14" x14ac:dyDescent="0.2">
      <c r="B15" s="367" t="s">
        <v>21</v>
      </c>
      <c r="C15" s="368"/>
      <c r="D15" s="369"/>
      <c r="N15" s="142"/>
    </row>
    <row r="16" spans="1:14" x14ac:dyDescent="0.2">
      <c r="N16" s="142"/>
    </row>
    <row r="17" spans="1:14" x14ac:dyDescent="0.2">
      <c r="A17" s="1" t="s">
        <v>111</v>
      </c>
      <c r="B17" s="1" t="s">
        <v>27</v>
      </c>
      <c r="C17" s="11" t="s">
        <v>28</v>
      </c>
      <c r="N17" s="141" t="s">
        <v>130</v>
      </c>
    </row>
    <row r="18" spans="1:14" x14ac:dyDescent="0.2">
      <c r="A18" t="s">
        <v>26</v>
      </c>
      <c r="B18" s="110">
        <v>5.73</v>
      </c>
      <c r="C18" s="110">
        <v>6</v>
      </c>
      <c r="D18" s="16"/>
      <c r="N18" s="141" t="s">
        <v>132</v>
      </c>
    </row>
    <row r="19" spans="1:14" x14ac:dyDescent="0.2">
      <c r="A19" t="s">
        <v>127</v>
      </c>
      <c r="B19" s="110">
        <v>7.2</v>
      </c>
      <c r="C19" s="110">
        <v>9</v>
      </c>
      <c r="D19" s="129" t="s">
        <v>117</v>
      </c>
      <c r="F19" s="129"/>
      <c r="N19" s="141" t="s">
        <v>131</v>
      </c>
    </row>
    <row r="20" spans="1:14" x14ac:dyDescent="0.2">
      <c r="A20" t="s">
        <v>50</v>
      </c>
      <c r="B20" s="159">
        <v>3525</v>
      </c>
      <c r="C20" s="159">
        <v>1020</v>
      </c>
      <c r="D20" s="10"/>
      <c r="N20" s="141" t="s">
        <v>133</v>
      </c>
    </row>
    <row r="21" spans="1:14" x14ac:dyDescent="0.2">
      <c r="A21" t="s">
        <v>47</v>
      </c>
      <c r="B21" s="110" t="e">
        <f>VLOOKUP(B20,#REF!,2)/1000000</f>
        <v>#REF!</v>
      </c>
      <c r="C21" s="110">
        <f>VLOOKUP(C20,'Mead-Elevation-Area'!$A$5:$B$689,2)/1000000</f>
        <v>5.664593</v>
      </c>
      <c r="D21" s="10"/>
      <c r="E21" s="28"/>
      <c r="N21" s="141" t="s">
        <v>135</v>
      </c>
    </row>
    <row r="22" spans="1:14" x14ac:dyDescent="0.2">
      <c r="A22" t="s">
        <v>122</v>
      </c>
      <c r="B22" s="110">
        <f>78.1</f>
        <v>78.099999999999994</v>
      </c>
      <c r="C22"/>
      <c r="D22" s="111"/>
      <c r="E22" s="28"/>
      <c r="N22" s="141" t="s">
        <v>134</v>
      </c>
    </row>
    <row r="23" spans="1:14" x14ac:dyDescent="0.2">
      <c r="A23" t="s">
        <v>123</v>
      </c>
      <c r="B23" s="130">
        <v>0.17</v>
      </c>
      <c r="C23"/>
      <c r="D23" s="111"/>
      <c r="E23" s="28"/>
      <c r="N23" s="141" t="s">
        <v>136</v>
      </c>
    </row>
    <row r="24" spans="1:14" x14ac:dyDescent="0.2">
      <c r="A24" t="s">
        <v>121</v>
      </c>
      <c r="B24" s="110">
        <f>10*(7.5+1.5/2)-B22-B23</f>
        <v>4.2300000000000058</v>
      </c>
      <c r="C24"/>
      <c r="D24" s="111"/>
      <c r="E24" s="28"/>
      <c r="N24" s="141" t="s">
        <v>137</v>
      </c>
    </row>
    <row r="25" spans="1:14" x14ac:dyDescent="0.2">
      <c r="A25" t="s">
        <v>157</v>
      </c>
      <c r="B25" s="110">
        <f>2.3 - IF(A9&lt;&gt;"",1.06,0)</f>
        <v>1.2399999999999998</v>
      </c>
      <c r="C25"/>
      <c r="D25" s="111"/>
      <c r="E25" s="28"/>
      <c r="N25" s="141" t="s">
        <v>160</v>
      </c>
    </row>
    <row r="26" spans="1:14" x14ac:dyDescent="0.2">
      <c r="B26" s="28"/>
      <c r="N26" s="142"/>
    </row>
    <row r="27" spans="1:14" s="1" customFormat="1" hidden="1" x14ac:dyDescent="0.2">
      <c r="A27" s="102" t="s">
        <v>107</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104</v>
      </c>
      <c r="B28" s="1"/>
      <c r="C28" s="97">
        <v>0</v>
      </c>
      <c r="D28" s="97">
        <v>0</v>
      </c>
      <c r="E28" s="97">
        <v>0.2</v>
      </c>
      <c r="F28" s="97">
        <v>2.1</v>
      </c>
      <c r="G28" s="97">
        <v>3.5</v>
      </c>
      <c r="H28" s="97">
        <v>6</v>
      </c>
      <c r="I28" s="97">
        <v>8</v>
      </c>
      <c r="J28" s="97">
        <v>11.26</v>
      </c>
      <c r="K28" s="97">
        <v>12.5</v>
      </c>
      <c r="L28" s="97">
        <v>16</v>
      </c>
      <c r="N28" s="139" t="s">
        <v>138</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139</v>
      </c>
    </row>
    <row r="30" spans="1:14" x14ac:dyDescent="0.2">
      <c r="A30" s="1" t="s">
        <v>97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140</v>
      </c>
    </row>
    <row r="31" spans="1:14" x14ac:dyDescent="0.2">
      <c r="A31" s="1" t="s">
        <v>86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141</v>
      </c>
    </row>
    <row r="32" spans="1:14" x14ac:dyDescent="0.2">
      <c r="A32" s="1" t="s">
        <v>179</v>
      </c>
      <c r="C32"/>
      <c r="N32" s="141"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144</v>
      </c>
    </row>
    <row r="39" spans="1:16" x14ac:dyDescent="0.2">
      <c r="A39" s="125"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145</v>
      </c>
    </row>
    <row r="40" spans="1:16" x14ac:dyDescent="0.2">
      <c r="A40" t="str">
        <f t="shared" ref="A40:A45" si="6">IF(A5="","","    To "&amp;A5)</f>
        <v xml:space="preserve">    To Upper Basin</v>
      </c>
      <c r="B40" s="94" t="s">
        <v>158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159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11" t="s">
        <v>59</v>
      </c>
      <c r="E3" s="411"/>
      <c r="F3" s="411" t="s">
        <v>60</v>
      </c>
      <c r="G3" s="411"/>
      <c r="H3" s="411"/>
      <c r="I3" s="411" t="s">
        <v>61</v>
      </c>
      <c r="J3" s="411"/>
      <c r="K3" s="411"/>
      <c r="L3" s="134"/>
      <c r="M3" s="411" t="s">
        <v>18</v>
      </c>
      <c r="N3" s="411"/>
      <c r="O3" s="411"/>
    </row>
    <row r="4" spans="1:16" s="47" customFormat="1" ht="42.75" customHeight="1" x14ac:dyDescent="0.2">
      <c r="A4" s="46" t="s">
        <v>33</v>
      </c>
      <c r="B4" s="46" t="s">
        <v>34</v>
      </c>
      <c r="C4" s="46" t="s">
        <v>70</v>
      </c>
      <c r="D4" s="46" t="s">
        <v>62</v>
      </c>
      <c r="E4" s="46" t="s">
        <v>63</v>
      </c>
      <c r="F4" s="46" t="s">
        <v>62</v>
      </c>
      <c r="G4" s="46" t="s">
        <v>63</v>
      </c>
      <c r="H4" s="46" t="s">
        <v>64</v>
      </c>
      <c r="I4" s="46" t="s">
        <v>62</v>
      </c>
      <c r="J4" s="46" t="s">
        <v>63</v>
      </c>
      <c r="K4" s="46" t="s">
        <v>64</v>
      </c>
      <c r="L4" s="46" t="s">
        <v>68</v>
      </c>
      <c r="M4" s="46" t="s">
        <v>66</v>
      </c>
      <c r="N4" s="46" t="s">
        <v>67</v>
      </c>
      <c r="O4" s="46" t="s">
        <v>65</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69</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71</v>
      </c>
    </row>
    <row r="2" spans="1:9" x14ac:dyDescent="0.2">
      <c r="A2" s="59" t="s">
        <v>72</v>
      </c>
    </row>
    <row r="3" spans="1:9" x14ac:dyDescent="0.2">
      <c r="I3" s="1" t="s">
        <v>125</v>
      </c>
    </row>
    <row r="4" spans="1:9" s="53" customFormat="1" ht="48" x14ac:dyDescent="0.2">
      <c r="A4" s="36" t="s">
        <v>73</v>
      </c>
      <c r="B4" s="36" t="s">
        <v>78</v>
      </c>
      <c r="C4" s="36" t="s">
        <v>79</v>
      </c>
      <c r="D4" s="37" t="s">
        <v>74</v>
      </c>
      <c r="E4" s="36" t="s">
        <v>89</v>
      </c>
      <c r="F4" s="36" t="s">
        <v>90</v>
      </c>
      <c r="G4" s="120" t="s">
        <v>101</v>
      </c>
    </row>
    <row r="5" spans="1:9" s="53" customFormat="1" ht="48" x14ac:dyDescent="0.2">
      <c r="A5" s="64" t="e">
        <f>#REF!</f>
        <v>#REF!</v>
      </c>
      <c r="B5" s="80" t="s">
        <v>85</v>
      </c>
      <c r="C5" s="65" t="s">
        <v>81</v>
      </c>
      <c r="D5" s="66" t="str">
        <f>D7</f>
        <v>Highest uncertainty for native fish. Also represent a substantial risk to the tailwater trout fishery, as sustained temperatures of 19oC or higher are unsuitable for trout.</v>
      </c>
      <c r="E5" s="86" t="s">
        <v>92</v>
      </c>
      <c r="F5" s="86" t="s">
        <v>91</v>
      </c>
      <c r="G5" s="121" t="e">
        <f>VLOOKUP(A5,#REF!,2)/1000000</f>
        <v>#REF!</v>
      </c>
    </row>
    <row r="6" spans="1:9" s="53" customFormat="1" ht="48" x14ac:dyDescent="0.2">
      <c r="A6" s="61">
        <v>3425</v>
      </c>
      <c r="B6" s="62" t="str">
        <f>B7</f>
        <v>&gt; 18</v>
      </c>
      <c r="C6" s="62" t="s">
        <v>81</v>
      </c>
      <c r="D6" s="63" t="str">
        <f>D7</f>
        <v>Highest uncertainty for native fish. Also represent a substantial risk to the tailwater trout fishery, as sustained temperatures of 19oC or higher are unsuitable for trout.</v>
      </c>
      <c r="E6" s="86" t="str">
        <f>E5</f>
        <v>Highly uncertain</v>
      </c>
      <c r="F6" s="86" t="s">
        <v>91</v>
      </c>
      <c r="G6" s="121" t="e">
        <f>VLOOKUP(A6,#REF!,2)/1000000</f>
        <v>#REF!</v>
      </c>
    </row>
    <row r="7" spans="1:9" s="53" customFormat="1" ht="48" x14ac:dyDescent="0.2">
      <c r="A7" s="67">
        <v>3490</v>
      </c>
      <c r="B7" s="68" t="s">
        <v>85</v>
      </c>
      <c r="C7" s="68" t="s">
        <v>80</v>
      </c>
      <c r="D7" s="69" t="s">
        <v>77</v>
      </c>
      <c r="E7" s="62" t="str">
        <f>E6</f>
        <v>Highly uncertain</v>
      </c>
      <c r="F7" s="86" t="s">
        <v>91</v>
      </c>
      <c r="G7" s="121" t="e">
        <f>VLOOKUP(A7,#REF!,2)/1000000</f>
        <v>#REF!</v>
      </c>
    </row>
    <row r="8" spans="1:9" ht="80" x14ac:dyDescent="0.2">
      <c r="A8" s="70">
        <v>3525</v>
      </c>
      <c r="B8" s="71" t="s">
        <v>84</v>
      </c>
      <c r="C8" s="71" t="s">
        <v>80</v>
      </c>
      <c r="D8" s="72" t="s">
        <v>76</v>
      </c>
      <c r="E8" s="87" t="s">
        <v>93</v>
      </c>
      <c r="F8" s="87" t="s">
        <v>95</v>
      </c>
      <c r="G8" s="122" t="e">
        <f>VLOOKUP(A8,#REF!,2)/1000000</f>
        <v>#REF!</v>
      </c>
    </row>
    <row r="9" spans="1:9" ht="48" x14ac:dyDescent="0.2">
      <c r="A9" s="73">
        <v>3600</v>
      </c>
      <c r="B9" s="74" t="s">
        <v>83</v>
      </c>
      <c r="C9" s="74" t="s">
        <v>80</v>
      </c>
      <c r="D9" s="75" t="s">
        <v>87</v>
      </c>
      <c r="E9" s="88" t="s">
        <v>88</v>
      </c>
      <c r="F9" s="88" t="str">
        <f>F8</f>
        <v>Help grow + incubate</v>
      </c>
      <c r="G9" s="123" t="e">
        <f>VLOOKUP(A9,#REF!,2)/1000000</f>
        <v>#REF!</v>
      </c>
    </row>
    <row r="10" spans="1:9" ht="112" x14ac:dyDescent="0.2">
      <c r="A10" s="76">
        <v>3675</v>
      </c>
      <c r="B10" s="77" t="s">
        <v>82</v>
      </c>
      <c r="C10" s="77" t="s">
        <v>80</v>
      </c>
      <c r="D10" s="78" t="s">
        <v>75</v>
      </c>
      <c r="E10" s="89" t="s">
        <v>94</v>
      </c>
      <c r="F10" s="89" t="s">
        <v>96</v>
      </c>
      <c r="G10" s="124" t="e">
        <f>VLOOKUP(A10,#REF!,2)/1000000</f>
        <v>#REF!</v>
      </c>
    </row>
    <row r="11" spans="1:9" ht="112" x14ac:dyDescent="0.2">
      <c r="A11" s="76">
        <v>3700</v>
      </c>
      <c r="B11" s="77" t="str">
        <f>B10</f>
        <v>&lt; 12</v>
      </c>
      <c r="C11" s="77" t="s">
        <v>80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96</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2025-06-05T20:57:21Z</dcterms:modified>
</cp:coreProperties>
</file>